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howInkAnnotation="0" codeName="ThisWorkbook" defaultThemeVersion="124226"/>
  <mc:AlternateContent xmlns:mc="http://schemas.openxmlformats.org/markup-compatibility/2006">
    <mc:Choice Requires="x15">
      <x15ac:absPath xmlns:x15ac="http://schemas.microsoft.com/office/spreadsheetml/2010/11/ac" url="https://usapropfund.sharepoint.com/sites/ProjDocLib/712 Roseville Creekview/1_WORKING/CapitalMarkets/WorkingDocs/Applications/TCAC_CDLAC_LOT40_as LP-Westbrook/"/>
    </mc:Choice>
  </mc:AlternateContent>
  <xr:revisionPtr revIDLastSave="885" documentId="8_{D8A018AA-EF13-43B4-A523-36B4EF5DBBEB}" xr6:coauthVersionLast="47" xr6:coauthVersionMax="47" xr10:uidLastSave="{4D2BAFF2-E32F-4C3E-BACD-C8CEFAEB8C89}"/>
  <bookViews>
    <workbookView xWindow="-120" yWindow="-120" windowWidth="29040" windowHeight="15840" tabRatio="905" firstSheet="3" activeTab="4" xr2:uid="{00000000-000D-0000-FFFF-FFFF00000000}"/>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6"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 r:id="rId17"/>
    <externalReference r:id="rId18"/>
    <externalReference r:id="rId19"/>
  </externalReferences>
  <definedNames>
    <definedName name="_xlnm._FilterDatabase" localSheetId="4" hidden="1">Application!$J$927:$S$927</definedName>
    <definedName name="bedrooms" localSheetId="3">[1]Application!$BC$648:$BI$648</definedName>
    <definedName name="bedrooms" localSheetId="9">[2]Application!$BP$669:$BV$669</definedName>
    <definedName name="bedrooms" localSheetId="2">[1]Application!$BC$648:$BI$648</definedName>
    <definedName name="bedrooms">Application!$BP$655:$BV$655</definedName>
    <definedName name="Counties" localSheetId="3">#REF!</definedName>
    <definedName name="Counties" localSheetId="1">#REF!</definedName>
    <definedName name="FMRS" localSheetId="3">#REF!</definedName>
    <definedName name="FMRS" localSheetId="1">#REF!</definedName>
    <definedName name="HudFmrs" localSheetId="9">Application!$BX$656:$CB$713</definedName>
    <definedName name="HudFmrs">Application!$BX$656:$CB$713</definedName>
    <definedName name="importme" localSheetId="3">#REF!</definedName>
    <definedName name="importme" localSheetId="1">#REF!</definedName>
    <definedName name="ListofSources">Application!$BN$511:$BN$536</definedName>
    <definedName name="my_lookup_counties" localSheetId="3">#REF!</definedName>
    <definedName name="my_lookup_counties" localSheetId="1">#REF!</definedName>
    <definedName name="PRINT" localSheetId="3">'[3]Basis Matrix'!$A$1:$H$145</definedName>
    <definedName name="PRINT" localSheetId="1">'[4]Basis Matrix'!$A$1:$H$145</definedName>
    <definedName name="PRINT" localSheetId="2">'[3]Basis Matrix'!$A$1:$H$145</definedName>
    <definedName name="_xlnm.Print_Area" localSheetId="12">'15 Year Pro Forma'!$A$1:$AH$77</definedName>
    <definedName name="_xlnm.Print_Area" localSheetId="4">Application!$A$1:$AS$1071</definedName>
    <definedName name="_xlnm.Print_Area" localSheetId="3">'Application Checklist'!$A$1:$I$1112</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System'!$A$1:$AM$808</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3">[3]Feasibility!$X$4:$AL$75</definedName>
    <definedName name="PRINT1" localSheetId="1">[4]Feasibility!$X$4:$AL$75</definedName>
    <definedName name="PRINT1" localSheetId="2">[3]Feasibility!$X$4:$AL$75</definedName>
    <definedName name="PRINT2" localSheetId="3">[3]Feasibility!$X$78:$AM$145</definedName>
    <definedName name="PRINT2" localSheetId="1">[4]Feasibility!$X$78:$AM$145</definedName>
    <definedName name="PRINT2" localSheetId="2">[3]Feasibility!$X$78:$AM$145</definedName>
    <definedName name="PRINT3" localSheetId="3">[3]Feasibility!$A$152:$L$224</definedName>
    <definedName name="PRINT3" localSheetId="1">[4]Feasibility!$A$152:$L$224</definedName>
    <definedName name="PRINT3" localSheetId="2">[3]Feasibility!$A$152:$L$224</definedName>
    <definedName name="PRINT4" localSheetId="3">[3]Feasibility!$A$225:$L$310</definedName>
    <definedName name="PRINT4" localSheetId="1">[4]Feasibility!$A$225:$L$310</definedName>
    <definedName name="PRINT4" localSheetId="2">[3]Feasibility!$A$225:$L$310</definedName>
    <definedName name="TC_Rent" localSheetId="3">'[3]100%RENTS'!$A$5:$H$62</definedName>
    <definedName name="TC_Rent" localSheetId="9">[2]Application!$BP$670:$BV$727</definedName>
    <definedName name="TC_Rent" localSheetId="1">'[4]100%RENTS'!$A$5:$H$62</definedName>
    <definedName name="TC_Rent" localSheetId="2">[1]Application!$BC$649:$BI$706</definedName>
    <definedName name="TC_Rent">Application!$BP$656:$BV$713</definedName>
    <definedName name="TcacRents" localSheetId="9">Application!$BQ$656:$BV$713</definedName>
    <definedName name="TcacRents">Application!$BQ$656:$BV$713</definedName>
    <definedName name="UnitSizes" localSheetId="9">Application!$BA$595:$BA$600</definedName>
    <definedName name="UnitSizes">Application!$BA$595:$BA$600</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System'!$A$1:$AM$808</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System'!$809:$63536,'Points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Application!$841:$950</definedName>
    <definedName name="Z_ACB87C9A_02C3_4C83_BBE4_E2C44A4D81CD_.wvu.PrintArea" localSheetId="12" hidden="1">'15 Year Pro Forma'!$A$1:$AH$77</definedName>
    <definedName name="Z_ACB87C9A_02C3_4C83_BBE4_E2C44A4D81CD_.wvu.PrintArea" localSheetId="4" hidden="1">Application!$A$1:$AL$1071</definedName>
    <definedName name="Z_ACB87C9A_02C3_4C83_BBE4_E2C44A4D81CD_.wvu.PrintArea" localSheetId="3" hidden="1">'Application Checklist'!$A$1:$G$811</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Checklist'!$1362:$65407,'Application Checklist'!$812:$1156,'Application Checklist'!$1361:$1361</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50" i="15" l="1"/>
  <c r="F99" i="13" l="1"/>
  <c r="C99" i="13"/>
  <c r="F90" i="13"/>
  <c r="F91" i="13"/>
  <c r="F92" i="13"/>
  <c r="F93" i="13"/>
  <c r="F94" i="13"/>
  <c r="F95" i="13"/>
  <c r="F89" i="13"/>
  <c r="C89" i="13"/>
  <c r="C90" i="13"/>
  <c r="C91" i="13"/>
  <c r="C92" i="13"/>
  <c r="C93" i="13"/>
  <c r="C94" i="13"/>
  <c r="C95" i="13"/>
  <c r="C88" i="13"/>
  <c r="C83" i="13"/>
  <c r="F80" i="13"/>
  <c r="C80" i="13"/>
  <c r="C79" i="13"/>
  <c r="C75" i="13"/>
  <c r="F79" i="13"/>
  <c r="F46" i="13"/>
  <c r="F47" i="13"/>
  <c r="F48" i="13"/>
  <c r="F49" i="13"/>
  <c r="F50" i="13"/>
  <c r="F51" i="13"/>
  <c r="F52" i="13"/>
  <c r="F53" i="13"/>
  <c r="F45" i="13"/>
  <c r="F43" i="13"/>
  <c r="F40" i="13"/>
  <c r="F35" i="13"/>
  <c r="F30" i="13"/>
  <c r="F31" i="13"/>
  <c r="F32" i="13"/>
  <c r="F33" i="13"/>
  <c r="F29" i="13"/>
  <c r="F10" i="13"/>
  <c r="S99" i="4"/>
  <c r="S93" i="4"/>
  <c r="S92" i="4"/>
  <c r="S91" i="4"/>
  <c r="S90" i="4"/>
  <c r="S89" i="4"/>
  <c r="S80" i="4"/>
  <c r="S79" i="4"/>
  <c r="S53" i="4"/>
  <c r="S51" i="4"/>
  <c r="S50" i="4"/>
  <c r="S46" i="4"/>
  <c r="S45" i="4"/>
  <c r="S43" i="4"/>
  <c r="S40" i="4"/>
  <c r="S30" i="4"/>
  <c r="S31" i="4"/>
  <c r="S32" i="4"/>
  <c r="S33" i="4"/>
  <c r="S34" i="4"/>
  <c r="S35" i="4"/>
  <c r="S36" i="4"/>
  <c r="S37" i="4"/>
  <c r="S29" i="4"/>
  <c r="S10" i="4"/>
  <c r="C65" i="13"/>
  <c r="C57" i="13"/>
  <c r="C58" i="13"/>
  <c r="C59" i="13"/>
  <c r="C60" i="13"/>
  <c r="C61" i="13"/>
  <c r="C56" i="13"/>
  <c r="C46" i="13"/>
  <c r="C47" i="13"/>
  <c r="C48" i="13"/>
  <c r="C49" i="13"/>
  <c r="C50" i="13"/>
  <c r="C51" i="13"/>
  <c r="C52" i="13"/>
  <c r="C53" i="13"/>
  <c r="C45" i="13"/>
  <c r="C43" i="13"/>
  <c r="C40" i="13"/>
  <c r="C30" i="13"/>
  <c r="C31" i="13"/>
  <c r="C32" i="13"/>
  <c r="C33" i="13"/>
  <c r="C34" i="13"/>
  <c r="C35" i="13"/>
  <c r="C36" i="13"/>
  <c r="C37" i="13"/>
  <c r="C29" i="13"/>
  <c r="C10" i="13"/>
  <c r="E84" i="4"/>
  <c r="E85" i="4"/>
  <c r="E86" i="4"/>
  <c r="E87" i="4"/>
  <c r="E88" i="4"/>
  <c r="E89" i="4"/>
  <c r="E90" i="4"/>
  <c r="E91" i="4"/>
  <c r="E92" i="4"/>
  <c r="E93" i="4"/>
  <c r="E94" i="4"/>
  <c r="E95" i="4"/>
  <c r="E83" i="4"/>
  <c r="E80" i="4"/>
  <c r="E79" i="4"/>
  <c r="E75" i="4"/>
  <c r="E65" i="4"/>
  <c r="E57" i="4"/>
  <c r="E58" i="4"/>
  <c r="E59" i="4"/>
  <c r="E60" i="4"/>
  <c r="E56" i="4"/>
  <c r="E46" i="4"/>
  <c r="E47" i="4"/>
  <c r="E48" i="4"/>
  <c r="E49" i="4"/>
  <c r="E50" i="4"/>
  <c r="E51" i="4"/>
  <c r="E52" i="4"/>
  <c r="E53" i="4"/>
  <c r="E45" i="4"/>
  <c r="E43" i="4"/>
  <c r="E40" i="4"/>
  <c r="E32" i="4"/>
  <c r="E33" i="4"/>
  <c r="E34" i="4"/>
  <c r="E35" i="4"/>
  <c r="E31" i="4"/>
  <c r="E61" i="4"/>
  <c r="E30" i="4" l="1"/>
  <c r="E99" i="4"/>
  <c r="AP282" i="20"/>
  <c r="AP284" i="20" s="1"/>
  <c r="AK327" i="20" s="1"/>
  <c r="P19" i="26" l="1" a="1"/>
  <c r="P19" i="26" s="1"/>
  <c r="AN26" i="26" a="1"/>
  <c r="AN26" i="26" s="1"/>
  <c r="AB25" i="26" a="1"/>
  <c r="AB25" i="26" s="1"/>
  <c r="V24" i="26" a="1"/>
  <c r="V24" i="26" s="1"/>
  <c r="AB26" i="26" a="1"/>
  <c r="AB26" i="26" s="1"/>
  <c r="P26" i="26" a="1"/>
  <c r="P26" i="26" s="1"/>
  <c r="AH27" i="26" a="1"/>
  <c r="AH27" i="26" s="1"/>
  <c r="AN24" i="26" a="1"/>
  <c r="AN24" i="26" s="1"/>
  <c r="AH24" i="26" a="1"/>
  <c r="AH24" i="26" s="1"/>
  <c r="AB24" i="26" a="1"/>
  <c r="AB24" i="26" s="1"/>
  <c r="AN27" i="26" a="1"/>
  <c r="AN27" i="26" s="1"/>
  <c r="V26" i="26" a="1"/>
  <c r="V26" i="26" s="1"/>
  <c r="AB27" i="26" a="1"/>
  <c r="AB27" i="26" s="1"/>
  <c r="AN25" i="26" a="1"/>
  <c r="AN25" i="26" s="1"/>
  <c r="V27" i="26" a="1"/>
  <c r="V27" i="26" s="1"/>
  <c r="P27" i="26" a="1"/>
  <c r="P27" i="26" s="1"/>
  <c r="AH26" i="26" a="1"/>
  <c r="AH26" i="26" s="1"/>
  <c r="AN23" i="26" a="1"/>
  <c r="AN23" i="26" s="1"/>
  <c r="V25" i="26" a="1"/>
  <c r="V25" i="26" s="1"/>
  <c r="AH25" i="26" a="1"/>
  <c r="AH25" i="26" s="1"/>
  <c r="P24" i="26" a="1"/>
  <c r="P24" i="26" s="1"/>
  <c r="P25" i="26" a="1"/>
  <c r="P25" i="26" s="1"/>
  <c r="AH23" i="26" a="1"/>
  <c r="AH23" i="26" s="1"/>
  <c r="V20" i="26" a="1"/>
  <c r="V20" i="26" s="1"/>
  <c r="AB19" i="26" a="1"/>
  <c r="AB19" i="26" s="1"/>
  <c r="P23" i="26" a="1"/>
  <c r="P23" i="26" s="1"/>
  <c r="AN21" i="26" a="1"/>
  <c r="AN21" i="26" s="1"/>
  <c r="AN22" i="26" a="1"/>
  <c r="AN22" i="26" s="1"/>
  <c r="AH22" i="26" a="1"/>
  <c r="AH22" i="26" s="1"/>
  <c r="AN20" i="26" a="1"/>
  <c r="AN20" i="26" s="1"/>
  <c r="P22" i="26" a="1"/>
  <c r="P22" i="26" s="1"/>
  <c r="V21" i="26" a="1"/>
  <c r="V21" i="26" s="1"/>
  <c r="AH19" i="26" a="1"/>
  <c r="AH19" i="26" s="1"/>
  <c r="V19" i="26" a="1"/>
  <c r="V19" i="26" s="1"/>
  <c r="AH21" i="26" a="1"/>
  <c r="AH21" i="26" s="1"/>
  <c r="P20" i="26" a="1"/>
  <c r="P20" i="26" s="1"/>
  <c r="AH20" i="26" a="1"/>
  <c r="AH20" i="26" s="1"/>
  <c r="AB23" i="26" a="1"/>
  <c r="AB23" i="26" s="1"/>
  <c r="V23" i="26" a="1"/>
  <c r="V23" i="26" s="1"/>
  <c r="AB22" i="26" a="1"/>
  <c r="AB22" i="26" s="1"/>
  <c r="V22" i="26" a="1"/>
  <c r="V22" i="26" s="1"/>
  <c r="AB20" i="26" a="1"/>
  <c r="AB20" i="26" s="1"/>
  <c r="AB21" i="26" a="1"/>
  <c r="AB21" i="26" s="1"/>
  <c r="AN19" i="26" a="1"/>
  <c r="AN19" i="26" s="1"/>
  <c r="P21" i="26" a="1"/>
  <c r="P21" i="26" s="1"/>
  <c r="AN28" i="26"/>
  <c r="AH28" i="26"/>
  <c r="AB28" i="26"/>
  <c r="V28" i="26"/>
  <c r="P28" i="26"/>
  <c r="J28" i="26" s="1"/>
  <c r="S15" i="26"/>
  <c r="AL10" i="26"/>
  <c r="N11" i="26"/>
  <c r="N10" i="26"/>
  <c r="AB8" i="26"/>
  <c r="L6" i="26"/>
  <c r="L4" i="26"/>
  <c r="AY166" i="26"/>
  <c r="AS166" i="26"/>
  <c r="AS156" i="26"/>
  <c r="O75" i="26"/>
  <c r="B64" i="26"/>
  <c r="B63" i="26"/>
  <c r="B62" i="26"/>
  <c r="B61" i="26"/>
  <c r="B60" i="26"/>
  <c r="Z57" i="26"/>
  <c r="R57" i="26"/>
  <c r="AO47" i="26"/>
  <c r="AO46" i="26"/>
  <c r="AO45" i="26"/>
  <c r="AO44" i="26"/>
  <c r="AO43" i="26"/>
  <c r="AO42" i="26"/>
  <c r="AO41" i="26"/>
  <c r="AO40" i="26"/>
  <c r="AO39" i="26"/>
  <c r="AO38" i="26"/>
  <c r="AO37" i="26"/>
  <c r="AO36" i="26"/>
  <c r="J20" i="26" l="1"/>
  <c r="J27" i="26"/>
  <c r="J25" i="26"/>
  <c r="J19" i="26"/>
  <c r="J22" i="26"/>
  <c r="J21" i="26"/>
  <c r="V29" i="26"/>
  <c r="AH29" i="26"/>
  <c r="J26" i="26"/>
  <c r="P29" i="26"/>
  <c r="J24" i="26"/>
  <c r="AB29" i="26"/>
  <c r="AN29" i="26"/>
  <c r="J23" i="26"/>
  <c r="J29" i="26" l="1"/>
  <c r="AT21" i="26" s="1"/>
  <c r="AT24" i="26" l="1"/>
  <c r="AT23" i="26"/>
  <c r="AT26" i="26"/>
  <c r="AT29" i="26"/>
  <c r="AU46" i="26"/>
  <c r="AU42" i="26"/>
  <c r="AU38" i="26"/>
  <c r="AU44" i="26"/>
  <c r="AU40" i="26"/>
  <c r="AU36" i="26"/>
  <c r="AT28" i="26"/>
  <c r="AU39" i="26"/>
  <c r="AT27" i="26"/>
  <c r="AT20" i="26"/>
  <c r="AU47" i="26"/>
  <c r="AU41" i="26"/>
  <c r="AU37" i="26"/>
  <c r="AT22" i="26"/>
  <c r="AU45" i="26"/>
  <c r="AU43" i="26"/>
  <c r="AT25" i="26"/>
  <c r="AT19" i="26"/>
  <c r="AJ990" i="3" l="1"/>
  <c r="AJ985" i="3"/>
  <c r="A33" i="7" l="1"/>
  <c r="A32" i="7"/>
  <c r="AT624" i="3" l="1"/>
  <c r="AT551" i="3"/>
  <c r="AT625" i="3"/>
  <c r="AT626" i="3"/>
  <c r="AT627" i="3"/>
  <c r="AT628" i="3"/>
  <c r="AT629" i="3"/>
  <c r="AT630" i="3"/>
  <c r="AT631" i="3"/>
  <c r="AT632" i="3"/>
  <c r="AT633" i="3"/>
  <c r="AT634" i="3"/>
  <c r="AT553" i="3"/>
  <c r="AT552" i="3"/>
  <c r="AT554" i="3"/>
  <c r="AT555" i="3"/>
  <c r="AT556" i="3"/>
  <c r="AT557" i="3"/>
  <c r="AT558" i="3"/>
  <c r="AT559" i="3"/>
  <c r="AT560" i="3"/>
  <c r="AT561" i="3"/>
  <c r="R24" i="4"/>
  <c r="AJ963" i="3"/>
  <c r="I13" i="21" s="1"/>
  <c r="AF991" i="3"/>
  <c r="AF986" i="3"/>
  <c r="AB211" i="3"/>
  <c r="C5" i="7"/>
  <c r="C7" i="7"/>
  <c r="C9" i="7"/>
  <c r="E40" i="7"/>
  <c r="S40" i="7" s="1"/>
  <c r="S43" i="7" s="1"/>
  <c r="A40" i="7"/>
  <c r="E33" i="7"/>
  <c r="E32" i="7"/>
  <c r="E31" i="7"/>
  <c r="E30" i="7"/>
  <c r="E29" i="7"/>
  <c r="E28" i="7"/>
  <c r="E27" i="7"/>
  <c r="E26" i="7"/>
  <c r="W831" i="3"/>
  <c r="E15" i="7" s="1"/>
  <c r="G15" i="7" s="1"/>
  <c r="E16" i="7"/>
  <c r="W839" i="3"/>
  <c r="E17" i="7" s="1"/>
  <c r="G17" i="7" s="1"/>
  <c r="I17" i="7" s="1"/>
  <c r="K17" i="7" s="1"/>
  <c r="M17" i="7" s="1"/>
  <c r="O17" i="7" s="1"/>
  <c r="Q17" i="7" s="1"/>
  <c r="S17" i="7" s="1"/>
  <c r="U17" i="7" s="1"/>
  <c r="W17" i="7" s="1"/>
  <c r="Y17" i="7" s="1"/>
  <c r="AA17" i="7" s="1"/>
  <c r="AC17" i="7" s="1"/>
  <c r="AE17" i="7" s="1"/>
  <c r="AG17" i="7" s="1"/>
  <c r="W846" i="3"/>
  <c r="E18" i="7" s="1"/>
  <c r="G18" i="7" s="1"/>
  <c r="I18" i="7" s="1"/>
  <c r="K18" i="7" s="1"/>
  <c r="M18" i="7" s="1"/>
  <c r="O18" i="7" s="1"/>
  <c r="Q18" i="7" s="1"/>
  <c r="S18" i="7" s="1"/>
  <c r="U18" i="7" s="1"/>
  <c r="W18" i="7" s="1"/>
  <c r="Y18" i="7" s="1"/>
  <c r="AA18" i="7" s="1"/>
  <c r="AC18" i="7" s="1"/>
  <c r="AE18" i="7" s="1"/>
  <c r="AG18" i="7" s="1"/>
  <c r="E19" i="7"/>
  <c r="W856" i="3"/>
  <c r="E20" i="7" s="1"/>
  <c r="G20" i="7" s="1"/>
  <c r="I20" i="7" s="1"/>
  <c r="K20" i="7" s="1"/>
  <c r="M20" i="7" s="1"/>
  <c r="O20" i="7" s="1"/>
  <c r="Q20" i="7" s="1"/>
  <c r="S20" i="7" s="1"/>
  <c r="U20" i="7" s="1"/>
  <c r="W20" i="7" s="1"/>
  <c r="Y20" i="7" s="1"/>
  <c r="AA20" i="7" s="1"/>
  <c r="AC20" i="7" s="1"/>
  <c r="AE20" i="7" s="1"/>
  <c r="AG20" i="7" s="1"/>
  <c r="W863" i="3"/>
  <c r="E21" i="7" s="1"/>
  <c r="G21" i="7" s="1"/>
  <c r="I21" i="7" s="1"/>
  <c r="K21" i="7" s="1"/>
  <c r="M21" i="7" s="1"/>
  <c r="O21" i="7" s="1"/>
  <c r="Q21" i="7" s="1"/>
  <c r="S21" i="7" s="1"/>
  <c r="U21" i="7" s="1"/>
  <c r="W21" i="7" s="1"/>
  <c r="Y21" i="7" s="1"/>
  <c r="AA21" i="7" s="1"/>
  <c r="AC21" i="7" s="1"/>
  <c r="AE21" i="7" s="1"/>
  <c r="AG21" i="7" s="1"/>
  <c r="Z801" i="3"/>
  <c r="E8" i="7" s="1"/>
  <c r="J4" i="8"/>
  <c r="J6" i="8"/>
  <c r="J7" i="8"/>
  <c r="J8" i="8"/>
  <c r="J10" i="8"/>
  <c r="J11" i="8"/>
  <c r="J12" i="8"/>
  <c r="J14" i="8"/>
  <c r="J15" i="8"/>
  <c r="J16" i="8"/>
  <c r="J18" i="8"/>
  <c r="J19" i="8"/>
  <c r="J20" i="8"/>
  <c r="J21" i="8"/>
  <c r="J22" i="8"/>
  <c r="J23" i="8"/>
  <c r="J24" i="8"/>
  <c r="J25" i="8"/>
  <c r="J26" i="8"/>
  <c r="J27" i="8"/>
  <c r="J28" i="8"/>
  <c r="O739" i="3"/>
  <c r="D30" i="8" s="1"/>
  <c r="AC758" i="3"/>
  <c r="AC759" i="3"/>
  <c r="AC760" i="3"/>
  <c r="AC761" i="3"/>
  <c r="AC772" i="3"/>
  <c r="AC773" i="3"/>
  <c r="AC774" i="3"/>
  <c r="AC775" i="3"/>
  <c r="AC776" i="3"/>
  <c r="AC777" i="3"/>
  <c r="AC778" i="3"/>
  <c r="AC779" i="3"/>
  <c r="AC780" i="3"/>
  <c r="AC781" i="3"/>
  <c r="T25" i="15"/>
  <c r="Y7" i="15" s="1"/>
  <c r="CB785" i="3"/>
  <c r="R958" i="3" s="1"/>
  <c r="BN596" i="3"/>
  <c r="BN597" i="3"/>
  <c r="DX597" i="3" s="1"/>
  <c r="BN598" i="3"/>
  <c r="BN599" i="3"/>
  <c r="DX599" i="3" s="1"/>
  <c r="BN600" i="3"/>
  <c r="BN601" i="3"/>
  <c r="BN602" i="3"/>
  <c r="BN603" i="3"/>
  <c r="BN604" i="3"/>
  <c r="BN605" i="3"/>
  <c r="BN606" i="3"/>
  <c r="DX606" i="3" s="1"/>
  <c r="BN607" i="3"/>
  <c r="BN608" i="3"/>
  <c r="DX608" i="3" s="1"/>
  <c r="BN609" i="3"/>
  <c r="DX609" i="3" s="1"/>
  <c r="BN610" i="3"/>
  <c r="DX610" i="3" s="1"/>
  <c r="BN611" i="3"/>
  <c r="BN612" i="3"/>
  <c r="BN613" i="3"/>
  <c r="BN614" i="3"/>
  <c r="DX614" i="3" s="1"/>
  <c r="BN615" i="3"/>
  <c r="BN616" i="3"/>
  <c r="BN617" i="3"/>
  <c r="BN618" i="3"/>
  <c r="BN619" i="3"/>
  <c r="BN620" i="3"/>
  <c r="BN626" i="3"/>
  <c r="BN627" i="3"/>
  <c r="BN628" i="3"/>
  <c r="BN629" i="3"/>
  <c r="BN634" i="3"/>
  <c r="BN635" i="3"/>
  <c r="CS635" i="3" s="1"/>
  <c r="BN636" i="3"/>
  <c r="CS636" i="3" s="1"/>
  <c r="BN637" i="3"/>
  <c r="BN638" i="3"/>
  <c r="BN639" i="3"/>
  <c r="CS639" i="3" s="1"/>
  <c r="BN640" i="3"/>
  <c r="BN641" i="3"/>
  <c r="BN642" i="3"/>
  <c r="CS642" i="3" s="1"/>
  <c r="BN643" i="3"/>
  <c r="CS643" i="3" s="1"/>
  <c r="BS596" i="3"/>
  <c r="BS597" i="3"/>
  <c r="BS598" i="3"/>
  <c r="BS599" i="3"/>
  <c r="EC599" i="3" s="1"/>
  <c r="BS600" i="3"/>
  <c r="EC600" i="3" s="1"/>
  <c r="BS601" i="3"/>
  <c r="EC601" i="3" s="1"/>
  <c r="BS602" i="3"/>
  <c r="EC602" i="3" s="1"/>
  <c r="BS603" i="3"/>
  <c r="BS604" i="3"/>
  <c r="BS605" i="3"/>
  <c r="BS606" i="3"/>
  <c r="EC606" i="3" s="1"/>
  <c r="BS607" i="3"/>
  <c r="EC607" i="3" s="1"/>
  <c r="BS608" i="3"/>
  <c r="EC608" i="3" s="1"/>
  <c r="BS609" i="3"/>
  <c r="BS610" i="3"/>
  <c r="EC610" i="3" s="1"/>
  <c r="BS611" i="3"/>
  <c r="BS612" i="3"/>
  <c r="EC612" i="3" s="1"/>
  <c r="BS613" i="3"/>
  <c r="BS614" i="3"/>
  <c r="BS615" i="3"/>
  <c r="BS616" i="3"/>
  <c r="EC616" i="3" s="1"/>
  <c r="BS617" i="3"/>
  <c r="BS618" i="3"/>
  <c r="EC618" i="3" s="1"/>
  <c r="BS619" i="3"/>
  <c r="EC619" i="3" s="1"/>
  <c r="BS620" i="3"/>
  <c r="BS626" i="3"/>
  <c r="BS627" i="3"/>
  <c r="BS628" i="3"/>
  <c r="BS629" i="3"/>
  <c r="BS634" i="3"/>
  <c r="CX634" i="3" s="1"/>
  <c r="BS635" i="3"/>
  <c r="CX635" i="3" s="1"/>
  <c r="BS636" i="3"/>
  <c r="BS637" i="3"/>
  <c r="CX637" i="3" s="1"/>
  <c r="BS638" i="3"/>
  <c r="BS639" i="3"/>
  <c r="CX639" i="3" s="1"/>
  <c r="BS640" i="3"/>
  <c r="CX640" i="3" s="1"/>
  <c r="BS641" i="3"/>
  <c r="BS642" i="3"/>
  <c r="CX642" i="3" s="1"/>
  <c r="BS643" i="3"/>
  <c r="CX643" i="3" s="1"/>
  <c r="BX596" i="3"/>
  <c r="BX597" i="3"/>
  <c r="BX598" i="3"/>
  <c r="BX599" i="3"/>
  <c r="BX600" i="3"/>
  <c r="EH600" i="3" s="1"/>
  <c r="BX601" i="3"/>
  <c r="EH601" i="3" s="1"/>
  <c r="BX602" i="3"/>
  <c r="BX603" i="3"/>
  <c r="EH603" i="3" s="1"/>
  <c r="BX604" i="3"/>
  <c r="BX605" i="3"/>
  <c r="BX606" i="3"/>
  <c r="BX607" i="3"/>
  <c r="BX608" i="3"/>
  <c r="BX609" i="3"/>
  <c r="BX610" i="3"/>
  <c r="EH610" i="3" s="1"/>
  <c r="BX611" i="3"/>
  <c r="EH611" i="3" s="1"/>
  <c r="BX612" i="3"/>
  <c r="BX613" i="3"/>
  <c r="BX614" i="3"/>
  <c r="BX615" i="3"/>
  <c r="EH615" i="3" s="1"/>
  <c r="BX616" i="3"/>
  <c r="EH616" i="3" s="1"/>
  <c r="BX617" i="3"/>
  <c r="BX618" i="3"/>
  <c r="EH618" i="3" s="1"/>
  <c r="BX619" i="3"/>
  <c r="BX620" i="3"/>
  <c r="BX626" i="3"/>
  <c r="BX627" i="3"/>
  <c r="BX628" i="3"/>
  <c r="BX629" i="3"/>
  <c r="BX634" i="3"/>
  <c r="BX635" i="3"/>
  <c r="BX636" i="3"/>
  <c r="DC636" i="3" s="1"/>
  <c r="BX637" i="3"/>
  <c r="DC637" i="3" s="1"/>
  <c r="BX638" i="3"/>
  <c r="DC638" i="3" s="1"/>
  <c r="BX639" i="3"/>
  <c r="BX640" i="3"/>
  <c r="DC640" i="3" s="1"/>
  <c r="BX641" i="3"/>
  <c r="BX642" i="3"/>
  <c r="DC642" i="3" s="1"/>
  <c r="BX643" i="3"/>
  <c r="CC596" i="3"/>
  <c r="CC597" i="3"/>
  <c r="EM597" i="3" s="1"/>
  <c r="CC598" i="3"/>
  <c r="CC599" i="3"/>
  <c r="CC600" i="3"/>
  <c r="CC601" i="3"/>
  <c r="EM601" i="3" s="1"/>
  <c r="CC602" i="3"/>
  <c r="CC603" i="3"/>
  <c r="CC604" i="3"/>
  <c r="EM604" i="3" s="1"/>
  <c r="CC605" i="3"/>
  <c r="CC606" i="3"/>
  <c r="EM606" i="3" s="1"/>
  <c r="CC607" i="3"/>
  <c r="CC608" i="3"/>
  <c r="CC609" i="3"/>
  <c r="EM609" i="3" s="1"/>
  <c r="CC610" i="3"/>
  <c r="CC611" i="3"/>
  <c r="CC612" i="3"/>
  <c r="EM612" i="3" s="1"/>
  <c r="CC613" i="3"/>
  <c r="EM613" i="3" s="1"/>
  <c r="CC614" i="3"/>
  <c r="CC615" i="3"/>
  <c r="CC616" i="3"/>
  <c r="CC617" i="3"/>
  <c r="EM617" i="3" s="1"/>
  <c r="CC618" i="3"/>
  <c r="CC619" i="3"/>
  <c r="CC620" i="3"/>
  <c r="EM620" i="3" s="1"/>
  <c r="CC626" i="3"/>
  <c r="CC627" i="3"/>
  <c r="CC628" i="3"/>
  <c r="CC629" i="3"/>
  <c r="CC634" i="3"/>
  <c r="DH634" i="3" s="1"/>
  <c r="CC635" i="3"/>
  <c r="DH635" i="3" s="1"/>
  <c r="CC636" i="3"/>
  <c r="CC637" i="3"/>
  <c r="CC638" i="3"/>
  <c r="CC639" i="3"/>
  <c r="DH639" i="3" s="1"/>
  <c r="CC640" i="3"/>
  <c r="CC641" i="3"/>
  <c r="DH641" i="3" s="1"/>
  <c r="CC642" i="3"/>
  <c r="DH642" i="3" s="1"/>
  <c r="CC643" i="3"/>
  <c r="DH643" i="3" s="1"/>
  <c r="CM634" i="3"/>
  <c r="CM635" i="3"/>
  <c r="DR635" i="3" s="1"/>
  <c r="CM636" i="3"/>
  <c r="DR636" i="3" s="1"/>
  <c r="CM637" i="3"/>
  <c r="DR637" i="3" s="1"/>
  <c r="CM638" i="3"/>
  <c r="CM639" i="3"/>
  <c r="DR639" i="3" s="1"/>
  <c r="CM640" i="3"/>
  <c r="DR640" i="3" s="1"/>
  <c r="CM641" i="3"/>
  <c r="DR641" i="3" s="1"/>
  <c r="CM642" i="3"/>
  <c r="DR642" i="3" s="1"/>
  <c r="CM643" i="3"/>
  <c r="DR643" i="3" s="1"/>
  <c r="CM626" i="3"/>
  <c r="CM627" i="3"/>
  <c r="CM628" i="3"/>
  <c r="CM629" i="3"/>
  <c r="CM596" i="3"/>
  <c r="EW596" i="3" s="1"/>
  <c r="CM597" i="3"/>
  <c r="EW597" i="3" s="1"/>
  <c r="CM598" i="3"/>
  <c r="CM599" i="3"/>
  <c r="CM600" i="3"/>
  <c r="CM601" i="3"/>
  <c r="EW601" i="3" s="1"/>
  <c r="CM602" i="3"/>
  <c r="CM603" i="3"/>
  <c r="CM604" i="3"/>
  <c r="EW604" i="3" s="1"/>
  <c r="CM605" i="3"/>
  <c r="EW605" i="3" s="1"/>
  <c r="CM606" i="3"/>
  <c r="EW606" i="3" s="1"/>
  <c r="CM607" i="3"/>
  <c r="EW607" i="3" s="1"/>
  <c r="CM608" i="3"/>
  <c r="EW608" i="3" s="1"/>
  <c r="CM609" i="3"/>
  <c r="CM610" i="3"/>
  <c r="CM611" i="3"/>
  <c r="CM612" i="3"/>
  <c r="EW612" i="3" s="1"/>
  <c r="CM613" i="3"/>
  <c r="EW613" i="3" s="1"/>
  <c r="CM614" i="3"/>
  <c r="EW614" i="3" s="1"/>
  <c r="CM615" i="3"/>
  <c r="CM616" i="3"/>
  <c r="CM617" i="3"/>
  <c r="CM618" i="3"/>
  <c r="EW618" i="3" s="1"/>
  <c r="CM619" i="3"/>
  <c r="EW619" i="3" s="1"/>
  <c r="CM620" i="3"/>
  <c r="EW620" i="3" s="1"/>
  <c r="CH596" i="3"/>
  <c r="ER596" i="3" s="1"/>
  <c r="CH597" i="3"/>
  <c r="ER597" i="3" s="1"/>
  <c r="CH598" i="3"/>
  <c r="CH599" i="3"/>
  <c r="CH600" i="3"/>
  <c r="CH601" i="3"/>
  <c r="ER601" i="3" s="1"/>
  <c r="CH602" i="3"/>
  <c r="CH603" i="3"/>
  <c r="ER603" i="3" s="1"/>
  <c r="CH604" i="3"/>
  <c r="ER604" i="3" s="1"/>
  <c r="CH605" i="3"/>
  <c r="CH606" i="3"/>
  <c r="ER606" i="3" s="1"/>
  <c r="CH607" i="3"/>
  <c r="ER607" i="3" s="1"/>
  <c r="CH608" i="3"/>
  <c r="CH609" i="3"/>
  <c r="CH610" i="3"/>
  <c r="CH611" i="3"/>
  <c r="ER611" i="3" s="1"/>
  <c r="CH612" i="3"/>
  <c r="CH613" i="3"/>
  <c r="CH614" i="3"/>
  <c r="CH615" i="3"/>
  <c r="CH616" i="3"/>
  <c r="CH617" i="3"/>
  <c r="CH618" i="3"/>
  <c r="ER618" i="3" s="1"/>
  <c r="CH619" i="3"/>
  <c r="ER619" i="3" s="1"/>
  <c r="CH620" i="3"/>
  <c r="CH626" i="3"/>
  <c r="CH627" i="3"/>
  <c r="CH628" i="3"/>
  <c r="CH629" i="3"/>
  <c r="CH634" i="3"/>
  <c r="CH635" i="3"/>
  <c r="CH636" i="3"/>
  <c r="DM636" i="3" s="1"/>
  <c r="CH637" i="3"/>
  <c r="DM637" i="3" s="1"/>
  <c r="CH638" i="3"/>
  <c r="DM638" i="3" s="1"/>
  <c r="CH639" i="3"/>
  <c r="DM639" i="3" s="1"/>
  <c r="CH640" i="3"/>
  <c r="DM640" i="3" s="1"/>
  <c r="CH641" i="3"/>
  <c r="DM641" i="3" s="1"/>
  <c r="CH642" i="3"/>
  <c r="DM642" i="3" s="1"/>
  <c r="CH643" i="3"/>
  <c r="AJ966" i="3"/>
  <c r="AJ972" i="3"/>
  <c r="AJ976" i="3"/>
  <c r="AJ978" i="3"/>
  <c r="AJ981" i="3"/>
  <c r="AJ994" i="3"/>
  <c r="AZ832" i="3" s="1"/>
  <c r="AJ997" i="3"/>
  <c r="AJ1001" i="3" s="1"/>
  <c r="I14" i="21" s="1"/>
  <c r="AJ1006" i="3"/>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c r="BE616" i="3"/>
  <c r="BG616" i="3" s="1"/>
  <c r="BE617" i="3"/>
  <c r="BG617" i="3" s="1"/>
  <c r="BE618" i="3"/>
  <c r="BG618" i="3" s="1"/>
  <c r="BE619" i="3"/>
  <c r="BG619" i="3" s="1"/>
  <c r="BE620" i="3"/>
  <c r="BG620"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c r="BI614" i="3"/>
  <c r="BK614" i="3" s="1"/>
  <c r="BI615" i="3"/>
  <c r="BK615" i="3" s="1"/>
  <c r="BI616" i="3"/>
  <c r="BK616" i="3" s="1"/>
  <c r="BI617" i="3"/>
  <c r="BK617" i="3" s="1"/>
  <c r="BI618" i="3"/>
  <c r="BK618" i="3" s="1"/>
  <c r="BI619" i="3"/>
  <c r="BK619" i="3" s="1"/>
  <c r="BI620" i="3"/>
  <c r="BK620" i="3" s="1"/>
  <c r="AG440" i="3"/>
  <c r="AG443" i="3"/>
  <c r="AO635" i="3"/>
  <c r="Y67" i="15"/>
  <c r="AD64" i="15"/>
  <c r="AD67" i="15"/>
  <c r="W696" i="3"/>
  <c r="BG226" i="3"/>
  <c r="BG227" i="3"/>
  <c r="BG228" i="3"/>
  <c r="BG229" i="3"/>
  <c r="BG230" i="3"/>
  <c r="BG232" i="3"/>
  <c r="BG233" i="3"/>
  <c r="BG234" i="3"/>
  <c r="BG236" i="3"/>
  <c r="BG237" i="3"/>
  <c r="BG238" i="3"/>
  <c r="BG239" i="3"/>
  <c r="BG240" i="3"/>
  <c r="BG241" i="3"/>
  <c r="M231" i="3"/>
  <c r="AG449" i="3"/>
  <c r="O782" i="3"/>
  <c r="O762" i="3"/>
  <c r="G739" i="3"/>
  <c r="BA973" i="3" s="1"/>
  <c r="I1013" i="3" s="1"/>
  <c r="AP89" i="20"/>
  <c r="BG657" i="3"/>
  <c r="BG658" i="3"/>
  <c r="BG659" i="3"/>
  <c r="BG660" i="3"/>
  <c r="BG661" i="3"/>
  <c r="BG662" i="3"/>
  <c r="BG663" i="3"/>
  <c r="BG664" i="3"/>
  <c r="BG665" i="3"/>
  <c r="BG666" i="3"/>
  <c r="BG667" i="3"/>
  <c r="BG668" i="3"/>
  <c r="BG669" i="3"/>
  <c r="BG670" i="3"/>
  <c r="BG671" i="3"/>
  <c r="BG672" i="3"/>
  <c r="BG673" i="3"/>
  <c r="BG674" i="3"/>
  <c r="BG675" i="3"/>
  <c r="BG676" i="3"/>
  <c r="BG677" i="3"/>
  <c r="BG678" i="3"/>
  <c r="BG679" i="3"/>
  <c r="BG680" i="3"/>
  <c r="BG681" i="3"/>
  <c r="AJ641" i="20"/>
  <c r="AJ777" i="20"/>
  <c r="AP283" i="20"/>
  <c r="AO28" i="20"/>
  <c r="AO29" i="20" s="1"/>
  <c r="AO24" i="20"/>
  <c r="AO25" i="20"/>
  <c r="AO21" i="20"/>
  <c r="AO20" i="20"/>
  <c r="AO22" i="20" s="1"/>
  <c r="AO16" i="20"/>
  <c r="AO15" i="20"/>
  <c r="AO14" i="20"/>
  <c r="AO13" i="20"/>
  <c r="G113" i="21"/>
  <c r="G110" i="21"/>
  <c r="E112"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5"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P18"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R44" i="21"/>
  <c r="B4" i="8"/>
  <c r="G4" i="8" s="1"/>
  <c r="B5" i="8"/>
  <c r="G5" i="8" s="1"/>
  <c r="B6" i="8"/>
  <c r="G6" i="8" s="1"/>
  <c r="G102" i="21"/>
  <c r="G88" i="21"/>
  <c r="G92" i="21" s="1"/>
  <c r="B10" i="8"/>
  <c r="G10" i="8" s="1"/>
  <c r="CS634" i="3"/>
  <c r="CS638" i="3"/>
  <c r="CS640" i="3"/>
  <c r="CS641" i="3"/>
  <c r="CX636" i="3"/>
  <c r="CX638" i="3"/>
  <c r="CX641" i="3"/>
  <c r="DC634" i="3"/>
  <c r="DC635" i="3"/>
  <c r="DC639" i="3"/>
  <c r="DC643" i="3"/>
  <c r="DH636" i="3"/>
  <c r="DH637" i="3"/>
  <c r="DH638" i="3"/>
  <c r="DH640" i="3"/>
  <c r="DM635" i="3"/>
  <c r="DM643" i="3"/>
  <c r="DR634" i="3"/>
  <c r="DR638" i="3"/>
  <c r="AJ610" i="20"/>
  <c r="E104" i="21"/>
  <c r="E95" i="21"/>
  <c r="B85" i="21"/>
  <c r="B60" i="21"/>
  <c r="B51" i="21"/>
  <c r="B42" i="21"/>
  <c r="B33" i="21"/>
  <c r="B18" i="21"/>
  <c r="B7" i="8"/>
  <c r="G7" i="8" s="1"/>
  <c r="AV764" i="3"/>
  <c r="U363" i="20"/>
  <c r="AK274" i="20"/>
  <c r="T799" i="20" s="1"/>
  <c r="AF799"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C91" i="11"/>
  <c r="C92" i="11"/>
  <c r="C93" i="11"/>
  <c r="C94" i="11"/>
  <c r="D94" i="11" s="1"/>
  <c r="C95" i="11"/>
  <c r="C96" i="11"/>
  <c r="B85" i="11"/>
  <c r="B86" i="11"/>
  <c r="B87" i="11"/>
  <c r="B88" i="11"/>
  <c r="B89" i="11"/>
  <c r="B90" i="11"/>
  <c r="D90" i="11" s="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8" i="3"/>
  <c r="BA470" i="3"/>
  <c r="G24" i="7"/>
  <c r="I24" i="7"/>
  <c r="K24" i="7"/>
  <c r="M24" i="7"/>
  <c r="O24" i="7"/>
  <c r="Q24" i="7"/>
  <c r="S24" i="7"/>
  <c r="U24" i="7"/>
  <c r="W24" i="7"/>
  <c r="Y24" i="7"/>
  <c r="AA24" i="7"/>
  <c r="AC24" i="7"/>
  <c r="AE24" i="7"/>
  <c r="AG24" i="7"/>
  <c r="G31" i="7"/>
  <c r="I31" i="7" s="1"/>
  <c r="K31" i="7" s="1"/>
  <c r="M31" i="7" s="1"/>
  <c r="O31" i="7" s="1"/>
  <c r="Q31" i="7" s="1"/>
  <c r="S31" i="7" s="1"/>
  <c r="U31" i="7" s="1"/>
  <c r="W31" i="7" s="1"/>
  <c r="Y31" i="7" s="1"/>
  <c r="AA31" i="7" s="1"/>
  <c r="AC31" i="7" s="1"/>
  <c r="AE31" i="7" s="1"/>
  <c r="AG31" i="7" s="1"/>
  <c r="G30" i="7"/>
  <c r="I30" i="7" s="1"/>
  <c r="K30" i="7" s="1"/>
  <c r="M30" i="7" s="1"/>
  <c r="O30" i="7" s="1"/>
  <c r="Q30" i="7" s="1"/>
  <c r="S30" i="7" s="1"/>
  <c r="U30" i="7" s="1"/>
  <c r="W30" i="7" s="1"/>
  <c r="Y30" i="7" s="1"/>
  <c r="AA30" i="7" s="1"/>
  <c r="AC30" i="7" s="1"/>
  <c r="AE30" i="7" s="1"/>
  <c r="AG30" i="7" s="1"/>
  <c r="AG29" i="7"/>
  <c r="O29" i="7"/>
  <c r="AA29" i="7"/>
  <c r="Y29" i="7"/>
  <c r="S29" i="7"/>
  <c r="K29"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G690" i="3"/>
  <c r="BG691" i="3"/>
  <c r="BG692" i="3"/>
  <c r="BG693" i="3"/>
  <c r="BG694" i="3"/>
  <c r="BG695" i="3"/>
  <c r="BG696" i="3"/>
  <c r="BG697" i="3"/>
  <c r="BG698" i="3"/>
  <c r="BG699" i="3"/>
  <c r="BG700" i="3"/>
  <c r="BG701" i="3"/>
  <c r="BG702" i="3"/>
  <c r="BG703" i="3"/>
  <c r="BG704" i="3"/>
  <c r="BG705" i="3"/>
  <c r="BG706" i="3"/>
  <c r="BG707" i="3"/>
  <c r="BG708" i="3"/>
  <c r="BG709" i="3"/>
  <c r="BG710" i="3"/>
  <c r="BG711" i="3"/>
  <c r="BG712" i="3"/>
  <c r="BG713" i="3"/>
  <c r="BG689" i="3"/>
  <c r="BA667" i="3"/>
  <c r="AH725" i="3" s="1"/>
  <c r="X725" i="3"/>
  <c r="BA664" i="3"/>
  <c r="X722" i="3"/>
  <c r="BA665" i="3"/>
  <c r="X723" i="3"/>
  <c r="BA663" i="3"/>
  <c r="X721" i="3"/>
  <c r="AH721" i="3" s="1"/>
  <c r="BA666" i="3"/>
  <c r="X724" i="3"/>
  <c r="AB234" i="20"/>
  <c r="AB236" i="20" s="1"/>
  <c r="AB222" i="20"/>
  <c r="AB221" i="20"/>
  <c r="AB220" i="20"/>
  <c r="AB219" i="20"/>
  <c r="AB218" i="20"/>
  <c r="AB217" i="20"/>
  <c r="AB216" i="20"/>
  <c r="AB215" i="20"/>
  <c r="AB214" i="20"/>
  <c r="AB213" i="20"/>
  <c r="AF805" i="20"/>
  <c r="AG512" i="20"/>
  <c r="AG508" i="20"/>
  <c r="AG504" i="20"/>
  <c r="AG501" i="20"/>
  <c r="AG497" i="20"/>
  <c r="AG492" i="20"/>
  <c r="AG487" i="20"/>
  <c r="AG485" i="20"/>
  <c r="AG481" i="20"/>
  <c r="AG476" i="20"/>
  <c r="AG474" i="20"/>
  <c r="AG469" i="20"/>
  <c r="AK524" i="20" s="1"/>
  <c r="T798" i="20" s="1"/>
  <c r="AF798" i="20" s="1"/>
  <c r="AP362" i="20"/>
  <c r="AP361" i="20"/>
  <c r="AP360" i="20"/>
  <c r="AP359" i="20"/>
  <c r="AP358" i="20"/>
  <c r="AP357" i="20"/>
  <c r="AP364" i="20" s="1"/>
  <c r="AQ364" i="20" s="1"/>
  <c r="AP354" i="20"/>
  <c r="AP353" i="20"/>
  <c r="AP352" i="20"/>
  <c r="AP351" i="20"/>
  <c r="AP350" i="20"/>
  <c r="AP349" i="20"/>
  <c r="AP348" i="20"/>
  <c r="AP347" i="20"/>
  <c r="AP346" i="20"/>
  <c r="AJ766" i="20"/>
  <c r="AJ750" i="20"/>
  <c r="AJ738" i="20"/>
  <c r="AJ722" i="20"/>
  <c r="AJ710" i="20"/>
  <c r="AJ696" i="20"/>
  <c r="AJ676" i="20"/>
  <c r="AJ629" i="20"/>
  <c r="AO586" i="20"/>
  <c r="AJ169" i="20"/>
  <c r="T795" i="20" s="1"/>
  <c r="AJ155" i="20"/>
  <c r="T794" i="20" s="1"/>
  <c r="AO64" i="20"/>
  <c r="AO63" i="20"/>
  <c r="AO62" i="20"/>
  <c r="A3" i="15"/>
  <c r="BA986" i="3"/>
  <c r="T11" i="4"/>
  <c r="R10" i="4"/>
  <c r="R91" i="4"/>
  <c r="R84" i="4"/>
  <c r="AI7" i="15"/>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28" i="8"/>
  <c r="G2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C86" i="13" s="1"/>
  <c r="B85" i="13"/>
  <c r="C85" i="13" s="1"/>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D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104" i="4" s="1"/>
  <c r="R95" i="4"/>
  <c r="R94" i="4"/>
  <c r="R93" i="4"/>
  <c r="R92" i="4"/>
  <c r="R90" i="4"/>
  <c r="R89" i="4"/>
  <c r="R88" i="4"/>
  <c r="R87" i="4"/>
  <c r="R86" i="4"/>
  <c r="S86" i="4" s="1"/>
  <c r="E86" i="13" s="1"/>
  <c r="F86" i="13" s="1"/>
  <c r="R85" i="4"/>
  <c r="S85" i="4" s="1"/>
  <c r="S96" i="4" s="1"/>
  <c r="E96" i="13" s="1"/>
  <c r="R83" i="4"/>
  <c r="R76" i="4"/>
  <c r="R75" i="4"/>
  <c r="R72" i="4"/>
  <c r="R73" i="4"/>
  <c r="R74" i="4"/>
  <c r="R69" i="4"/>
  <c r="R65" i="4"/>
  <c r="R61" i="4"/>
  <c r="R60" i="4"/>
  <c r="R59" i="4"/>
  <c r="R58" i="4"/>
  <c r="R57" i="4"/>
  <c r="R56" i="4"/>
  <c r="R53" i="4"/>
  <c r="R52" i="4"/>
  <c r="R51" i="4"/>
  <c r="R50" i="4"/>
  <c r="R49" i="4"/>
  <c r="R54" i="4" s="1"/>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D22" i="11" s="1"/>
  <c r="B23" i="11"/>
  <c r="C23" i="11"/>
  <c r="B24" i="11"/>
  <c r="B28" i="11"/>
  <c r="C28" i="11"/>
  <c r="B30" i="11"/>
  <c r="C30" i="11"/>
  <c r="D30" i="11" s="1"/>
  <c r="D33" i="11"/>
  <c r="D34" i="11"/>
  <c r="B41" i="11"/>
  <c r="C41" i="11"/>
  <c r="C42" i="11"/>
  <c r="B42" i="11"/>
  <c r="B44" i="11"/>
  <c r="C44" i="11"/>
  <c r="B46" i="11"/>
  <c r="C46" i="11"/>
  <c r="B47" i="11"/>
  <c r="C47" i="11"/>
  <c r="B48" i="11"/>
  <c r="B49" i="11"/>
  <c r="B50" i="11"/>
  <c r="B51" i="11"/>
  <c r="D51" i="11" s="1"/>
  <c r="B52" i="11"/>
  <c r="B53" i="11"/>
  <c r="C48" i="11"/>
  <c r="C49" i="11"/>
  <c r="C50" i="11"/>
  <c r="C51" i="11"/>
  <c r="C52" i="11"/>
  <c r="C53" i="11"/>
  <c r="B57" i="11"/>
  <c r="C57" i="11"/>
  <c r="B58" i="11"/>
  <c r="C58" i="11"/>
  <c r="B59" i="11"/>
  <c r="C59" i="11"/>
  <c r="B60" i="11"/>
  <c r="C60" i="11"/>
  <c r="B61" i="11"/>
  <c r="C61" i="11"/>
  <c r="D61" i="11" s="1"/>
  <c r="B62" i="11"/>
  <c r="C62" i="11"/>
  <c r="B66" i="11"/>
  <c r="C66" i="11"/>
  <c r="B73" i="11"/>
  <c r="C73" i="11"/>
  <c r="B74" i="11"/>
  <c r="C74" i="11"/>
  <c r="D74" i="11" s="1"/>
  <c r="B75" i="11"/>
  <c r="C75" i="11"/>
  <c r="B76" i="11"/>
  <c r="C76" i="11"/>
  <c r="B77" i="11"/>
  <c r="C77" i="11"/>
  <c r="B84" i="11"/>
  <c r="C84" i="11"/>
  <c r="D84" i="11" s="1"/>
  <c r="B100" i="11"/>
  <c r="C100" i="11"/>
  <c r="A4" i="8"/>
  <c r="D4" i="8"/>
  <c r="I4" i="8"/>
  <c r="A5" i="8"/>
  <c r="D5" i="8"/>
  <c r="I5" i="8"/>
  <c r="J5" i="8" s="1"/>
  <c r="A6" i="8"/>
  <c r="D6" i="8"/>
  <c r="I6" i="8"/>
  <c r="A7" i="8"/>
  <c r="D7" i="8"/>
  <c r="I7" i="8"/>
  <c r="A8" i="8"/>
  <c r="D8" i="8"/>
  <c r="I8" i="8"/>
  <c r="A9" i="8"/>
  <c r="D9" i="8"/>
  <c r="I9" i="8"/>
  <c r="J9" i="8" s="1"/>
  <c r="A10" i="8"/>
  <c r="D10" i="8"/>
  <c r="I10" i="8"/>
  <c r="A11" i="8"/>
  <c r="D11" i="8"/>
  <c r="I11" i="8"/>
  <c r="A12" i="8"/>
  <c r="D12" i="8"/>
  <c r="I12" i="8"/>
  <c r="A13" i="8"/>
  <c r="D13" i="8"/>
  <c r="I13" i="8"/>
  <c r="J13" i="8" s="1"/>
  <c r="A14" i="8"/>
  <c r="D14" i="8"/>
  <c r="I14" i="8"/>
  <c r="A15" i="8"/>
  <c r="D15" i="8"/>
  <c r="I15" i="8"/>
  <c r="A16" i="8"/>
  <c r="D16" i="8"/>
  <c r="I16" i="8"/>
  <c r="A17" i="8"/>
  <c r="D17" i="8"/>
  <c r="I17" i="8"/>
  <c r="J17" i="8" s="1"/>
  <c r="A18" i="8"/>
  <c r="D18" i="8"/>
  <c r="I18" i="8"/>
  <c r="A19" i="8"/>
  <c r="D19" i="8"/>
  <c r="I19" i="8"/>
  <c r="A20" i="8"/>
  <c r="D20" i="8"/>
  <c r="I20" i="8"/>
  <c r="A21" i="8"/>
  <c r="D21" i="8"/>
  <c r="I21" i="8"/>
  <c r="A22" i="8"/>
  <c r="D22" i="8"/>
  <c r="I22" i="8"/>
  <c r="A23" i="8"/>
  <c r="D23" i="8"/>
  <c r="I23" i="8"/>
  <c r="A24" i="8"/>
  <c r="D24" i="8"/>
  <c r="I24" i="8"/>
  <c r="A25" i="8"/>
  <c r="D25" i="8"/>
  <c r="I25" i="8"/>
  <c r="A26" i="8"/>
  <c r="D26" i="8"/>
  <c r="I26" i="8"/>
  <c r="A27" i="8"/>
  <c r="D27" i="8"/>
  <c r="I27" i="8"/>
  <c r="A28" i="8"/>
  <c r="D28" i="8"/>
  <c r="I28" i="8"/>
  <c r="G16" i="7"/>
  <c r="I16" i="7" s="1"/>
  <c r="K16" i="7" s="1"/>
  <c r="M16" i="7" s="1"/>
  <c r="O16" i="7" s="1"/>
  <c r="Q16" i="7" s="1"/>
  <c r="S16" i="7" s="1"/>
  <c r="U16" i="7" s="1"/>
  <c r="W16" i="7" s="1"/>
  <c r="Y16" i="7" s="1"/>
  <c r="AA16" i="7" s="1"/>
  <c r="AC16" i="7" s="1"/>
  <c r="AE16" i="7" s="1"/>
  <c r="AG16" i="7" s="1"/>
  <c r="AE28"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s="1"/>
  <c r="T38" i="4"/>
  <c r="H38" i="13" s="1"/>
  <c r="T42" i="4"/>
  <c r="H42" i="13" s="1"/>
  <c r="T54" i="4"/>
  <c r="H54" i="13"/>
  <c r="T70" i="4"/>
  <c r="H70" i="13" s="1"/>
  <c r="T96" i="4"/>
  <c r="H96" i="13" s="1"/>
  <c r="DX596" i="3"/>
  <c r="DX600" i="3"/>
  <c r="DX601" i="3"/>
  <c r="DX602" i="3"/>
  <c r="DX603" i="3"/>
  <c r="DX604" i="3"/>
  <c r="DX605" i="3"/>
  <c r="DX607" i="3"/>
  <c r="DX611" i="3"/>
  <c r="DX612" i="3"/>
  <c r="DX613" i="3"/>
  <c r="DX615" i="3"/>
  <c r="DX616" i="3"/>
  <c r="DX617" i="3"/>
  <c r="DX618" i="3"/>
  <c r="DX619" i="3"/>
  <c r="DX620" i="3"/>
  <c r="EC596" i="3"/>
  <c r="EC597" i="3"/>
  <c r="EC598" i="3"/>
  <c r="EC603" i="3"/>
  <c r="EC604" i="3"/>
  <c r="EC605" i="3"/>
  <c r="EC609" i="3"/>
  <c r="EC611" i="3"/>
  <c r="EC613" i="3"/>
  <c r="EC614" i="3"/>
  <c r="EC615" i="3"/>
  <c r="EC617" i="3"/>
  <c r="EC620" i="3"/>
  <c r="EH596" i="3"/>
  <c r="EH597" i="3"/>
  <c r="EH598" i="3"/>
  <c r="EH599" i="3"/>
  <c r="EH604" i="3"/>
  <c r="EH605" i="3"/>
  <c r="EH606" i="3"/>
  <c r="EH607" i="3"/>
  <c r="EH608" i="3"/>
  <c r="EH609" i="3"/>
  <c r="EH612" i="3"/>
  <c r="EH613" i="3"/>
  <c r="EH614" i="3"/>
  <c r="EH617" i="3"/>
  <c r="EH619" i="3"/>
  <c r="EH620" i="3"/>
  <c r="EM598" i="3"/>
  <c r="EM599" i="3"/>
  <c r="EM600" i="3"/>
  <c r="EM602" i="3"/>
  <c r="EM603" i="3"/>
  <c r="EM605" i="3"/>
  <c r="EM607" i="3"/>
  <c r="EM608" i="3"/>
  <c r="EM610" i="3"/>
  <c r="EM611" i="3"/>
  <c r="EM614" i="3"/>
  <c r="EM615" i="3"/>
  <c r="EM616" i="3"/>
  <c r="EM618" i="3"/>
  <c r="EM619" i="3"/>
  <c r="EW599" i="3"/>
  <c r="EW600" i="3"/>
  <c r="EW602" i="3"/>
  <c r="EW603" i="3"/>
  <c r="EW609" i="3"/>
  <c r="EW610" i="3"/>
  <c r="EW611" i="3"/>
  <c r="EW615" i="3"/>
  <c r="EW616" i="3"/>
  <c r="EW617" i="3"/>
  <c r="ER598" i="3"/>
  <c r="ER599" i="3"/>
  <c r="ER600" i="3"/>
  <c r="ER602" i="3"/>
  <c r="ER605" i="3"/>
  <c r="ER608" i="3"/>
  <c r="ER609" i="3"/>
  <c r="ER610" i="3"/>
  <c r="ER612" i="3"/>
  <c r="ER613" i="3"/>
  <c r="ER614" i="3"/>
  <c r="ER615" i="3"/>
  <c r="ER616" i="3"/>
  <c r="ER617" i="3"/>
  <c r="ER620" i="3"/>
  <c r="C11" i="4"/>
  <c r="C38" i="4"/>
  <c r="B38" i="13" s="1"/>
  <c r="C54" i="4"/>
  <c r="B54" i="13" s="1"/>
  <c r="C62" i="4"/>
  <c r="B62" i="13" s="1"/>
  <c r="C77" i="4"/>
  <c r="B77" i="13" s="1"/>
  <c r="C96" i="4"/>
  <c r="B96" i="13" s="1"/>
  <c r="D8" i="4"/>
  <c r="D11" i="4"/>
  <c r="D26" i="4"/>
  <c r="D38" i="4"/>
  <c r="D42" i="4"/>
  <c r="D54" i="4"/>
  <c r="D62" i="4"/>
  <c r="D77" i="4"/>
  <c r="D96" i="4"/>
  <c r="D104" i="4"/>
  <c r="AO637" i="3"/>
  <c r="E26" i="13"/>
  <c r="S38" i="4"/>
  <c r="S42" i="4"/>
  <c r="E42" i="13" s="1"/>
  <c r="S54" i="4"/>
  <c r="E54"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7" i="3"/>
  <c r="AF417" i="3"/>
  <c r="BA453" i="3"/>
  <c r="BA454" i="3"/>
  <c r="BA461" i="3"/>
  <c r="BA462" i="3"/>
  <c r="BA469" i="3"/>
  <c r="BA477" i="3"/>
  <c r="BI541" i="3"/>
  <c r="BI542" i="3"/>
  <c r="BI549" i="3"/>
  <c r="BI550" i="3"/>
  <c r="BI557" i="3"/>
  <c r="BI558" i="3"/>
  <c r="AM562" i="3"/>
  <c r="G564" i="3"/>
  <c r="Z564" i="3"/>
  <c r="BI565" i="3"/>
  <c r="BI566" i="3"/>
  <c r="G573" i="3"/>
  <c r="Z573" i="3"/>
  <c r="G581" i="3"/>
  <c r="Z581" i="3"/>
  <c r="G589" i="3"/>
  <c r="Z589" i="3"/>
  <c r="G597" i="3"/>
  <c r="Z597" i="3"/>
  <c r="CS596" i="3"/>
  <c r="CX596" i="3"/>
  <c r="DC596" i="3"/>
  <c r="DH596" i="3"/>
  <c r="DM596" i="3"/>
  <c r="DR596"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G605" i="3"/>
  <c r="Z605" i="3"/>
  <c r="CS602" i="3"/>
  <c r="CX602" i="3"/>
  <c r="DC602" i="3"/>
  <c r="DH602" i="3"/>
  <c r="DM602" i="3"/>
  <c r="DR602"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G639" i="3"/>
  <c r="Z639" i="3"/>
  <c r="G647" i="3"/>
  <c r="Z647" i="3"/>
  <c r="G655" i="3"/>
  <c r="Z655" i="3"/>
  <c r="BA656" i="3"/>
  <c r="AH714" i="3" s="1"/>
  <c r="BA657" i="3"/>
  <c r="BA658" i="3"/>
  <c r="BA659" i="3"/>
  <c r="G663" i="3"/>
  <c r="Z663" i="3"/>
  <c r="BA660" i="3"/>
  <c r="AH718" i="3" s="1"/>
  <c r="BA661" i="3"/>
  <c r="AH719" i="3" s="1"/>
  <c r="BA662" i="3"/>
  <c r="AH720" i="3" s="1"/>
  <c r="G671" i="3"/>
  <c r="Z671" i="3"/>
  <c r="BA668" i="3"/>
  <c r="AH726" i="3" s="1"/>
  <c r="BA669" i="3"/>
  <c r="BA670" i="3"/>
  <c r="BA671" i="3"/>
  <c r="BA672" i="3"/>
  <c r="BA673" i="3"/>
  <c r="BA674" i="3"/>
  <c r="BA675" i="3"/>
  <c r="G679" i="3"/>
  <c r="Z679" i="3"/>
  <c r="BA676" i="3"/>
  <c r="BA677" i="3"/>
  <c r="BA678" i="3"/>
  <c r="BA679" i="3"/>
  <c r="BA680" i="3"/>
  <c r="X714" i="3"/>
  <c r="X715" i="3"/>
  <c r="X716" i="3"/>
  <c r="X717" i="3"/>
  <c r="X718" i="3"/>
  <c r="X719" i="3"/>
  <c r="X720" i="3"/>
  <c r="X726" i="3"/>
  <c r="X727" i="3"/>
  <c r="AH727" i="3"/>
  <c r="X728" i="3"/>
  <c r="AH728" i="3"/>
  <c r="X729" i="3"/>
  <c r="AH729" i="3"/>
  <c r="X730" i="3"/>
  <c r="AH730" i="3"/>
  <c r="X731" i="3"/>
  <c r="AH731" i="3"/>
  <c r="X732" i="3"/>
  <c r="AH732" i="3"/>
  <c r="X733" i="3"/>
  <c r="AH733" i="3"/>
  <c r="X734" i="3"/>
  <c r="AH734" i="3"/>
  <c r="X735" i="3"/>
  <c r="AH735" i="3"/>
  <c r="X736" i="3"/>
  <c r="AH736" i="3"/>
  <c r="X737" i="3"/>
  <c r="AH737" i="3"/>
  <c r="X738" i="3"/>
  <c r="AH738" i="3"/>
  <c r="M816" i="3"/>
  <c r="Q816" i="3"/>
  <c r="U816" i="3"/>
  <c r="Y816" i="3"/>
  <c r="AC816" i="3"/>
  <c r="AG816" i="3"/>
  <c r="BI830" i="3"/>
  <c r="Z885" i="3"/>
  <c r="BA983" i="3"/>
  <c r="BA984" i="3"/>
  <c r="BA985" i="3"/>
  <c r="BA987" i="3"/>
  <c r="BA988" i="3"/>
  <c r="BA989" i="3"/>
  <c r="BA990" i="3"/>
  <c r="BA991" i="3"/>
  <c r="B70" i="4"/>
  <c r="B77" i="4"/>
  <c r="D49" i="11"/>
  <c r="D50" i="11"/>
  <c r="I63" i="13"/>
  <c r="I97" i="13"/>
  <c r="I105" i="13"/>
  <c r="I107" i="13"/>
  <c r="B81" i="13"/>
  <c r="D54" i="11"/>
  <c r="J63" i="13"/>
  <c r="J97" i="13"/>
  <c r="J105" i="13"/>
  <c r="J107" i="13"/>
  <c r="L12" i="4"/>
  <c r="D48" i="11"/>
  <c r="AH715" i="3"/>
  <c r="D93" i="11"/>
  <c r="D5" i="11"/>
  <c r="D70" i="11"/>
  <c r="D80" i="11"/>
  <c r="D52" i="11"/>
  <c r="I12" i="4"/>
  <c r="G12" i="4"/>
  <c r="D46" i="11"/>
  <c r="D6" i="11"/>
  <c r="L63" i="4"/>
  <c r="L97" i="4" s="1"/>
  <c r="L105" i="4" s="1"/>
  <c r="Q12" i="4"/>
  <c r="B11" i="4"/>
  <c r="O63" i="4"/>
  <c r="O97" i="4" s="1"/>
  <c r="O105" i="4" s="1"/>
  <c r="D18" i="11"/>
  <c r="R70" i="4"/>
  <c r="B8" i="4"/>
  <c r="N158" i="26" s="1"/>
  <c r="D10" i="11"/>
  <c r="G63" i="13"/>
  <c r="G97" i="13" s="1"/>
  <c r="G105" i="13" s="1"/>
  <c r="G107" i="13" s="1"/>
  <c r="D20" i="11"/>
  <c r="D8" i="11"/>
  <c r="D85" i="11"/>
  <c r="B43" i="11"/>
  <c r="D102" i="11"/>
  <c r="K12" i="4"/>
  <c r="C43" i="11"/>
  <c r="D43" i="11" s="1"/>
  <c r="C12" i="13"/>
  <c r="D63" i="4"/>
  <c r="D97" i="4" s="1"/>
  <c r="D105" i="4" s="1"/>
  <c r="B78" i="11"/>
  <c r="D7" i="11"/>
  <c r="F63" i="4"/>
  <c r="F97" i="4" s="1"/>
  <c r="F105" i="4" s="1"/>
  <c r="J12" i="4"/>
  <c r="O12" i="4"/>
  <c r="I63" i="4"/>
  <c r="I97" i="4" s="1"/>
  <c r="I105" i="4" s="1"/>
  <c r="D95" i="11"/>
  <c r="D25" i="11"/>
  <c r="B82" i="11"/>
  <c r="B11" i="13"/>
  <c r="D12" i="4"/>
  <c r="R77" i="4"/>
  <c r="H12" i="4"/>
  <c r="C82" i="11"/>
  <c r="B9" i="11"/>
  <c r="C39" i="11"/>
  <c r="D23" i="11"/>
  <c r="D19" i="11"/>
  <c r="D89" i="11"/>
  <c r="D73" i="11"/>
  <c r="D44" i="11"/>
  <c r="D35" i="11"/>
  <c r="D76" i="11"/>
  <c r="D31" i="11"/>
  <c r="D32" i="11"/>
  <c r="D15" i="11"/>
  <c r="D63" i="13"/>
  <c r="D97" i="13"/>
  <c r="D105" i="13" s="1"/>
  <c r="D14" i="11"/>
  <c r="Q63" i="4"/>
  <c r="Q97" i="4"/>
  <c r="Q105" i="4" s="1"/>
  <c r="C105" i="11"/>
  <c r="N63" i="4"/>
  <c r="N97" i="4"/>
  <c r="N105" i="4" s="1"/>
  <c r="N12" i="4"/>
  <c r="H63" i="4"/>
  <c r="H97" i="4" s="1"/>
  <c r="H105" i="4" s="1"/>
  <c r="F12" i="4"/>
  <c r="D60" i="11"/>
  <c r="M12" i="4"/>
  <c r="R8" i="4"/>
  <c r="D59" i="11"/>
  <c r="D38" i="11"/>
  <c r="R42" i="4"/>
  <c r="P63" i="4"/>
  <c r="P97" i="4"/>
  <c r="P105" i="4" s="1"/>
  <c r="B63" i="11"/>
  <c r="C9" i="11"/>
  <c r="D12" i="13"/>
  <c r="D58" i="11"/>
  <c r="D100" i="11"/>
  <c r="D62" i="11"/>
  <c r="D24" i="11"/>
  <c r="D101" i="11"/>
  <c r="R62" i="4"/>
  <c r="D66" i="11"/>
  <c r="R38" i="4"/>
  <c r="C63" i="13"/>
  <c r="D92" i="11"/>
  <c r="D75" i="11"/>
  <c r="B71" i="11"/>
  <c r="B39" i="11"/>
  <c r="D28" i="11"/>
  <c r="C55" i="11"/>
  <c r="D103" i="11"/>
  <c r="D88" i="11"/>
  <c r="D42" i="11"/>
  <c r="D21" i="11"/>
  <c r="D16" i="11"/>
  <c r="B12" i="11"/>
  <c r="R26" i="4"/>
  <c r="D81" i="11"/>
  <c r="F63" i="13"/>
  <c r="AH717" i="3"/>
  <c r="AH716" i="3"/>
  <c r="AD199" i="20"/>
  <c r="B42" i="4"/>
  <c r="D77" i="11"/>
  <c r="C71" i="11"/>
  <c r="D71" i="11" s="1"/>
  <c r="M63" i="4"/>
  <c r="M97" i="4" s="1"/>
  <c r="M105" i="4" s="1"/>
  <c r="G63" i="4"/>
  <c r="G97" i="4" s="1"/>
  <c r="G105" i="4" s="1"/>
  <c r="D91" i="11"/>
  <c r="J63" i="4"/>
  <c r="J97" i="4" s="1"/>
  <c r="J105" i="4" s="1"/>
  <c r="D41" i="11"/>
  <c r="C12" i="11"/>
  <c r="D12" i="11" s="1"/>
  <c r="K63" i="4"/>
  <c r="K97" i="4" s="1"/>
  <c r="K105" i="4" s="1"/>
  <c r="B62" i="4"/>
  <c r="B105" i="11"/>
  <c r="AD7" i="15"/>
  <c r="E63" i="4"/>
  <c r="G40" i="7"/>
  <c r="G43" i="7" s="1"/>
  <c r="AG40" i="7"/>
  <c r="AG43" i="7" s="1"/>
  <c r="K28" i="7"/>
  <c r="O28" i="7"/>
  <c r="I28" i="7"/>
  <c r="W28" i="7"/>
  <c r="S28" i="7"/>
  <c r="Y28" i="7"/>
  <c r="AC28" i="7"/>
  <c r="AG28" i="7"/>
  <c r="M28" i="7"/>
  <c r="G28" i="7"/>
  <c r="AA28" i="7"/>
  <c r="Q28" i="7"/>
  <c r="U28" i="7"/>
  <c r="D104" i="11"/>
  <c r="E12" i="4"/>
  <c r="T63" i="4"/>
  <c r="T97" i="4"/>
  <c r="T105" i="4" s="1"/>
  <c r="D11" i="11"/>
  <c r="C12" i="4"/>
  <c r="B12" i="13" s="1"/>
  <c r="D82" i="11"/>
  <c r="B12" i="4"/>
  <c r="H63" i="13"/>
  <c r="D96" i="11"/>
  <c r="AK172" i="20"/>
  <c r="AB223" i="20"/>
  <c r="AB239" i="20" s="1"/>
  <c r="AB241" i="20" s="1"/>
  <c r="AB243" i="20" s="1"/>
  <c r="AB249" i="20" s="1"/>
  <c r="AD198" i="20" s="1"/>
  <c r="AD200" i="20" s="1"/>
  <c r="D86" i="11" l="1"/>
  <c r="E85" i="13"/>
  <c r="F85" i="13" s="1"/>
  <c r="F96" i="13" s="1"/>
  <c r="F97" i="13" s="1"/>
  <c r="F105" i="13" s="1"/>
  <c r="F107" i="13" s="1"/>
  <c r="B96" i="4"/>
  <c r="E97" i="4"/>
  <c r="E105" i="4" s="1"/>
  <c r="C96" i="13"/>
  <c r="C97" i="13" s="1"/>
  <c r="C105" i="13" s="1"/>
  <c r="R96" i="4"/>
  <c r="S63" i="4"/>
  <c r="R81" i="4"/>
  <c r="R11" i="4"/>
  <c r="AZ835" i="3"/>
  <c r="B104" i="4"/>
  <c r="B97" i="11"/>
  <c r="N157" i="26"/>
  <c r="N164" i="26" s="1"/>
  <c r="D57" i="11"/>
  <c r="B54" i="4"/>
  <c r="D36" i="11"/>
  <c r="D39" i="11"/>
  <c r="B38" i="4"/>
  <c r="S97" i="4"/>
  <c r="E63" i="13"/>
  <c r="R12" i="4"/>
  <c r="R63" i="4"/>
  <c r="R97" i="4" s="1"/>
  <c r="R105" i="4" s="1"/>
  <c r="H105" i="13"/>
  <c r="T107" i="4"/>
  <c r="H107" i="13" s="1"/>
  <c r="AD11" i="15" s="1"/>
  <c r="AD23" i="15" s="1"/>
  <c r="AD26" i="15" s="1"/>
  <c r="AB48" i="15"/>
  <c r="H97" i="13"/>
  <c r="E38" i="13"/>
  <c r="B55" i="11"/>
  <c r="D55" i="11" s="1"/>
  <c r="D53" i="11"/>
  <c r="D47" i="11"/>
  <c r="C78" i="11"/>
  <c r="D78" i="11" s="1"/>
  <c r="C63" i="11"/>
  <c r="D63" i="11" s="1"/>
  <c r="C97" i="11"/>
  <c r="D9" i="11"/>
  <c r="C13" i="11"/>
  <c r="D105" i="11"/>
  <c r="B26" i="4"/>
  <c r="C27" i="11"/>
  <c r="B13" i="11"/>
  <c r="C63" i="4"/>
  <c r="B63" i="13" s="1"/>
  <c r="AH722" i="3"/>
  <c r="AH724" i="3"/>
  <c r="AH723" i="3"/>
  <c r="Q30" i="21" a="1"/>
  <c r="Q30" i="21" s="1"/>
  <c r="AO65" i="20"/>
  <c r="AP355" i="20"/>
  <c r="AQ355" i="20" s="1"/>
  <c r="AS351" i="20" s="1"/>
  <c r="AS347" i="20" s="1"/>
  <c r="AK458" i="20" s="1"/>
  <c r="T802" i="20" s="1"/>
  <c r="AF802" i="20" s="1"/>
  <c r="G67" i="21"/>
  <c r="T801" i="20"/>
  <c r="AO17" i="20"/>
  <c r="T793" i="20"/>
  <c r="AF793" i="20" s="1"/>
  <c r="AK779" i="20"/>
  <c r="T804" i="20" s="1"/>
  <c r="AF804" i="20" s="1"/>
  <c r="AO36" i="20"/>
  <c r="AK56"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4" i="3"/>
  <c r="AD27" i="15" s="1"/>
  <c r="DR621"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30" i="3"/>
  <c r="BW631" i="3" s="1"/>
  <c r="DH621" i="3"/>
  <c r="S33" i="21"/>
  <c r="CM630" i="3"/>
  <c r="CQ631" i="3" s="1"/>
  <c r="BX630" i="3"/>
  <c r="CB631" i="3" s="1"/>
  <c r="DC621" i="3"/>
  <c r="CS621" i="3"/>
  <c r="CC630" i="3"/>
  <c r="CG631" i="3" s="1"/>
  <c r="BA981" i="3"/>
  <c r="Q39" i="21" a="1"/>
  <c r="Q39" i="21" s="1"/>
  <c r="DM621" i="3"/>
  <c r="R39" i="21"/>
  <c r="Q27" i="21" a="1"/>
  <c r="Q27" i="21" s="1"/>
  <c r="CH630" i="3"/>
  <c r="CL631" i="3" s="1"/>
  <c r="CM644" i="3"/>
  <c r="CQ645" i="3" s="1"/>
  <c r="AC782" i="3"/>
  <c r="G8" i="7"/>
  <c r="G9" i="7" s="1"/>
  <c r="E9" i="7"/>
  <c r="CX644" i="3"/>
  <c r="Q35" i="21" a="1"/>
  <c r="Q35" i="21" s="1"/>
  <c r="Q43" i="21" a="1"/>
  <c r="Q43" i="21" s="1"/>
  <c r="Q31" i="21" a="1"/>
  <c r="Q31" i="21" s="1"/>
  <c r="R957" i="3"/>
  <c r="G112" i="21" s="1"/>
  <c r="G114" i="21" s="1"/>
  <c r="I15" i="21" s="1"/>
  <c r="R956" i="3"/>
  <c r="R955" i="3"/>
  <c r="AC762" i="3"/>
  <c r="T22" i="21"/>
  <c r="S41" i="21"/>
  <c r="E99" i="20"/>
  <c r="O44" i="21"/>
  <c r="R41" i="21"/>
  <c r="T41" i="21"/>
  <c r="Q23" i="21" a="1"/>
  <c r="Q23" i="21" s="1"/>
  <c r="E98" i="20"/>
  <c r="Q40" i="21" a="1"/>
  <c r="Q40" i="21" s="1"/>
  <c r="O41" i="21"/>
  <c r="R40" i="21"/>
  <c r="T40" i="21"/>
  <c r="AC867" i="3"/>
  <c r="BG243" i="3"/>
  <c r="BO245" i="3" s="1"/>
  <c r="T266" i="3" s="1"/>
  <c r="BS621" i="3"/>
  <c r="EC637" i="3" s="1"/>
  <c r="P41" i="21" a="1"/>
  <c r="P41" i="21" s="1"/>
  <c r="Q29" i="21" a="1"/>
  <c r="Q29" i="21" s="1"/>
  <c r="CX621" i="3"/>
  <c r="Q34" i="21" a="1"/>
  <c r="Q34" i="21" s="1"/>
  <c r="R38" i="21"/>
  <c r="T35" i="21"/>
  <c r="T23" i="21"/>
  <c r="BN630" i="3"/>
  <c r="BR631" i="3" s="1"/>
  <c r="R959" i="3"/>
  <c r="ER621" i="3"/>
  <c r="BX644" i="3"/>
  <c r="CB645" i="3" s="1"/>
  <c r="DC641" i="3"/>
  <c r="DC644" i="3" s="1"/>
  <c r="Q32" i="21" a="1"/>
  <c r="Q32" i="21" s="1"/>
  <c r="T32" i="21"/>
  <c r="S32" i="21"/>
  <c r="S26" i="21"/>
  <c r="T26" i="21"/>
  <c r="Q26" i="21" a="1"/>
  <c r="Q26" i="21" s="1"/>
  <c r="BK621" i="3"/>
  <c r="X1017" i="3" s="1"/>
  <c r="CH621" i="3"/>
  <c r="BS644" i="3"/>
  <c r="BW645" i="3" s="1"/>
  <c r="E22" i="7"/>
  <c r="BG714" i="3"/>
  <c r="BH699" i="3" s="1"/>
  <c r="BI699" i="3" s="1"/>
  <c r="T20" i="21"/>
  <c r="M18" i="21"/>
  <c r="BG682" i="3"/>
  <c r="BH681" i="3" s="1"/>
  <c r="BI681" i="3" s="1"/>
  <c r="T37" i="21"/>
  <c r="Q37" i="21" a="1"/>
  <c r="Q37" i="21" s="1"/>
  <c r="P37" i="21" a="1"/>
  <c r="P37" i="21" s="1"/>
  <c r="R37" i="21"/>
  <c r="S37" i="21"/>
  <c r="EW598" i="3"/>
  <c r="CM621" i="3"/>
  <c r="EW632" i="3" s="1"/>
  <c r="BG621" i="3"/>
  <c r="X1013" i="3" s="1"/>
  <c r="EM596" i="3"/>
  <c r="CC621" i="3"/>
  <c r="EM640" i="3" s="1"/>
  <c r="DR644" i="3"/>
  <c r="DX598" i="3"/>
  <c r="BN621" i="3"/>
  <c r="DX628" i="3" s="1"/>
  <c r="EC621" i="3"/>
  <c r="CH644" i="3"/>
  <c r="CL645" i="3" s="1"/>
  <c r="DM634" i="3"/>
  <c r="DM644" i="3" s="1"/>
  <c r="DH644" i="3"/>
  <c r="AZ840" i="3"/>
  <c r="AC868" i="3"/>
  <c r="CC644" i="3"/>
  <c r="CG645" i="3" s="1"/>
  <c r="BX621" i="3"/>
  <c r="EH602" i="3"/>
  <c r="EH621" i="3" s="1"/>
  <c r="CS637" i="3"/>
  <c r="CS644" i="3" s="1"/>
  <c r="BN644" i="3"/>
  <c r="P39" i="21" a="1"/>
  <c r="P39" i="21" s="1"/>
  <c r="O39" i="21"/>
  <c r="T36" i="21"/>
  <c r="I1017" i="3"/>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30" i="8"/>
  <c r="Z793" i="3" s="1"/>
  <c r="G53" i="21"/>
  <c r="E24" i="21"/>
  <c r="E22" i="21"/>
  <c r="F22" i="21" s="1"/>
  <c r="G30" i="8"/>
  <c r="I15" i="7"/>
  <c r="AI11" i="15"/>
  <c r="E26" i="21"/>
  <c r="E23" i="21"/>
  <c r="F23" i="21" s="1"/>
  <c r="G23" i="21" s="1"/>
  <c r="D97" i="11" l="1"/>
  <c r="AC869" i="3"/>
  <c r="B63" i="4"/>
  <c r="C97" i="4"/>
  <c r="C105" i="4" s="1"/>
  <c r="AG258" i="20" s="1"/>
  <c r="C64" i="11"/>
  <c r="B64" i="11"/>
  <c r="B98" i="11" s="1"/>
  <c r="B106" i="11" s="1"/>
  <c r="S105" i="4"/>
  <c r="E97" i="13"/>
  <c r="D13" i="11"/>
  <c r="AD28" i="15"/>
  <c r="AS349" i="20"/>
  <c r="EC628" i="3"/>
  <c r="T800" i="20"/>
  <c r="AF800" i="20" s="1"/>
  <c r="Y27" i="15"/>
  <c r="AI27" i="15"/>
  <c r="T789" i="20"/>
  <c r="AF789" i="20" s="1"/>
  <c r="AK78" i="20"/>
  <c r="AI23" i="15"/>
  <c r="AI26" i="15" s="1"/>
  <c r="E35" i="7"/>
  <c r="T27" i="15"/>
  <c r="BH702" i="3"/>
  <c r="BI702" i="3" s="1"/>
  <c r="Y784" i="3"/>
  <c r="B97" i="4"/>
  <c r="B97" i="13"/>
  <c r="C98" i="11"/>
  <c r="G22" i="7"/>
  <c r="G35" i="7" s="1"/>
  <c r="EC634" i="3"/>
  <c r="EC636" i="3"/>
  <c r="EC626" i="3"/>
  <c r="EC642" i="3"/>
  <c r="BH691" i="3"/>
  <c r="BI691" i="3" s="1"/>
  <c r="EC638" i="3"/>
  <c r="DX635" i="3"/>
  <c r="BW623" i="3"/>
  <c r="EC627" i="3"/>
  <c r="EC639" i="3"/>
  <c r="CS631" i="3"/>
  <c r="EC646" i="3"/>
  <c r="EC645" i="3"/>
  <c r="EC632" i="3"/>
  <c r="BH692" i="3"/>
  <c r="BI692" i="3" s="1"/>
  <c r="EC647" i="3"/>
  <c r="EC641" i="3"/>
  <c r="EC648" i="3"/>
  <c r="EC635" i="3"/>
  <c r="EC624" i="3"/>
  <c r="EC625" i="3"/>
  <c r="EC640" i="3"/>
  <c r="EC629" i="3"/>
  <c r="EC633" i="3"/>
  <c r="EC644" i="3"/>
  <c r="AW112" i="20"/>
  <c r="AW110" i="20"/>
  <c r="BH695" i="3"/>
  <c r="BI695" i="3" s="1"/>
  <c r="EM625" i="3"/>
  <c r="BH713" i="3"/>
  <c r="BI713" i="3" s="1"/>
  <c r="BH707" i="3"/>
  <c r="BI707" i="3" s="1"/>
  <c r="EC643" i="3"/>
  <c r="EC630" i="3"/>
  <c r="I8" i="7"/>
  <c r="I9" i="7" s="1"/>
  <c r="S18" i="21"/>
  <c r="G44" i="21" s="1"/>
  <c r="BH703" i="3"/>
  <c r="BI703" i="3" s="1"/>
  <c r="Y785" i="3"/>
  <c r="E4" i="7" s="1"/>
  <c r="CS630" i="3"/>
  <c r="EC631" i="3"/>
  <c r="AW111" i="20"/>
  <c r="AW114" i="20"/>
  <c r="BH700" i="3"/>
  <c r="BI700" i="3" s="1"/>
  <c r="EH630" i="3"/>
  <c r="BA975" i="3"/>
  <c r="AG1010" i="3"/>
  <c r="CQ623" i="3"/>
  <c r="EW641" i="3"/>
  <c r="EW636" i="3"/>
  <c r="EW633" i="3"/>
  <c r="EW645" i="3"/>
  <c r="EW639" i="3"/>
  <c r="EW643" i="3"/>
  <c r="EW644" i="3"/>
  <c r="EW646" i="3"/>
  <c r="EW642" i="3"/>
  <c r="EW628" i="3"/>
  <c r="EW637" i="3"/>
  <c r="CM649" i="3"/>
  <c r="EW635" i="3"/>
  <c r="EW634" i="3"/>
  <c r="EW631" i="3"/>
  <c r="EW647" i="3"/>
  <c r="EW638" i="3"/>
  <c r="EW624" i="3"/>
  <c r="EW629" i="3"/>
  <c r="EW630" i="3"/>
  <c r="EW627" i="3"/>
  <c r="EW625" i="3"/>
  <c r="EW648" i="3"/>
  <c r="BH673" i="3"/>
  <c r="BI673" i="3" s="1"/>
  <c r="EW621" i="3"/>
  <c r="EW626" i="3"/>
  <c r="CL623" i="3"/>
  <c r="CH649" i="3"/>
  <c r="ER625" i="3"/>
  <c r="ER636" i="3"/>
  <c r="ER640" i="3"/>
  <c r="ER635" i="3"/>
  <c r="ER629" i="3"/>
  <c r="ER641" i="3"/>
  <c r="ER630" i="3"/>
  <c r="ER632" i="3"/>
  <c r="ER633" i="3"/>
  <c r="ER644" i="3"/>
  <c r="ER648" i="3"/>
  <c r="ER642" i="3"/>
  <c r="ER624" i="3"/>
  <c r="ER627" i="3"/>
  <c r="ER646" i="3"/>
  <c r="ER634" i="3"/>
  <c r="ER638" i="3"/>
  <c r="ER626" i="3"/>
  <c r="ER645" i="3"/>
  <c r="ER628" i="3"/>
  <c r="ER643" i="3"/>
  <c r="ER637" i="3"/>
  <c r="EM641" i="3"/>
  <c r="BA976" i="3"/>
  <c r="AG1014" i="3"/>
  <c r="ER631" i="3"/>
  <c r="BX649" i="3"/>
  <c r="AB957" i="3" s="1"/>
  <c r="AJ957" i="3" s="1"/>
  <c r="EH632" i="3"/>
  <c r="EH643" i="3"/>
  <c r="EH628" i="3"/>
  <c r="EH640" i="3"/>
  <c r="EH624" i="3"/>
  <c r="EH636" i="3"/>
  <c r="EH634" i="3"/>
  <c r="EH638" i="3"/>
  <c r="EH639" i="3"/>
  <c r="EH648" i="3"/>
  <c r="EH627" i="3"/>
  <c r="EH641" i="3"/>
  <c r="EH637" i="3"/>
  <c r="EH625" i="3"/>
  <c r="CB623" i="3"/>
  <c r="EH631" i="3"/>
  <c r="EH629" i="3"/>
  <c r="EH644" i="3"/>
  <c r="EH633" i="3"/>
  <c r="EH646" i="3"/>
  <c r="EH635" i="3"/>
  <c r="EH645" i="3"/>
  <c r="EH647" i="3"/>
  <c r="G35" i="21" a="1"/>
  <c r="G35" i="21" s="1"/>
  <c r="G36" i="21" s="1"/>
  <c r="DX638" i="3"/>
  <c r="DX629" i="3"/>
  <c r="DX631" i="3"/>
  <c r="DX630" i="3"/>
  <c r="BR623" i="3"/>
  <c r="DX625" i="3"/>
  <c r="DX645" i="3"/>
  <c r="DX624" i="3"/>
  <c r="DX641" i="3"/>
  <c r="DX636" i="3"/>
  <c r="DX644" i="3"/>
  <c r="DX646" i="3"/>
  <c r="DX633" i="3"/>
  <c r="DX643" i="3"/>
  <c r="DX637" i="3"/>
  <c r="DX648" i="3"/>
  <c r="DX647" i="3"/>
  <c r="CM622" i="3"/>
  <c r="DX640" i="3"/>
  <c r="BN649" i="3"/>
  <c r="AB955" i="3" s="1"/>
  <c r="DX627" i="3"/>
  <c r="DX642" i="3"/>
  <c r="DX639" i="3"/>
  <c r="DX632" i="3"/>
  <c r="EH642" i="3"/>
  <c r="BH689" i="3"/>
  <c r="BH701" i="3"/>
  <c r="BI701" i="3" s="1"/>
  <c r="BH705" i="3"/>
  <c r="BI705" i="3" s="1"/>
  <c r="BH706" i="3"/>
  <c r="BI706" i="3" s="1"/>
  <c r="BH709" i="3"/>
  <c r="BI709" i="3" s="1"/>
  <c r="BH690" i="3"/>
  <c r="BI690" i="3" s="1"/>
  <c r="BH698" i="3"/>
  <c r="BI698" i="3" s="1"/>
  <c r="BH697" i="3"/>
  <c r="BI697" i="3" s="1"/>
  <c r="BH694" i="3"/>
  <c r="BI694" i="3" s="1"/>
  <c r="BH696" i="3"/>
  <c r="BI696" i="3" s="1"/>
  <c r="BH710" i="3"/>
  <c r="BI710" i="3" s="1"/>
  <c r="BH693" i="3"/>
  <c r="BI693" i="3" s="1"/>
  <c r="BH712" i="3"/>
  <c r="BI712" i="3" s="1"/>
  <c r="BH711" i="3"/>
  <c r="BI711" i="3" s="1"/>
  <c r="BH704" i="3"/>
  <c r="BI704" i="3" s="1"/>
  <c r="EW640" i="3"/>
  <c r="DX626" i="3"/>
  <c r="DX621" i="3"/>
  <c r="ER639" i="3"/>
  <c r="AW113" i="20"/>
  <c r="DX634" i="3"/>
  <c r="BS649" i="3"/>
  <c r="AB956" i="3" s="1"/>
  <c r="AJ956" i="3" s="1"/>
  <c r="BH708" i="3"/>
  <c r="BI708" i="3" s="1"/>
  <c r="ER647" i="3"/>
  <c r="BR645" i="3"/>
  <c r="CS647" i="3" s="1"/>
  <c r="CS646" i="3"/>
  <c r="CC649" i="3"/>
  <c r="AB958" i="3" s="1"/>
  <c r="AJ958" i="3" s="1"/>
  <c r="EM639" i="3"/>
  <c r="EM635" i="3"/>
  <c r="EM642" i="3"/>
  <c r="EM630" i="3"/>
  <c r="EM643" i="3"/>
  <c r="CG623" i="3"/>
  <c r="EM648" i="3"/>
  <c r="EM626" i="3"/>
  <c r="EM646" i="3"/>
  <c r="EM644" i="3"/>
  <c r="EM647" i="3"/>
  <c r="EM629" i="3"/>
  <c r="EM634" i="3"/>
  <c r="EM636" i="3"/>
  <c r="EM628" i="3"/>
  <c r="EM638" i="3"/>
  <c r="EM631" i="3"/>
  <c r="EM645" i="3"/>
  <c r="EM633" i="3"/>
  <c r="EM627" i="3"/>
  <c r="EM637" i="3"/>
  <c r="BH661" i="3"/>
  <c r="BI661" i="3" s="1"/>
  <c r="BH659" i="3"/>
  <c r="BI659" i="3" s="1"/>
  <c r="BH669" i="3"/>
  <c r="BI669" i="3" s="1"/>
  <c r="BH664" i="3"/>
  <c r="BI664" i="3" s="1"/>
  <c r="BH662" i="3"/>
  <c r="BI662" i="3" s="1"/>
  <c r="BH667" i="3"/>
  <c r="BI667" i="3" s="1"/>
  <c r="BH674" i="3"/>
  <c r="BI674" i="3" s="1"/>
  <c r="BH679" i="3"/>
  <c r="BI679" i="3" s="1"/>
  <c r="BH680" i="3"/>
  <c r="BI680" i="3" s="1"/>
  <c r="BH671" i="3"/>
  <c r="BI671" i="3" s="1"/>
  <c r="BH677" i="3"/>
  <c r="BI677" i="3" s="1"/>
  <c r="BH666" i="3"/>
  <c r="BI666" i="3" s="1"/>
  <c r="BH658" i="3"/>
  <c r="BI658" i="3" s="1"/>
  <c r="BH670" i="3"/>
  <c r="BI670" i="3" s="1"/>
  <c r="BH663" i="3"/>
  <c r="BI663" i="3" s="1"/>
  <c r="BH672" i="3"/>
  <c r="BI672" i="3" s="1"/>
  <c r="BH675" i="3"/>
  <c r="BI675" i="3" s="1"/>
  <c r="BH660" i="3"/>
  <c r="BI660" i="3" s="1"/>
  <c r="BH678" i="3"/>
  <c r="BI678" i="3" s="1"/>
  <c r="BH676" i="3"/>
  <c r="BI676" i="3" s="1"/>
  <c r="BH668" i="3"/>
  <c r="BI668" i="3" s="1"/>
  <c r="EH626" i="3"/>
  <c r="DR646" i="3"/>
  <c r="EM621" i="3"/>
  <c r="EM624" i="3"/>
  <c r="BH657" i="3"/>
  <c r="BH665" i="3"/>
  <c r="BI665" i="3" s="1"/>
  <c r="EM632" i="3"/>
  <c r="E6" i="7"/>
  <c r="K15" i="7"/>
  <c r="I22" i="7"/>
  <c r="I35" i="7" s="1"/>
  <c r="E27" i="21"/>
  <c r="G22" i="21"/>
  <c r="AC454" i="3" l="1"/>
  <c r="B105" i="4"/>
  <c r="AB255" i="20" s="1"/>
  <c r="AG257" i="20" s="1"/>
  <c r="AG259" i="20" s="1"/>
  <c r="AK262" i="20" s="1"/>
  <c r="T797" i="20" s="1"/>
  <c r="AF797" i="20" s="1"/>
  <c r="B105" i="13"/>
  <c r="D64" i="11"/>
  <c r="E105" i="13"/>
  <c r="S107" i="4"/>
  <c r="AB47" i="15"/>
  <c r="AB49" i="15" s="1"/>
  <c r="AB54" i="15" s="1"/>
  <c r="AB55" i="15" s="1"/>
  <c r="O34" i="21"/>
  <c r="P34" i="21" s="1" a="1"/>
  <c r="P34" i="21" s="1"/>
  <c r="R34" i="21" s="1"/>
  <c r="O35" i="21"/>
  <c r="P35" i="21" s="1" a="1"/>
  <c r="P35" i="21" s="1"/>
  <c r="R35" i="21" s="1"/>
  <c r="O29" i="21"/>
  <c r="P29" i="21" s="1" a="1"/>
  <c r="P29" i="21" s="1"/>
  <c r="R29" i="21" s="1"/>
  <c r="O33" i="21"/>
  <c r="P33" i="21" s="1" a="1"/>
  <c r="P33" i="21" s="1"/>
  <c r="R33" i="21" s="1"/>
  <c r="O32" i="21"/>
  <c r="P32" i="21" s="1" a="1"/>
  <c r="P32" i="21" s="1"/>
  <c r="R32" i="21" s="1"/>
  <c r="O31" i="21"/>
  <c r="P31" i="21" s="1" a="1"/>
  <c r="P31" i="21" s="1"/>
  <c r="R31" i="21" s="1"/>
  <c r="O30" i="21"/>
  <c r="P30" i="21" s="1" a="1"/>
  <c r="P30" i="21" s="1"/>
  <c r="R30" i="21" s="1"/>
  <c r="O27" i="21"/>
  <c r="P27" i="21" s="1" a="1"/>
  <c r="P27" i="21" s="1"/>
  <c r="R27" i="21" s="1"/>
  <c r="O28" i="21"/>
  <c r="P28" i="21" s="1" a="1"/>
  <c r="P28" i="21" s="1"/>
  <c r="R28" i="21" s="1"/>
  <c r="O25" i="21"/>
  <c r="P25" i="21" s="1" a="1"/>
  <c r="P25" i="21" s="1"/>
  <c r="R25" i="21" s="1"/>
  <c r="O26" i="21"/>
  <c r="P26" i="21" s="1" a="1"/>
  <c r="P26" i="21" s="1"/>
  <c r="R26" i="21" s="1"/>
  <c r="O22" i="21"/>
  <c r="P22" i="21" s="1" a="1"/>
  <c r="P22" i="21" s="1"/>
  <c r="R22" i="21" s="1"/>
  <c r="O24" i="21"/>
  <c r="P24" i="21" s="1" a="1"/>
  <c r="P24" i="21" s="1"/>
  <c r="R24" i="21" s="1"/>
  <c r="O23" i="21"/>
  <c r="P23" i="21" s="1" a="1"/>
  <c r="P23" i="21" s="1"/>
  <c r="R23" i="21" s="1"/>
  <c r="O20" i="21"/>
  <c r="P20" i="21" s="1" a="1"/>
  <c r="P20" i="21" s="1"/>
  <c r="R20" i="21" s="1"/>
  <c r="O21" i="21"/>
  <c r="P21" i="21" s="1" a="1"/>
  <c r="P21" i="21" s="1"/>
  <c r="R21" i="21" s="1"/>
  <c r="AW116" i="20"/>
  <c r="AI28" i="15"/>
  <c r="AK180" i="20"/>
  <c r="T796" i="20" s="1"/>
  <c r="AF796" i="20" s="1"/>
  <c r="T790" i="20"/>
  <c r="AF790" i="20" s="1"/>
  <c r="K8" i="7"/>
  <c r="M8" i="7" s="1"/>
  <c r="AC453" i="3"/>
  <c r="F456" i="3" s="1"/>
  <c r="D98" i="11"/>
  <c r="C106" i="11"/>
  <c r="D106" i="11" s="1"/>
  <c r="G4" i="7"/>
  <c r="G5" i="7" s="1"/>
  <c r="EC649" i="3"/>
  <c r="J124" i="20" s="1"/>
  <c r="J127" i="20" s="1"/>
  <c r="J130" i="20" s="1"/>
  <c r="Z802" i="3"/>
  <c r="E5" i="7"/>
  <c r="EW649" i="3"/>
  <c r="AD124" i="20" s="1"/>
  <c r="AD127" i="20" s="1"/>
  <c r="AD130" i="20" s="1"/>
  <c r="DX649" i="3"/>
  <c r="E124" i="20" s="1"/>
  <c r="E127" i="20" s="1"/>
  <c r="E130" i="20" s="1"/>
  <c r="EH649" i="3"/>
  <c r="O124" i="20" s="1"/>
  <c r="O127" i="20" s="1"/>
  <c r="O130" i="20" s="1"/>
  <c r="ER649" i="3"/>
  <c r="Y124" i="20" s="1"/>
  <c r="Y127" i="20" s="1"/>
  <c r="Y130" i="20" s="1"/>
  <c r="BI657" i="3"/>
  <c r="BI682" i="3" s="1"/>
  <c r="AC739" i="3" s="1"/>
  <c r="BH682" i="3"/>
  <c r="BH714" i="3"/>
  <c r="BI689" i="3"/>
  <c r="BI714" i="3" s="1"/>
  <c r="AH739" i="3" s="1"/>
  <c r="CS623" i="3"/>
  <c r="EM649" i="3"/>
  <c r="T124" i="20" s="1"/>
  <c r="T127" i="20" s="1"/>
  <c r="T130" i="20" s="1"/>
  <c r="AJ955" i="3"/>
  <c r="AB959" i="3"/>
  <c r="AJ959" i="3" s="1"/>
  <c r="G6" i="7"/>
  <c r="E7" i="7"/>
  <c r="M15" i="7"/>
  <c r="K22" i="7"/>
  <c r="K35" i="7" s="1"/>
  <c r="F25" i="21"/>
  <c r="G54" i="21"/>
  <c r="G56" i="21" s="1"/>
  <c r="G58" i="21" s="1"/>
  <c r="E12" i="21" s="1"/>
  <c r="F26" i="21"/>
  <c r="G26" i="21" s="1"/>
  <c r="G45" i="21"/>
  <c r="G47" i="21" s="1"/>
  <c r="G49" i="21" s="1"/>
  <c r="E11" i="21" s="1"/>
  <c r="N154" i="26" l="1"/>
  <c r="N165" i="26" s="1"/>
  <c r="AF540" i="20"/>
  <c r="E107" i="13"/>
  <c r="AC455" i="3"/>
  <c r="G38" i="21"/>
  <c r="G40" i="21" s="1"/>
  <c r="E10" i="21" s="1"/>
  <c r="I4" i="7"/>
  <c r="I5" i="7" s="1"/>
  <c r="K9" i="7"/>
  <c r="E11" i="7"/>
  <c r="E37" i="7" s="1"/>
  <c r="E49" i="7" s="1"/>
  <c r="AJ961" i="3"/>
  <c r="AJ1010" i="3" s="1"/>
  <c r="AP541" i="20" s="1"/>
  <c r="E132" i="20"/>
  <c r="E133" i="20" s="1"/>
  <c r="AK137" i="20" s="1"/>
  <c r="T792" i="20" s="1"/>
  <c r="AF792" i="20" s="1"/>
  <c r="E87" i="20"/>
  <c r="E88" i="20" s="1"/>
  <c r="E89" i="20" s="1"/>
  <c r="E97" i="20"/>
  <c r="E100" i="20" s="1"/>
  <c r="AP100" i="20" s="1"/>
  <c r="AK103" i="20" s="1"/>
  <c r="T791" i="20" s="1"/>
  <c r="AF791" i="20" s="1"/>
  <c r="AB960" i="3"/>
  <c r="CS649" i="3"/>
  <c r="U362" i="20" s="1"/>
  <c r="O742" i="3"/>
  <c r="P420" i="3"/>
  <c r="I6" i="7"/>
  <c r="G7" i="7"/>
  <c r="G11" i="7" s="1"/>
  <c r="G37" i="7" s="1"/>
  <c r="M22" i="7"/>
  <c r="M35" i="7" s="1"/>
  <c r="O15" i="7"/>
  <c r="M9" i="7"/>
  <c r="O8" i="7"/>
  <c r="G25" i="21"/>
  <c r="F24" i="21"/>
  <c r="N155" i="26" l="1"/>
  <c r="T11" i="15"/>
  <c r="T23" i="15" s="1"/>
  <c r="Y11" i="15"/>
  <c r="Y23" i="15" s="1"/>
  <c r="Y26" i="15" s="1"/>
  <c r="Y28" i="15" s="1"/>
  <c r="B1025" i="3"/>
  <c r="AJ1014" i="3"/>
  <c r="AP542" i="20" s="1"/>
  <c r="K4" i="7"/>
  <c r="M4" i="7" s="1"/>
  <c r="E45" i="7"/>
  <c r="E48" i="7" s="1"/>
  <c r="AJ1018" i="3"/>
  <c r="AP539" i="20"/>
  <c r="G45" i="7"/>
  <c r="G49" i="7"/>
  <c r="K6" i="7"/>
  <c r="I7" i="7"/>
  <c r="I11" i="7" s="1"/>
  <c r="I37" i="7" s="1"/>
  <c r="G24" i="21"/>
  <c r="F27" i="21"/>
  <c r="G27" i="21"/>
  <c r="O22" i="7"/>
  <c r="O35" i="7" s="1"/>
  <c r="Q15" i="7"/>
  <c r="O9" i="7"/>
  <c r="Q8" i="7"/>
  <c r="T26" i="15" l="1"/>
  <c r="T28" i="15" s="1"/>
  <c r="T29" i="15" s="1"/>
  <c r="Y64" i="15"/>
  <c r="Y68" i="15" s="1"/>
  <c r="AP543" i="20"/>
  <c r="K5" i="7"/>
  <c r="E47" i="7"/>
  <c r="E60" i="7"/>
  <c r="E62" i="7" s="1"/>
  <c r="T24" i="15"/>
  <c r="AP546" i="20"/>
  <c r="AP545" i="20" s="1"/>
  <c r="O4" i="7"/>
  <c r="M5" i="7"/>
  <c r="I45" i="7"/>
  <c r="I49" i="7"/>
  <c r="M6" i="7"/>
  <c r="K7" i="7"/>
  <c r="G60" i="7"/>
  <c r="G47" i="7"/>
  <c r="G48" i="7"/>
  <c r="Q22" i="7"/>
  <c r="Q35" i="7" s="1"/>
  <c r="S15" i="7"/>
  <c r="G95" i="21"/>
  <c r="G96" i="21" s="1"/>
  <c r="G29" i="21"/>
  <c r="G31" i="21" s="1"/>
  <c r="E9" i="21" s="1"/>
  <c r="G104" i="21"/>
  <c r="G106" i="21" s="1"/>
  <c r="G79" i="21"/>
  <c r="G64" i="21"/>
  <c r="Q9" i="7"/>
  <c r="S8" i="7"/>
  <c r="Y38" i="15" l="1"/>
  <c r="Y40" i="15" s="1"/>
  <c r="AP548" i="20"/>
  <c r="AF541" i="20" s="1"/>
  <c r="AF542" i="20" s="1"/>
  <c r="AK548" i="20" s="1"/>
  <c r="T803" i="20" s="1"/>
  <c r="AF803" i="20" s="1"/>
  <c r="AF806" i="20" s="1"/>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3" i="3"/>
  <c r="M48" i="7"/>
  <c r="M47" i="7"/>
  <c r="M60" i="7"/>
  <c r="O45" i="7"/>
  <c r="O49" i="7"/>
  <c r="K66" i="7"/>
  <c r="K67" i="7"/>
  <c r="K62" i="7"/>
  <c r="Q7" i="7"/>
  <c r="Q11" i="7" s="1"/>
  <c r="Q37" i="7" s="1"/>
  <c r="S6" i="7"/>
  <c r="I70" i="7"/>
  <c r="I72" i="7" s="1"/>
  <c r="W22" i="7"/>
  <c r="W35" i="7" s="1"/>
  <c r="Y15" i="7"/>
  <c r="W9" i="7"/>
  <c r="Y8" i="7"/>
  <c r="AB59" i="15" l="1"/>
  <c r="AB76" i="15" s="1"/>
  <c r="AB77" i="15" s="1"/>
  <c r="AB78" i="15" s="1"/>
  <c r="U5" i="7"/>
  <c r="W4" i="7"/>
  <c r="Q49" i="7"/>
  <c r="Q45" i="7"/>
  <c r="M62" i="7"/>
  <c r="M67" i="7"/>
  <c r="M66" i="7"/>
  <c r="O47" i="7"/>
  <c r="O48" i="7"/>
  <c r="O60" i="7"/>
  <c r="K70" i="7"/>
  <c r="K72" i="7" s="1"/>
  <c r="S7" i="7"/>
  <c r="S11" i="7" s="1"/>
  <c r="S37" i="7" s="1"/>
  <c r="U6" i="7"/>
  <c r="Y22" i="7"/>
  <c r="Y35" i="7" s="1"/>
  <c r="AA15" i="7"/>
  <c r="Y9" i="7"/>
  <c r="AA8" i="7"/>
  <c r="M27" i="3" l="1"/>
  <c r="I10" i="21"/>
  <c r="I11" i="21" s="1"/>
  <c r="I16" i="21" s="1"/>
  <c r="H4" i="21" s="1"/>
  <c r="H5" i="21" s="1"/>
  <c r="M70" i="7"/>
  <c r="M72" i="7" s="1"/>
  <c r="W5" i="7"/>
  <c r="Y4" i="7"/>
  <c r="AB80" i="15"/>
  <c r="J81" i="15" s="1"/>
  <c r="U7" i="7"/>
  <c r="U11" i="7" s="1"/>
  <c r="U37" i="7" s="1"/>
  <c r="W6" i="7"/>
  <c r="O67" i="7"/>
  <c r="O66" i="7"/>
  <c r="O62" i="7"/>
  <c r="Q60" i="7"/>
  <c r="Q48" i="7"/>
  <c r="Q47" i="7"/>
  <c r="S49" i="7"/>
  <c r="S45" i="7"/>
  <c r="AC15" i="7"/>
  <c r="AA22" i="7"/>
  <c r="AA35" i="7" s="1"/>
  <c r="AC8" i="7"/>
  <c r="AA9" i="7"/>
  <c r="P204" i="3" l="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3" authorId="0" shapeId="0" xr:uid="{00000000-0006-0000-0400-000001000000}">
      <text>
        <r>
          <rPr>
            <b/>
            <sz val="9"/>
            <color indexed="81"/>
            <rFont val="Tahoma"/>
            <family val="2"/>
          </rPr>
          <t xml:space="preserve">Please contact TCAC staff if you need assistance in selecting the type of state credit.  </t>
        </r>
        <r>
          <rPr>
            <sz val="9"/>
            <color indexed="81"/>
            <rFont val="Tahoma"/>
            <family val="2"/>
          </rPr>
          <t>For 2022, the 15% set-aside is available to rehabilitation projects only.</t>
        </r>
      </text>
    </comment>
    <comment ref="C550" authorId="0" shapeId="0" xr:uid="{00000000-0006-0000-0400-000002000000}">
      <text>
        <r>
          <rPr>
            <sz val="9"/>
            <color indexed="81"/>
            <rFont val="Tahoma"/>
            <family val="2"/>
          </rPr>
          <t>Input tax-exempt bond amount.  This cell is linked to the tie breaker.  Do not include any taxable bond amount.</t>
        </r>
      </text>
    </comment>
    <comment ref="Z793"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5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4"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<sst xmlns="http://schemas.openxmlformats.org/spreadsheetml/2006/main" count="5195" uniqueCount="2739">
  <si>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</si>
  <si>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</si>
  <si>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</si>
  <si>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</si>
  <si>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</si>
  <si>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</si>
  <si>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</si>
  <si>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</si>
  <si>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</si>
  <si>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</si>
  <si>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</si>
  <si>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</si>
  <si>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</si>
  <si>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</si>
  <si>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</si>
  <si>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</si>
  <si>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</si>
  <si>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</si>
  <si>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</si>
  <si>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</si>
  <si>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</si>
  <si>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</si>
  <si>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</si>
  <si>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</si>
  <si>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</si>
  <si>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</si>
  <si>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</si>
  <si>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</si>
  <si>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</si>
  <si>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</si>
  <si>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</si>
  <si>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</si>
  <si>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</si>
  <si>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</si>
  <si>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</si>
  <si>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</si>
  <si>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</si>
  <si>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</si>
  <si>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</si>
  <si>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</si>
  <si>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</si>
  <si>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</si>
  <si>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</si>
  <si>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</si>
  <si>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</si>
  <si>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</si>
  <si>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</si>
  <si>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</si>
  <si>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</si>
  <si>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</si>
  <si>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</si>
  <si>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</si>
  <si>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</si>
  <si>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</si>
  <si>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</si>
  <si>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</si>
  <si>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</si>
  <si>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</si>
  <si>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</si>
  <si>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</si>
  <si>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</si>
  <si>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</si>
  <si>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</si>
  <si>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</si>
  <si>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</si>
  <si>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</si>
  <si>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</si>
  <si>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</si>
  <si>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</si>
  <si>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</si>
  <si>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</si>
  <si>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 xml:space="preserve">I acknowledge that if I receive a reservation of Tax Credits, I will be required to submit requisite documentation at </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</si>
  <si>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</si>
  <si>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</si>
  <si>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</si>
  <si>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</si>
  <si>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</si>
  <si>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</si>
  <si>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</si>
  <si>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</si>
  <si>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</si>
  <si>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</si>
  <si>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</si>
  <si>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</si>
  <si>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</si>
  <si>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</si>
  <si>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</si>
  <si>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</si>
  <si>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</si>
  <si>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</si>
  <si>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</si>
  <si>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</si>
  <si>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</si>
  <si>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</si>
  <si>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</si>
  <si>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</si>
  <si>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</si>
  <si>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</si>
  <si>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</si>
  <si>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</si>
  <si>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</si>
  <si>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</si>
  <si>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</si>
  <si>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</si>
  <si>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</si>
  <si>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</si>
  <si>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</si>
  <si>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</si>
  <si>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</si>
  <si>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</si>
  <si>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</si>
  <si>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</si>
  <si>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</si>
  <si>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</si>
  <si>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</si>
  <si>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</si>
  <si>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</si>
  <si>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</si>
  <si>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</si>
  <si>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</si>
  <si>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</si>
  <si>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</si>
  <si>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</si>
  <si>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</si>
  <si>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</si>
  <si>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</si>
  <si>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</si>
  <si>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</si>
  <si>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</si>
  <si>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</si>
  <si>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</si>
  <si>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</si>
  <si>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</si>
  <si>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</si>
  <si>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</si>
  <si>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</si>
  <si>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</si>
  <si>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</si>
  <si>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</si>
  <si>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</si>
  <si>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</si>
  <si>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</si>
  <si>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</si>
  <si>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</si>
  <si>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</si>
  <si>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</si>
  <si>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</si>
  <si>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</si>
  <si>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</si>
  <si>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</si>
  <si>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</si>
  <si>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</si>
  <si>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</si>
  <si>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</si>
  <si>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</si>
  <si>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</si>
  <si>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</si>
  <si>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</si>
  <si>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</si>
  <si>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</si>
  <si>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</si>
  <si>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</si>
  <si>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</si>
  <si>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</si>
  <si>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</si>
  <si>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</si>
  <si>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</si>
  <si>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</si>
  <si>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</si>
  <si>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</si>
  <si>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</si>
  <si>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</si>
  <si>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</si>
  <si>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</si>
  <si>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</si>
  <si>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</si>
  <si>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</si>
  <si>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</si>
  <si>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</si>
  <si>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</si>
  <si>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</si>
  <si>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</si>
  <si>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</si>
  <si>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</si>
  <si>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</si>
  <si>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</si>
  <si>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</si>
  <si>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</si>
  <si>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</si>
  <si>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</si>
  <si>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</si>
  <si>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</si>
  <si>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</si>
  <si>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</si>
  <si>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</si>
  <si>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</si>
  <si>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</si>
  <si>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</si>
  <si>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</si>
  <si>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</si>
  <si>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</si>
  <si>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</si>
  <si>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</si>
  <si>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</si>
  <si>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</si>
  <si>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</si>
  <si>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</si>
  <si>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</si>
  <si>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</si>
  <si>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</si>
  <si>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</si>
  <si>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</si>
  <si>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</si>
  <si>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</si>
  <si>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</si>
  <si>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</si>
  <si>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</si>
  <si>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</si>
  <si>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</si>
  <si>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</si>
  <si>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</si>
  <si>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</si>
  <si>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</si>
  <si>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</si>
  <si>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</si>
  <si>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</si>
  <si>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</si>
  <si>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</si>
  <si>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</si>
  <si>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</si>
  <si>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</si>
  <si>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</si>
  <si>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</si>
  <si>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</si>
  <si>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</si>
  <si>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</si>
  <si>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</si>
  <si>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</si>
  <si>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</si>
  <si>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</si>
  <si>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</si>
  <si>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</si>
  <si>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</si>
  <si>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</si>
  <si>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</si>
  <si>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</si>
  <si>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</si>
  <si>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</si>
  <si>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</si>
  <si>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</si>
  <si>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</si>
  <si>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</si>
  <si>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</si>
  <si>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</si>
  <si>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</si>
  <si>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</si>
  <si>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</si>
  <si>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</si>
  <si>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</si>
  <si>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</si>
  <si>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</si>
  <si>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</si>
  <si>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</si>
  <si>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</si>
  <si>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</si>
  <si>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</si>
  <si>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</si>
  <si>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</si>
  <si>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</si>
  <si>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</si>
  <si>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</si>
  <si>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</si>
  <si>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</si>
  <si>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</si>
  <si>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</si>
  <si>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</si>
  <si>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</si>
  <si>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</si>
  <si>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</si>
  <si>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</si>
  <si>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</si>
  <si>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</si>
  <si>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</si>
  <si>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</si>
  <si>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</si>
  <si>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</si>
  <si>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</si>
  <si>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</si>
  <si>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</si>
  <si>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</si>
  <si>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</si>
  <si>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</si>
  <si>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</si>
  <si>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</si>
  <si>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</si>
  <si>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</si>
  <si>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</si>
  <si>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</si>
  <si>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</si>
  <si>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</si>
  <si>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</si>
  <si>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</si>
  <si>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</si>
  <si>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</si>
  <si>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</si>
  <si>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</si>
  <si>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</si>
  <si>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</si>
  <si>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</si>
  <si>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</si>
  <si>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</si>
  <si>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</si>
  <si>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</si>
  <si>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</si>
  <si>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</si>
  <si>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</si>
  <si>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</si>
  <si>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</si>
  <si>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</si>
  <si>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</si>
  <si>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</si>
  <si>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</si>
  <si>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</si>
  <si>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</si>
  <si>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</si>
  <si>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</si>
  <si>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</si>
  <si>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</si>
  <si>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</si>
  <si>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</si>
  <si>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</si>
  <si>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</si>
  <si>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</si>
  <si>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</si>
  <si>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</si>
  <si>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</si>
  <si>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</si>
  <si>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</si>
  <si>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</si>
  <si>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</si>
  <si>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</si>
  <si>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</si>
  <si>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</si>
  <si>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</si>
  <si>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</si>
  <si>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</si>
  <si>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</si>
  <si>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</si>
  <si>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</si>
  <si>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</si>
  <si>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</si>
  <si>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</si>
  <si>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</si>
  <si>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</si>
  <si>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</si>
  <si>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</si>
  <si>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</si>
  <si>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</si>
  <si>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</si>
  <si>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</si>
  <si>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</si>
  <si>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</si>
  <si>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</si>
  <si>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</si>
  <si>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</si>
  <si>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</si>
  <si>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</si>
  <si>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</si>
  <si>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</si>
  <si>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</si>
  <si>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</si>
  <si>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</si>
  <si>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</si>
  <si>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</si>
  <si>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</si>
  <si>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</si>
  <si>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</si>
  <si>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</si>
  <si>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</si>
  <si>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</si>
  <si>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</si>
  <si>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</si>
  <si>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</si>
  <si>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</si>
  <si>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</si>
  <si>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</si>
  <si>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</si>
  <si>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</si>
  <si>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</si>
  <si>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</si>
  <si>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</si>
  <si>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</si>
  <si>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</si>
  <si>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</si>
  <si>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</si>
  <si>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</si>
  <si>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</si>
  <si>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</si>
  <si>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</si>
  <si>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</si>
  <si>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</si>
  <si>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</si>
  <si>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</si>
  <si>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</si>
  <si>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</si>
  <si>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</si>
  <si>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</si>
  <si>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</si>
  <si>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</si>
  <si>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</si>
  <si>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</si>
  <si>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</si>
  <si>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</si>
  <si>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</si>
  <si>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</si>
  <si>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</si>
  <si>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</si>
  <si>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</si>
  <si>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</si>
  <si>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</si>
  <si>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</si>
  <si>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</si>
  <si>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</si>
  <si>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</si>
  <si>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</si>
  <si>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</si>
  <si>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</si>
  <si>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</si>
  <si>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</si>
  <si>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</si>
  <si>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</si>
  <si>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</si>
  <si>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</si>
  <si>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</si>
  <si>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</si>
  <si>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</si>
  <si>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</si>
  <si>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</si>
  <si>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</si>
  <si>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</si>
  <si>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</si>
  <si>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</si>
  <si>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</si>
  <si>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</si>
  <si>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</si>
  <si>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</si>
  <si>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</si>
  <si>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</si>
  <si>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</si>
  <si>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</si>
  <si>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</si>
  <si>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</si>
  <si>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</si>
  <si>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</si>
  <si>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</si>
  <si>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</si>
  <si>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</si>
  <si>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</si>
  <si>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</si>
  <si>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</si>
  <si>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</si>
  <si>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</si>
  <si>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</si>
  <si>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</si>
  <si>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</si>
  <si>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</si>
  <si>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</si>
  <si>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</si>
  <si>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</si>
  <si>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</si>
  <si>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</si>
  <si>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</si>
  <si>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</si>
  <si>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</si>
  <si>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</si>
  <si>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</si>
  <si>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</si>
  <si>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</si>
  <si>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</si>
  <si>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</si>
  <si>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</si>
  <si>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</si>
  <si>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</si>
  <si>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</si>
  <si>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</si>
  <si>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</si>
  <si>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</si>
  <si>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</si>
  <si>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</si>
  <si>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</si>
  <si>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</si>
  <si>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</si>
  <si>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</si>
  <si>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</si>
  <si>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</si>
  <si>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</si>
  <si>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</si>
  <si>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</si>
  <si>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</si>
  <si>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</si>
  <si>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</si>
  <si>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</si>
  <si>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</si>
  <si>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</si>
  <si>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</si>
  <si>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</si>
  <si>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</si>
  <si>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</si>
  <si>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</si>
  <si>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</si>
  <si>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</si>
  <si>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</si>
  <si>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</si>
  <si>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</si>
  <si>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</si>
  <si>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</si>
  <si>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</si>
  <si>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</si>
  <si>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</si>
  <si>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</si>
  <si>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</si>
  <si>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</si>
  <si>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</si>
  <si>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</si>
  <si>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</si>
  <si>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</si>
  <si>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</si>
  <si>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</si>
  <si>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</si>
  <si>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</si>
  <si>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</si>
  <si>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</si>
  <si>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</si>
  <si>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</si>
  <si>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</si>
  <si>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</si>
  <si>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</si>
  <si>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</si>
  <si>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</si>
  <si>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</si>
  <si>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</si>
  <si>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</si>
  <si>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</si>
  <si>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</si>
  <si>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</si>
  <si>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</si>
  <si>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</si>
  <si>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</si>
  <si>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</si>
  <si>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</si>
  <si>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</si>
  <si>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</si>
  <si>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</si>
  <si>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</si>
  <si>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</si>
  <si>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</si>
  <si>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</si>
  <si>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</si>
  <si>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</si>
  <si>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</si>
  <si>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</si>
  <si>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</si>
  <si>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</si>
  <si>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</si>
  <si>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</si>
  <si>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</si>
  <si>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</si>
  <si>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</si>
  <si>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</si>
  <si>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</si>
  <si>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</si>
  <si>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</si>
  <si>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</si>
  <si>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</si>
  <si>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</si>
  <si>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</si>
  <si>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</si>
  <si>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</si>
  <si>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</si>
  <si>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</si>
  <si>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</si>
  <si>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</si>
  <si>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</si>
  <si>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</si>
  <si>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</si>
  <si>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</si>
  <si>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</si>
  <si>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</si>
  <si>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</si>
  <si>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</si>
  <si>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</si>
  <si>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</si>
  <si>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</si>
  <si>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</si>
  <si>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</si>
  <si>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</si>
  <si>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</si>
  <si>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</si>
  <si>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</si>
  <si>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</si>
  <si>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</si>
  <si>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</si>
  <si>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</si>
  <si>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</si>
  <si>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</si>
  <si>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</si>
  <si>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</si>
  <si>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</si>
  <si>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</si>
  <si>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</si>
  <si>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</si>
  <si>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</si>
  <si>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</si>
  <si>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</si>
  <si>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</si>
  <si>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</si>
  <si>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</si>
  <si>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</si>
  <si>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</si>
  <si>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</si>
  <si>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</si>
  <si>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</si>
  <si>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</si>
  <si>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</si>
  <si>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</si>
  <si>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</si>
  <si>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</si>
  <si>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</si>
  <si>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</si>
  <si>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</si>
  <si>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</si>
  <si>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</si>
  <si>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</si>
  <si>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</si>
  <si>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</si>
  <si>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</si>
  <si>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</si>
  <si>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</si>
  <si>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</si>
  <si>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</si>
  <si>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</si>
  <si>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</si>
  <si>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</si>
  <si>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</si>
  <si>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</si>
  <si>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</si>
  <si>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</si>
  <si>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</si>
  <si>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</si>
  <si>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</si>
  <si>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</si>
  <si>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</si>
  <si>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</si>
  <si>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</si>
  <si>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</si>
  <si>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</si>
  <si>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</si>
  <si>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</si>
  <si>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</si>
  <si>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</si>
  <si>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</si>
  <si>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</si>
  <si>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</si>
  <si>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</si>
  <si>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</si>
  <si>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</si>
  <si>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</si>
  <si>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</si>
  <si>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</si>
  <si>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</si>
  <si>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</si>
  <si>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</si>
  <si>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</si>
  <si>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</si>
  <si>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</si>
  <si>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</si>
  <si>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</si>
  <si>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</si>
  <si>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</si>
  <si>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</si>
  <si>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</si>
  <si>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</si>
  <si>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</si>
  <si>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</si>
  <si>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</si>
  <si>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</si>
  <si>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</si>
  <si>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</si>
  <si>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</si>
  <si>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</si>
  <si>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</si>
  <si>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</si>
  <si>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</si>
  <si>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</si>
  <si>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</si>
  <si>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</si>
  <si>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</si>
  <si>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</si>
  <si>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</si>
  <si>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</si>
  <si>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</si>
  <si>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</si>
  <si>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</si>
  <si>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</si>
  <si>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</si>
  <si>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</si>
  <si>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</si>
  <si>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</si>
  <si>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</si>
  <si>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</si>
  <si>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</si>
  <si>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</si>
  <si>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</si>
  <si>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</si>
  <si>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</si>
  <si>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</si>
  <si>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</si>
  <si>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</si>
  <si>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</si>
  <si>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</si>
  <si>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</si>
  <si>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</si>
  <si>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</si>
  <si>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</si>
  <si>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</si>
  <si>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</si>
  <si>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</si>
  <si>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</si>
  <si>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</si>
  <si>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</si>
  <si>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</si>
  <si>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</si>
  <si>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</si>
  <si>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</si>
  <si>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</si>
  <si>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</si>
  <si>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</si>
  <si>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</si>
  <si>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</si>
  <si>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</si>
  <si>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</si>
  <si>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</si>
  <si>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</si>
  <si>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</si>
  <si>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</si>
  <si>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</si>
  <si>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</si>
  <si>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</si>
  <si>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</si>
  <si>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</si>
  <si>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</si>
  <si>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</si>
  <si>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</si>
  <si>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</si>
  <si>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</si>
  <si>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</si>
  <si>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</si>
  <si>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</si>
  <si>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</si>
  <si>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</si>
  <si>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</si>
  <si>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</si>
  <si>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</si>
  <si>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</si>
  <si>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</si>
  <si>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</si>
  <si>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</si>
  <si>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</si>
  <si>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</si>
  <si>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</si>
  <si>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 xml:space="preserve">for the purpose of providing low-income rental housing as herein described.  I understand that Credit amount </t>
  </si>
  <si>
    <t xml:space="preserve">preliminarily reserved for this project, if any, may be adjusted over time based upon changing project costs and </t>
  </si>
  <si>
    <t>related to the Credit program.</t>
  </si>
  <si>
    <t>makes no representation regarding the effect of any tax Credit which may be allocated and makes no representation</t>
  </si>
  <si>
    <t>regarding the ability to claim any Credit which may be allocated.</t>
  </si>
  <si>
    <t xml:space="preserve">I acknowledge that all materials and requirements are subject to change by enactment of federal or state legislation </t>
  </si>
  <si>
    <t>or promulgation of regulations.</t>
  </si>
  <si>
    <t>compliance with these requirements is the responsibility of the applicant.</t>
  </si>
  <si>
    <t xml:space="preserve">I declare under penalty of perjury that the information contained in the application, exhibits, attachments, and any </t>
  </si>
  <si>
    <t xml:space="preserve">I certify that I believe that the project can be completed within the development budget and the development timetable </t>
  </si>
  <si>
    <t>proposed within the operating budget set forth.</t>
  </si>
  <si>
    <t>reservation or allocation.</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</si>
  <si>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</si>
  <si>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</si>
  <si>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</si>
  <si>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</si>
  <si>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</si>
  <si>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</si>
  <si>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</si>
  <si>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</si>
  <si>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</si>
  <si>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</si>
  <si>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</si>
  <si>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</si>
  <si>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</si>
  <si>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</si>
  <si>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</si>
  <si>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</si>
  <si>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</si>
  <si>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</si>
  <si>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</si>
  <si>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</si>
  <si>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</si>
  <si>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</si>
  <si>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</si>
  <si>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</si>
  <si>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</si>
  <si>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</si>
  <si>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</si>
  <si>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</si>
  <si>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</si>
  <si>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</si>
  <si>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</si>
  <si>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</si>
  <si>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</si>
  <si>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</si>
  <si>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</si>
  <si>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</si>
  <si>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</si>
  <si>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</si>
  <si>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</si>
  <si>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</si>
  <si>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</si>
  <si>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</si>
  <si>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</si>
  <si>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</si>
  <si>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</si>
  <si>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MHP</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</si>
  <si>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</si>
  <si>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</si>
  <si>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</si>
  <si>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</si>
  <si>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</si>
  <si>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</si>
  <si>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</si>
  <si>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</si>
  <si>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</si>
  <si>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</si>
  <si>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</si>
  <si>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is placed-in-service.</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</si>
  <si>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</si>
  <si>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</si>
  <si>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</si>
  <si>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</si>
  <si>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</si>
  <si>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</si>
  <si>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</si>
  <si>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</si>
  <si>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</si>
  <si>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</si>
  <si>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</si>
  <si>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</si>
  <si>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</si>
  <si>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</si>
  <si>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</si>
  <si>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</si>
  <si>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</si>
  <si>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</si>
  <si>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</si>
  <si>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</si>
  <si>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</si>
  <si>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</si>
  <si>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</si>
  <si>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</si>
  <si>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</si>
  <si>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</si>
  <si>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</si>
  <si>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</si>
  <si>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</si>
  <si>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</si>
  <si>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</si>
  <si>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</si>
  <si>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</si>
  <si>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</si>
  <si>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</si>
  <si>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</si>
  <si>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</si>
  <si>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</si>
  <si>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</si>
  <si>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</si>
  <si>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</si>
  <si>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</si>
  <si>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</si>
  <si>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</si>
  <si>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</si>
  <si>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</si>
  <si>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</si>
  <si>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</si>
  <si>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</si>
  <si>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</si>
  <si>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</si>
  <si>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</si>
  <si>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</si>
  <si>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</si>
  <si>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</si>
  <si>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</si>
  <si>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</si>
  <si>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</si>
  <si>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</si>
  <si>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</si>
  <si>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</si>
  <si>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</si>
  <si>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</si>
  <si>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</si>
  <si>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</si>
  <si>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</si>
  <si>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</si>
  <si>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</si>
  <si>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</si>
  <si>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</si>
  <si>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</si>
  <si>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</si>
  <si>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</si>
  <si>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</si>
  <si>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</si>
  <si>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</si>
  <si>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</si>
  <si>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</si>
  <si>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</si>
  <si>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</si>
  <si>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 xml:space="preserve">further or supplemental documentation is true and correct to the best of my knowledge and belief.  </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</si>
  <si>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</si>
  <si>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</si>
  <si>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</si>
  <si>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</si>
  <si>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</si>
  <si>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</si>
  <si>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</si>
  <si>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</si>
  <si>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</si>
  <si>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</si>
  <si>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</si>
  <si>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</si>
  <si>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</si>
  <si>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</si>
  <si>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</si>
  <si>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</si>
  <si>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</si>
  <si>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</si>
  <si>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</si>
  <si>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</si>
  <si>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</si>
  <si>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</si>
  <si>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</si>
  <si>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</si>
  <si>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</si>
  <si>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</si>
  <si>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</si>
  <si>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</si>
  <si>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</si>
  <si>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</si>
  <si>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</si>
  <si>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</si>
  <si>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</si>
  <si>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</si>
  <si>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 xml:space="preserve">the following stages: updated development timetable under regulation section 10326(j)(4), and the time the project </t>
  </si>
  <si>
    <t xml:space="preserve">deadlines, forms, incomplete applications, and application changes. </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</si>
  <si>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</si>
  <si>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</si>
  <si>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</si>
  <si>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</si>
  <si>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</si>
  <si>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</si>
  <si>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</si>
  <si>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</si>
  <si>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</si>
  <si>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</si>
  <si>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</si>
  <si>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</si>
  <si>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</si>
  <si>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</si>
  <si>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</si>
  <si>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</si>
  <si>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</si>
  <si>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</si>
  <si>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</si>
  <si>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</si>
  <si>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</si>
  <si>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</si>
  <si>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</si>
  <si>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</si>
  <si>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</si>
  <si>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</si>
  <si>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</si>
  <si>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</si>
  <si>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</si>
  <si>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</si>
  <si>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</si>
  <si>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</si>
  <si>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</si>
  <si>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</si>
  <si>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</si>
  <si>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 xml:space="preserve">I certify that I have read and understand the provisions of Sections 10322(a) through (h) related to application filing </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</si>
  <si>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</si>
  <si>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</si>
  <si>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</si>
  <si>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</si>
  <si>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</si>
  <si>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</si>
  <si>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</si>
  <si>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</si>
  <si>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</si>
  <si>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</si>
  <si>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</si>
  <si>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</si>
  <si>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</si>
  <si>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</si>
  <si>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</si>
  <si>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</si>
  <si>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</si>
  <si>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</si>
  <si>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</si>
  <si>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</si>
  <si>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</si>
  <si>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</si>
  <si>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</si>
  <si>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</si>
  <si>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</si>
  <si>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</si>
  <si>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</si>
  <si>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</si>
  <si>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</si>
  <si>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</si>
  <si>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</si>
  <si>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</si>
  <si>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</si>
  <si>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</si>
  <si>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for a reservation of Federal and State Low-Income Housing Tax Credits (“Credits”) in the amount(s) of:</t>
  </si>
  <si>
    <t xml:space="preserve">Credits.  Both federal law and the state law require that various requirements be met on an ongoing basis.  I agree that </t>
  </si>
  <si>
    <t>I acknowledge that an award of federal or state Tax Credits does not guarantee that the project will qualify for Tax</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</si>
  <si>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</si>
  <si>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</si>
  <si>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</si>
  <si>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</si>
  <si>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</si>
  <si>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identify the priorities and other standards which will be employed to evaluate applications.</t>
  </si>
  <si>
    <t>selection criteria delineated in this application.</t>
  </si>
  <si>
    <t xml:space="preserve">contract that will contain, among other things, all the conditions under which the Credits were provided including the  </t>
  </si>
  <si>
    <t xml:space="preserve">I acknowledge that if I obtain an allocation of Federal or State Tax Credits, I will be required to enter into a regulatory </t>
  </si>
  <si>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</si>
  <si>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</si>
  <si>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</si>
  <si>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</si>
  <si>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</si>
  <si>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</si>
  <si>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</si>
  <si>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</si>
  <si>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</si>
  <si>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</si>
  <si>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</si>
  <si>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</si>
  <si>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</si>
  <si>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</si>
  <si>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</si>
  <si>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</si>
  <si>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</si>
  <si>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</si>
  <si>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</si>
  <si>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</si>
  <si>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</si>
  <si>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</si>
  <si>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</si>
  <si>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</si>
  <si>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</si>
  <si>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</si>
  <si>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</si>
  <si>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</si>
  <si>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</si>
  <si>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</si>
  <si>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</si>
  <si>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I acknowledge that the Low-Income Housing Tax Credit program is not an entitlement program and that my application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</si>
  <si>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</si>
  <si>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</si>
  <si>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</si>
  <si>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</si>
  <si>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</si>
  <si>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</si>
  <si>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</si>
  <si>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I understand that any misrepresentation may result in cancellation of Tax Credit reservation, notification of the Internal</t>
  </si>
  <si>
    <t xml:space="preserve">Section 50199.10, and negative points per Regulation Section 10325(c)(3) or under general authority of state law. </t>
  </si>
  <si>
    <t xml:space="preserve">California Health and Safety Code Section 50199.22, issuance of fines pursuant to California Health and Safety Code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</si>
  <si>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</si>
  <si>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</si>
  <si>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</si>
  <si>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</si>
  <si>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</si>
  <si>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</si>
  <si>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</si>
  <si>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</si>
  <si>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</si>
  <si>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</si>
  <si>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</si>
  <si>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</si>
  <si>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</si>
  <si>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</si>
  <si>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</si>
  <si>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</si>
  <si>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</si>
  <si>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</si>
  <si>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</si>
  <si>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</si>
  <si>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</si>
  <si>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</si>
  <si>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</si>
  <si>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</si>
  <si>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</si>
  <si>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</si>
  <si>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</si>
  <si>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</si>
  <si>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</si>
  <si>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</si>
  <si>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</si>
  <si>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</si>
  <si>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</si>
  <si>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</si>
  <si>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</si>
  <si>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</si>
  <si>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</si>
  <si>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</si>
  <si>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</si>
  <si>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</si>
  <si>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</si>
  <si>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</si>
  <si>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</si>
  <si>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</si>
  <si>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</si>
  <si>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</si>
  <si>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</si>
  <si>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</si>
  <si>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</si>
  <si>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</si>
  <si>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</si>
  <si>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</si>
  <si>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</si>
  <si>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</si>
  <si>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</si>
  <si>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</si>
  <si>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</si>
  <si>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</si>
  <si>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</si>
  <si>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</si>
  <si>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</si>
  <si>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</si>
  <si>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</si>
  <si>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</si>
  <si>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</si>
  <si>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</si>
  <si>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</si>
  <si>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</si>
  <si>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</si>
  <si>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</si>
  <si>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</si>
  <si>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</si>
  <si>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</si>
  <si>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</si>
  <si>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</si>
  <si>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</si>
  <si>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</si>
  <si>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</si>
  <si>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</si>
  <si>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</si>
  <si>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</si>
  <si>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</si>
  <si>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</si>
  <si>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</si>
  <si>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</si>
  <si>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</si>
  <si>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</si>
  <si>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</si>
  <si>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</si>
  <si>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</si>
  <si>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</si>
  <si>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</si>
  <si>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</si>
  <si>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</si>
  <si>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</si>
  <si>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</si>
  <si>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</si>
  <si>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</si>
  <si>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</si>
  <si>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</si>
  <si>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</si>
  <si>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</si>
  <si>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</si>
  <si>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</si>
  <si>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</si>
  <si>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</si>
  <si>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</si>
  <si>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</si>
  <si>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</si>
  <si>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</si>
  <si>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</si>
  <si>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</si>
  <si>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</si>
  <si>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</si>
  <si>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</si>
  <si>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</si>
  <si>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</si>
  <si>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</si>
  <si>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</si>
  <si>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</si>
  <si>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</si>
  <si>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</si>
  <si>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</si>
  <si>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</si>
  <si>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</si>
  <si>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</si>
  <si>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</si>
  <si>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</si>
  <si>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</si>
  <si>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</si>
  <si>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</si>
  <si>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</si>
  <si>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</si>
  <si>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</si>
  <si>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</si>
  <si>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</si>
  <si>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</si>
  <si>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</si>
  <si>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</si>
  <si>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</si>
  <si>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</si>
  <si>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</si>
  <si>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</si>
  <si>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</si>
  <si>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</si>
  <si>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</si>
  <si>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</si>
  <si>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</si>
  <si>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</si>
  <si>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</si>
  <si>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</si>
  <si>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</si>
  <si>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</si>
  <si>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</si>
  <si>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</si>
  <si>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</si>
  <si>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</si>
  <si>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</si>
  <si>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</si>
  <si>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</si>
  <si>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</si>
  <si>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</si>
  <si>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</si>
  <si>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</si>
  <si>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</si>
  <si>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</si>
  <si>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</si>
  <si>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</si>
  <si>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</si>
  <si>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</si>
  <si>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</si>
  <si>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</si>
  <si>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</si>
  <si>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</si>
  <si>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</si>
  <si>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</si>
  <si>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</si>
  <si>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</si>
  <si>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</si>
  <si>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</si>
  <si>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</si>
  <si>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</si>
  <si>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</si>
  <si>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</si>
  <si>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</si>
  <si>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</si>
  <si>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</si>
  <si>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</si>
  <si>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</si>
  <si>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</si>
  <si>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</si>
  <si>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</si>
  <si>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</si>
  <si>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</si>
  <si>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</si>
  <si>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</si>
  <si>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</si>
  <si>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</si>
  <si>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</si>
  <si>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</si>
  <si>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</si>
  <si>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</si>
  <si>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</si>
  <si>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</si>
  <si>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</si>
  <si>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</si>
  <si>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</si>
  <si>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</si>
  <si>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</si>
  <si>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</si>
  <si>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</si>
  <si>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</si>
  <si>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</si>
  <si>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</si>
  <si>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</si>
  <si>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</si>
  <si>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</si>
  <si>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</si>
  <si>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</si>
  <si>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</si>
  <si>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</si>
  <si>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</si>
  <si>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</si>
  <si>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</si>
  <si>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</si>
  <si>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</si>
  <si>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</si>
  <si>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</si>
  <si>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</si>
  <si>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</si>
  <si>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</si>
  <si>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</si>
  <si>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</si>
  <si>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</si>
  <si>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</si>
  <si>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</si>
  <si>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</si>
  <si>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</si>
  <si>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</si>
  <si>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</si>
  <si>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</si>
  <si>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</si>
  <si>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</si>
  <si>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</si>
  <si>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</si>
  <si>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</si>
  <si>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</si>
  <si>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</si>
  <si>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</si>
  <si>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</si>
  <si>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</si>
  <si>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</si>
  <si>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</si>
  <si>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</si>
  <si>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</si>
  <si>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</si>
  <si>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</si>
  <si>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</si>
  <si>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</si>
  <si>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</si>
  <si>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</si>
  <si>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</si>
  <si>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</si>
  <si>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</si>
  <si>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</si>
  <si>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</si>
  <si>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</si>
  <si>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</si>
  <si>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</si>
  <si>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</si>
  <si>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</si>
  <si>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</si>
  <si>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</si>
  <si>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</si>
  <si>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</si>
  <si>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</si>
  <si>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</si>
  <si>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</si>
  <si>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</si>
  <si>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Central Coast Region: Monterey, San Benito, San Luis Obispo, Santa Barbara, Santa Cruz, and Ventura Counties</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</si>
  <si>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</si>
  <si>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</si>
  <si>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</si>
  <si>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</si>
  <si>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</si>
  <si>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</si>
  <si>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Applicant Resources - If the applicant intends to finance part or all of the project from its own resources (other than deferred fees), provide audited certification of available resources. Reg. § 10327(c)(8)</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</si>
  <si>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</si>
  <si>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</si>
  <si>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</si>
  <si>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</si>
  <si>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</si>
  <si>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</si>
  <si>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</si>
  <si>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</si>
  <si>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</si>
  <si>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</si>
  <si>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</si>
  <si>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</si>
  <si>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</si>
  <si>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</si>
  <si>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</si>
  <si>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</si>
  <si>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</si>
  <si>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</si>
  <si>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</si>
  <si>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http://www.treasurer.ca.gov/ctcac/2018/lra/contact.pdf</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</si>
  <si>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</si>
  <si>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</si>
  <si>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</si>
  <si>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</si>
  <si>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</si>
  <si>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</si>
  <si>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t>energy efficiency and sustainability features' quality when replacing systems and materials. When requesting a</t>
  </si>
  <si>
    <t>threshold basis increase for a prevailing wage requirement, if the project is subject to state prevailing wages, I certify</t>
  </si>
  <si>
    <t xml:space="preserve">that contractors and subcontractors will comply with California Labor Code Section 1725.5. When requesting a </t>
  </si>
  <si>
    <t xml:space="preserve">threshold basis increase for development impact fees, the impact fee amounts are accurate as of the application date. </t>
  </si>
  <si>
    <t xml:space="preserve">In an application proposing rehabilitation work, I certify that all necessary work identified in the Capital Needs </t>
  </si>
  <si>
    <t xml:space="preserve">Assessment, including the immediate needs listed in the report, will be performed (unless a waiver is granted) prior to </t>
  </si>
  <si>
    <t xml:space="preserve">the project's rehabilitation completion.  </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</si>
  <si>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</si>
  <si>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</si>
  <si>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</si>
  <si>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</si>
  <si>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</si>
  <si>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</si>
  <si>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</si>
  <si>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</si>
  <si>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</si>
  <si>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</si>
  <si>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</si>
  <si>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</si>
  <si>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</si>
  <si>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</si>
  <si>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</si>
  <si>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</si>
  <si>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</si>
  <si>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</si>
  <si>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</si>
  <si>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</si>
  <si>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</si>
  <si>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</si>
  <si>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</si>
  <si>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</si>
  <si>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</si>
  <si>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</si>
  <si>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</si>
  <si>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</si>
  <si>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</si>
  <si>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</si>
  <si>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</si>
  <si>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</si>
  <si>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</si>
  <si>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</si>
  <si>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</si>
  <si>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</si>
  <si>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</si>
  <si>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</si>
  <si>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make an election to sell ("certificate") or not sell all or any portion of the state credit, as allowed pursuant to</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</si>
  <si>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</si>
  <si>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</si>
  <si>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</si>
  <si>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</si>
  <si>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</si>
  <si>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</si>
  <si>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</si>
  <si>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</si>
  <si>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</si>
  <si>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</si>
  <si>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</si>
  <si>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</si>
  <si>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</si>
  <si>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</si>
  <si>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</si>
  <si>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</si>
  <si>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</si>
  <si>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</si>
  <si>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</si>
  <si>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</si>
  <si>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</si>
  <si>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</si>
  <si>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</si>
  <si>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</si>
  <si>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</si>
  <si>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 xml:space="preserve">is made as a result of this application, I will also furnish promptly such other supporting information and documents </t>
  </si>
  <si>
    <t>well as conduct its own investigation to evaluate the application. I recognize that I have an affirmative duty to inform</t>
  </si>
  <si>
    <t xml:space="preserve">the latest and accurate information. </t>
  </si>
  <si>
    <t>I certify that the numbers describing project cost, development budget, financing amounts, operating subsidies, unit</t>
  </si>
  <si>
    <t>mix and targeting, and all related application documents are the same as those provided in applications submitted to</t>
  </si>
  <si>
    <t xml:space="preserve">CDLAC, CalHFA, or HCD will be provided to all other of these state agencies providing financing, tax credits, or </t>
  </si>
  <si>
    <t>subsidies to the project.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</si>
  <si>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</si>
  <si>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</si>
  <si>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</si>
  <si>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</si>
  <si>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</si>
  <si>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</si>
  <si>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</si>
  <si>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</si>
  <si>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</si>
  <si>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</si>
  <si>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</si>
  <si>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</si>
  <si>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</si>
  <si>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</si>
  <si>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</si>
  <si>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</si>
  <si>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</si>
  <si>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</si>
  <si>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</si>
  <si>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</si>
  <si>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</si>
  <si>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</si>
  <si>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</si>
  <si>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</si>
  <si>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</si>
  <si>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</si>
  <si>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</si>
  <si>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</si>
  <si>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</si>
  <si>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</si>
  <si>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</si>
  <si>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</si>
  <si>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</si>
  <si>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</si>
  <si>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</si>
  <si>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</si>
  <si>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</si>
  <si>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</si>
  <si>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</si>
  <si>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</si>
  <si>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</si>
  <si>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</si>
  <si>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</si>
  <si>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</si>
  <si>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</si>
  <si>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</si>
  <si>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</si>
  <si>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</si>
  <si>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</si>
  <si>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</si>
  <si>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</si>
  <si>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</si>
  <si>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</si>
  <si>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</si>
  <si>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</si>
  <si>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</si>
  <si>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</si>
  <si>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</si>
  <si>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</si>
  <si>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</si>
  <si>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</si>
  <si>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</si>
  <si>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</si>
  <si>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</si>
  <si>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</si>
  <si>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</si>
  <si>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</si>
  <si>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</si>
  <si>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</si>
  <si>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</si>
  <si>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</si>
  <si>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</si>
  <si>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</si>
  <si>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</si>
  <si>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</si>
  <si>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</si>
  <si>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</si>
  <si>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</si>
  <si>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</si>
  <si>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</si>
  <si>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</si>
  <si>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</si>
  <si>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</si>
  <si>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</si>
  <si>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</si>
  <si>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</si>
  <si>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</si>
  <si>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</si>
  <si>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</si>
  <si>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</si>
  <si>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</si>
  <si>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</si>
  <si>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</si>
  <si>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</si>
  <si>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</si>
  <si>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</si>
  <si>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</si>
  <si>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</si>
  <si>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</si>
  <si>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</si>
  <si>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</si>
  <si>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</si>
  <si>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</si>
  <si>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</si>
  <si>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</si>
  <si>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</si>
  <si>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</si>
  <si>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</si>
  <si>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</si>
  <si>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</si>
  <si>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</si>
  <si>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</si>
  <si>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</si>
  <si>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</si>
  <si>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</si>
  <si>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</si>
  <si>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</si>
  <si>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</si>
  <si>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</si>
  <si>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</si>
  <si>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</si>
  <si>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</si>
  <si>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</si>
  <si>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</si>
  <si>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</si>
  <si>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</si>
  <si>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</si>
  <si>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</si>
  <si>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</si>
  <si>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</si>
  <si>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</si>
  <si>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</si>
  <si>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</si>
  <si>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</si>
  <si>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</si>
  <si>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</si>
  <si>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</si>
  <si>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</si>
  <si>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</si>
  <si>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</si>
  <si>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</si>
  <si>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</si>
  <si>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</si>
  <si>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</si>
  <si>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</si>
  <si>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</si>
  <si>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</si>
  <si>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</si>
  <si>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</si>
  <si>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</si>
  <si>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</si>
  <si>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</si>
  <si>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</si>
  <si>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</si>
  <si>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</si>
  <si>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</si>
  <si>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</si>
  <si>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</si>
  <si>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</si>
  <si>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</si>
  <si>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</si>
  <si>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</si>
  <si>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</si>
  <si>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a) Large Family, Senior, SRO,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</si>
  <si>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</si>
  <si>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</si>
  <si>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</si>
  <si>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</si>
  <si>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</si>
  <si>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</si>
  <si>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</si>
  <si>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</si>
  <si>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</si>
  <si>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</si>
  <si>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</si>
  <si>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</si>
  <si>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</si>
  <si>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</si>
  <si>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</si>
  <si>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</si>
  <si>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</si>
  <si>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</si>
  <si>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</si>
  <si>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</si>
  <si>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</si>
  <si>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</si>
  <si>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</si>
  <si>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</si>
  <si>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</si>
  <si>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</si>
  <si>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</si>
  <si>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</si>
  <si>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</si>
  <si>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</si>
  <si>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</si>
  <si>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</si>
  <si>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</si>
  <si>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</si>
  <si>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</si>
  <si>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</si>
  <si>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</si>
  <si>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</si>
  <si>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</si>
  <si>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</si>
  <si>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</si>
  <si>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</si>
  <si>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</si>
  <si>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</si>
  <si>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</si>
  <si>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</si>
  <si>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</si>
  <si>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</si>
  <si>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</si>
  <si>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</si>
  <si>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</si>
  <si>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</si>
  <si>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</si>
  <si>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</si>
  <si>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</si>
  <si>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</si>
  <si>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</si>
  <si>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</si>
  <si>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</si>
  <si>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</si>
  <si>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</si>
  <si>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</si>
  <si>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</si>
  <si>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</si>
  <si>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</si>
  <si>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</si>
  <si>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</si>
  <si>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</si>
  <si>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</si>
  <si>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</si>
  <si>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</si>
  <si>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</si>
  <si>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</si>
  <si>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</si>
  <si>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</si>
  <si>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</si>
  <si>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</si>
  <si>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</si>
  <si>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</si>
  <si>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</si>
  <si>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</si>
  <si>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</si>
  <si>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</si>
  <si>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</si>
  <si>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</si>
  <si>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</si>
  <si>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</si>
  <si>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</si>
  <si>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</si>
  <si>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</si>
  <si>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</si>
  <si>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</si>
  <si>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</si>
  <si>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</si>
  <si>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</si>
  <si>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</si>
  <si>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</si>
  <si>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</si>
  <si>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</si>
  <si>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</si>
  <si>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</si>
  <si>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</si>
  <si>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</si>
  <si>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</si>
  <si>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</si>
  <si>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</si>
  <si>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</si>
  <si>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</si>
  <si>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</si>
  <si>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</si>
  <si>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</si>
  <si>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</si>
  <si>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</si>
  <si>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</si>
  <si>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</si>
  <si>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</si>
  <si>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</si>
  <si>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</si>
  <si>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</si>
  <si>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</si>
  <si>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</si>
  <si>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</si>
  <si>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</si>
  <si>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</si>
  <si>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</si>
  <si>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</si>
  <si>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</si>
  <si>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</si>
  <si>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</si>
  <si>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</si>
  <si>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</si>
  <si>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</si>
  <si>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</si>
  <si>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</si>
  <si>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</si>
  <si>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</si>
  <si>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</si>
  <si>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</si>
  <si>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</si>
  <si>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</si>
  <si>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</si>
  <si>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</si>
  <si>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</si>
  <si>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</si>
  <si>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</si>
  <si>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</si>
  <si>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</si>
  <si>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</si>
  <si>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</si>
  <si>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</si>
  <si>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</si>
  <si>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</si>
  <si>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</si>
  <si>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</si>
  <si>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</si>
  <si>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</si>
  <si>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</si>
  <si>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</si>
  <si>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</si>
  <si>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</si>
  <si>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</si>
  <si>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</si>
  <si>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</si>
  <si>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</si>
  <si>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</si>
  <si>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</si>
  <si>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</si>
  <si>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</si>
  <si>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</si>
  <si>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</si>
  <si>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</si>
  <si>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</si>
  <si>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At least 90% SRO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</si>
  <si>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</si>
  <si>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</si>
  <si>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</si>
  <si>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</si>
  <si>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</si>
  <si>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</si>
  <si>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</si>
  <si>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management company will be the BIPOC for which the project receives general partner experience points above</t>
  </si>
  <si>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</si>
  <si>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</si>
  <si>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</si>
  <si>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</si>
  <si>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</si>
  <si>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</si>
  <si>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</si>
  <si>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</si>
  <si>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</si>
  <si>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</si>
  <si>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</si>
  <si>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</si>
  <si>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</si>
  <si>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</si>
  <si>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</si>
  <si>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</si>
  <si>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</si>
  <si>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</si>
  <si>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</si>
  <si>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</si>
  <si>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</si>
  <si>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</si>
  <si>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</si>
  <si>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</si>
  <si>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</si>
  <si>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</si>
  <si>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</si>
  <si>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</si>
  <si>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</si>
  <si>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</si>
  <si>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</si>
  <si>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</si>
  <si>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</si>
  <si>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</si>
  <si>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</si>
  <si>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</si>
  <si>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</si>
  <si>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</si>
  <si>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</si>
  <si>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</si>
  <si>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</si>
  <si>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</si>
  <si>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</si>
  <si>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</si>
  <si>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</si>
  <si>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</si>
  <si>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</si>
  <si>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</si>
  <si>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</si>
  <si>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</si>
  <si>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</si>
  <si>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</si>
  <si>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</si>
  <si>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</si>
  <si>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</si>
  <si>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</si>
  <si>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</si>
  <si>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</si>
  <si>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</si>
  <si>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</si>
  <si>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</si>
  <si>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</si>
  <si>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</si>
  <si>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</si>
  <si>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</si>
  <si>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</si>
  <si>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</si>
  <si>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</si>
  <si>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</si>
  <si>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</si>
  <si>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</si>
  <si>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</si>
  <si>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</si>
  <si>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</si>
  <si>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</si>
  <si>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</si>
  <si>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</si>
  <si>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</si>
  <si>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 xml:space="preserve">Development Pipeline For Developer/Sponsor </t>
  </si>
  <si>
    <t>Pipeline</t>
  </si>
  <si>
    <t>Under Construction</t>
  </si>
  <si>
    <t>In CalHFA Portfolio</t>
  </si>
  <si>
    <t>Total # of Units</t>
  </si>
  <si>
    <t>Development Pipeline For General Partner</t>
  </si>
  <si>
    <t>General Partner Experience (Enter # in Each Stage)</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</si>
  <si>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</si>
  <si>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</si>
  <si>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</si>
  <si>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</si>
  <si>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</si>
  <si>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</si>
  <si>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</si>
  <si>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</si>
  <si>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</si>
  <si>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</si>
  <si>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</si>
  <si>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</si>
  <si>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</si>
  <si>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</si>
  <si>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</si>
  <si>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</si>
  <si>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</si>
  <si>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</si>
  <si>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</si>
  <si>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</si>
  <si>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</si>
  <si>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</si>
  <si>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</si>
  <si>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</si>
  <si>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</si>
  <si>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</si>
  <si>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</si>
  <si>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</si>
  <si>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</si>
  <si>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</si>
  <si>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</si>
  <si>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</si>
  <si>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</si>
  <si>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</si>
  <si>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</si>
  <si>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</si>
  <si>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</si>
  <si>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</si>
  <si>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</si>
  <si>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</si>
  <si>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</si>
  <si>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</si>
  <si>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</si>
  <si>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</si>
  <si>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</si>
  <si>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</si>
  <si>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</si>
  <si>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</si>
  <si>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</si>
  <si>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</si>
  <si>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</si>
  <si>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</si>
  <si>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</si>
  <si>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</si>
  <si>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</si>
  <si>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</si>
  <si>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</si>
  <si>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</si>
  <si>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</si>
  <si>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</si>
  <si>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</si>
  <si>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</si>
  <si>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</si>
  <si>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</si>
  <si>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</si>
  <si>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</si>
  <si>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</si>
  <si>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</si>
  <si>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</si>
  <si>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</si>
  <si>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</si>
  <si>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</si>
  <si>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</si>
  <si>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</si>
  <si>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</si>
  <si>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</si>
  <si>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</si>
  <si>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</si>
  <si>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</si>
  <si>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</si>
  <si>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</si>
  <si>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</si>
  <si>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</si>
  <si>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</si>
  <si>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</si>
  <si>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</si>
  <si>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</si>
  <si>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</si>
  <si>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</si>
  <si>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</si>
  <si>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</si>
  <si>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</si>
  <si>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</si>
  <si>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</si>
  <si>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</si>
  <si>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</si>
  <si>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</si>
  <si>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</si>
  <si>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</si>
  <si>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</si>
  <si>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TAX-EXEMPT BOND FINANCED PROJECTS WITH LOW INCOME HOUSING TAX CREDITS</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</si>
  <si>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</si>
  <si>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</si>
  <si>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</si>
  <si>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</si>
  <si>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</si>
  <si>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</si>
  <si>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</si>
  <si>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</si>
  <si>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</si>
  <si>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</si>
  <si>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</si>
  <si>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</si>
  <si>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</si>
  <si>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</si>
  <si>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</si>
  <si>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</si>
  <si>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</si>
  <si>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</si>
  <si>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</si>
  <si>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</si>
  <si>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</si>
  <si>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</si>
  <si>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</si>
  <si>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</si>
  <si>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</si>
  <si>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</si>
  <si>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</si>
  <si>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</si>
  <si>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</si>
  <si>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</si>
  <si>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</si>
  <si>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</si>
  <si>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</si>
  <si>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</si>
  <si>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</si>
  <si>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</si>
  <si>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</si>
  <si>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</si>
  <si>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</si>
  <si>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</si>
  <si>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</si>
  <si>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</si>
  <si>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</si>
  <si>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</si>
  <si>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</si>
  <si>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</si>
  <si>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</si>
  <si>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</si>
  <si>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</si>
  <si>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</si>
  <si>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</si>
  <si>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</si>
  <si>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</si>
  <si>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</si>
  <si>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</si>
  <si>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</si>
  <si>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</si>
  <si>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</si>
  <si>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</si>
  <si>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</si>
  <si>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</si>
  <si>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</si>
  <si>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</si>
  <si>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</si>
  <si>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</si>
  <si>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</si>
  <si>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</si>
  <si>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</si>
  <si>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</si>
  <si>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</si>
  <si>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</si>
  <si>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</si>
  <si>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</si>
  <si>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</si>
  <si>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</si>
  <si>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</si>
  <si>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</si>
  <si>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</si>
  <si>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</si>
  <si>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</si>
  <si>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</si>
  <si>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</si>
  <si>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</si>
  <si>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</si>
  <si>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</si>
  <si>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</si>
  <si>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</si>
  <si>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</si>
  <si>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</si>
  <si>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</si>
  <si>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</si>
  <si>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</si>
  <si>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</si>
  <si>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</si>
  <si>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</si>
  <si>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</si>
  <si>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</si>
  <si>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</si>
  <si>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</si>
  <si>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</si>
  <si>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</si>
  <si>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</si>
  <si>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</si>
  <si>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</si>
  <si>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</si>
  <si>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</si>
  <si>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</si>
  <si>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</si>
  <si>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</si>
  <si>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</si>
  <si>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</si>
  <si>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</si>
  <si>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</si>
  <si>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</si>
  <si>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</si>
  <si>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</si>
  <si>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</si>
  <si>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</si>
  <si>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</si>
  <si>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</si>
  <si>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</si>
  <si>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</si>
  <si>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</si>
  <si>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</si>
  <si>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</si>
  <si>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Plus (+) 1% basis adjustment - 50% AMI to 36% AMI Units</t>
  </si>
  <si>
    <t>Plus (+) 2% basis adjustment  - At or below 35% AMI Units.</t>
  </si>
  <si>
    <t>If dial-a-ride or van services:</t>
  </si>
  <si>
    <t>FOR CDLAC TIEBREAKER ONLY
% of AMI</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</si>
  <si>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</si>
  <si>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</si>
  <si>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</si>
  <si>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</si>
  <si>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</si>
  <si>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</si>
  <si>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</si>
  <si>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</si>
  <si>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</si>
  <si>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</si>
  <si>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</si>
  <si>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</si>
  <si>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</si>
  <si>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</si>
  <si>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</si>
  <si>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</si>
  <si>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</si>
  <si>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</si>
  <si>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</si>
  <si>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</si>
  <si>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</si>
  <si>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</si>
  <si>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</si>
  <si>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</si>
  <si>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</si>
  <si>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</si>
  <si>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</si>
  <si>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</si>
  <si>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</si>
  <si>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</si>
  <si>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</si>
  <si>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</si>
  <si>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</si>
  <si>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</si>
  <si>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</si>
  <si>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</si>
  <si>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</si>
  <si>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</si>
  <si>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</si>
  <si>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</si>
  <si>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</si>
  <si>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</si>
  <si>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</si>
  <si>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</si>
  <si>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</si>
  <si>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</si>
  <si>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</si>
  <si>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</si>
  <si>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</si>
  <si>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</si>
  <si>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</si>
  <si>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</si>
  <si>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</si>
  <si>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</si>
  <si>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</si>
  <si>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</si>
  <si>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</si>
  <si>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</si>
  <si>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</si>
  <si>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</si>
  <si>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</si>
  <si>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</si>
  <si>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</si>
  <si>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</si>
  <si>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</si>
  <si>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</si>
  <si>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</si>
  <si>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</si>
  <si>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</si>
  <si>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</si>
  <si>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</si>
  <si>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</si>
  <si>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</si>
  <si>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</si>
  <si>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</si>
  <si>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</si>
  <si>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</si>
  <si>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</si>
  <si>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</si>
  <si>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</si>
  <si>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</si>
  <si>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</si>
  <si>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</si>
  <si>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</si>
  <si>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</si>
  <si>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</si>
  <si>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</si>
  <si>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</si>
  <si>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</si>
  <si>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</si>
  <si>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</si>
  <si>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</si>
  <si>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</si>
  <si>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</si>
  <si>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</si>
  <si>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</si>
  <si>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</si>
  <si>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</si>
  <si>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</si>
  <si>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</si>
  <si>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</si>
  <si>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</si>
  <si>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</si>
  <si>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</si>
  <si>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</si>
  <si>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</si>
  <si>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</si>
  <si>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</si>
  <si>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</si>
  <si>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</si>
  <si>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</si>
  <si>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</si>
  <si>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</si>
  <si>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</si>
  <si>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</si>
  <si>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</si>
  <si>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</si>
  <si>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</si>
  <si>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</si>
  <si>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</si>
  <si>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</si>
  <si>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</si>
  <si>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</si>
  <si>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</si>
  <si>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</si>
  <si>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</si>
  <si>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</si>
  <si>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</si>
  <si>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</si>
  <si>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</si>
  <si>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</si>
  <si>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</si>
  <si>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</si>
  <si>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</si>
  <si>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</si>
  <si>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</si>
  <si>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</si>
  <si>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Total Developer Fee (DF)</t>
  </si>
  <si>
    <t>Installment 1 - construction closing</t>
  </si>
  <si>
    <t>Installment 2 &amp; 3 - 100% completion</t>
  </si>
  <si>
    <t xml:space="preserve">Installment 3 - perm loan conversion </t>
  </si>
  <si>
    <t>Installment 4 - 8609</t>
  </si>
  <si>
    <t>Installment 5 - Tax return</t>
  </si>
  <si>
    <t>Installment 6 - NA</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</si>
  <si>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</si>
  <si>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</si>
  <si>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</si>
  <si>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</si>
  <si>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</si>
  <si>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</si>
  <si>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</si>
  <si>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</si>
  <si>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</si>
  <si>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</si>
  <si>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</si>
  <si>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</si>
  <si>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</si>
  <si>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</si>
  <si>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</si>
  <si>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</si>
  <si>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</si>
  <si>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</si>
  <si>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</si>
  <si>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</si>
  <si>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</si>
  <si>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</si>
  <si>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</si>
  <si>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</si>
  <si>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</si>
  <si>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</si>
  <si>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</si>
  <si>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</si>
  <si>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</si>
  <si>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</si>
  <si>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</si>
  <si>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</si>
  <si>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</si>
  <si>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</si>
  <si>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</si>
  <si>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</si>
  <si>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2022 100% RENTS</t>
  </si>
  <si>
    <t>Annual Debt Service - Residential</t>
  </si>
  <si>
    <t>Annual Debt Service - Commercial</t>
  </si>
  <si>
    <t>2022 FAIR MARKET RENTS</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</si>
  <si>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</si>
  <si>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</si>
  <si>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</si>
  <si>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</si>
  <si>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</si>
  <si>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</si>
  <si>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</si>
  <si>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</si>
  <si>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</si>
  <si>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</si>
  <si>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</si>
  <si>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</si>
  <si>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</si>
  <si>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</si>
  <si>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</si>
  <si>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</si>
  <si>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</si>
  <si>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</si>
  <si>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</si>
  <si>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</si>
  <si>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</si>
  <si>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</si>
  <si>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</si>
  <si>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</si>
  <si>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</si>
  <si>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</si>
  <si>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</si>
  <si>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</si>
  <si>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</si>
  <si>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</si>
  <si>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</si>
  <si>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</si>
  <si>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</si>
  <si>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</si>
  <si>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</si>
  <si>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</si>
  <si>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</si>
  <si>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</si>
  <si>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</si>
  <si>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</si>
  <si>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</si>
  <si>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</si>
  <si>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</si>
  <si>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</si>
  <si>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</si>
  <si>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</si>
  <si>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</si>
  <si>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</si>
  <si>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</si>
  <si>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</si>
  <si>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</si>
  <si>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</si>
  <si>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</si>
  <si>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</si>
  <si>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</si>
  <si>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</si>
  <si>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</si>
  <si>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</si>
  <si>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</si>
  <si>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</si>
  <si>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</si>
  <si>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</si>
  <si>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</si>
  <si>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</si>
  <si>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</si>
  <si>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</si>
  <si>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</si>
  <si>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</si>
  <si>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</si>
  <si>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</si>
  <si>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</si>
  <si>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</si>
  <si>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</si>
  <si>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</si>
  <si>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</si>
  <si>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</si>
  <si>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</si>
  <si>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</si>
  <si>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</si>
  <si>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</si>
  <si>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</si>
  <si>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</si>
  <si>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</si>
  <si>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</si>
  <si>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</si>
  <si>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</si>
  <si>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</si>
  <si>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</si>
  <si>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</si>
  <si>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</si>
  <si>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</si>
  <si>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</si>
  <si>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</si>
  <si>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</si>
  <si>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</si>
  <si>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</si>
  <si>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</si>
  <si>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</si>
  <si>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</si>
  <si>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</si>
  <si>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</si>
  <si>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</si>
  <si>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</si>
  <si>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</si>
  <si>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</si>
  <si>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</si>
  <si>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</si>
  <si>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</si>
  <si>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</si>
  <si>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</si>
  <si>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</si>
  <si>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</si>
  <si>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</si>
  <si>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</si>
  <si>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</si>
  <si>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</si>
  <si>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</si>
  <si>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</si>
  <si>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$1,000 application fee in the form of a check to CTCAC at:  915 Capitol Mall, Room 485, Sacramento, CA 95814.  For scattered site and resyndication applications, the application fee is $1,500.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</si>
  <si>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</si>
  <si>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Room 485, Sacramento, CA 95814. Enclose a $1,000 application filing fee in the form of a check.  For scattered site and resyndication applications, the application fee is $1,500.</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</si>
  <si>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</si>
  <si>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</si>
  <si>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</si>
  <si>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</si>
  <si>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</si>
  <si>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</si>
  <si>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</si>
  <si>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</si>
  <si>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</si>
  <si>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</si>
  <si>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</si>
  <si>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</si>
  <si>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</si>
  <si>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</si>
  <si>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</si>
  <si>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</si>
  <si>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</si>
  <si>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</si>
  <si>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</si>
  <si>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</si>
  <si>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</si>
  <si>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</si>
  <si>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</si>
  <si>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</si>
  <si>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</si>
  <si>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</si>
  <si>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</si>
  <si>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</si>
  <si>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</si>
  <si>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</si>
  <si>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</si>
  <si>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If claiming threshold basis limit increase based on "high opportunity area": 
Provide evidence that the project is located within a county that has an unadjusted 9% threshold basis limit for a 2-bedroom unit equal to or less than $400,000;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</si>
  <si>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</si>
  <si>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</si>
  <si>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</si>
  <si>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</si>
  <si>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</si>
  <si>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</si>
  <si>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</si>
  <si>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</si>
  <si>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</si>
  <si>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</si>
  <si>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</si>
  <si>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</si>
  <si>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</si>
  <si>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 xml:space="preserve">The undersigned CTCAC Applicant hereby makes application to the California Tax Credit Allocation Committee (“CTCAC”) </t>
  </si>
  <si>
    <t>financial feasibility analyses which CTCAC is required to perform on at least three occasions.</t>
  </si>
  <si>
    <t xml:space="preserve">I agree it is my responsibility to provide CTCAC with the original complete application as well as such other information </t>
  </si>
  <si>
    <t>as CTCAC requests as necessary to evaluate my application.  I represent that if a reservation or allocation of Credit</t>
  </si>
  <si>
    <t>as may be requested. I understand that CTCAC may verify information provided and analyze materials submitted as</t>
  </si>
  <si>
    <t>CTCAC when any information in the application or supplemental materials is no longer true and to supply CTCAC with</t>
  </si>
  <si>
    <t>CDLAC, CalHFA, and HCD, as applicable.  I certify that any applications, revisions, or updates provided to CTCAC,</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</si>
  <si>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</si>
  <si>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</si>
  <si>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</si>
  <si>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</si>
  <si>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will be evaluated based on the Credit statutes, regulations, and the Qualified Allocation Plan adopted by CTCAC which </t>
  </si>
  <si>
    <t xml:space="preserve">I acknowledge that the information submitted to CTCAC in this application or supplemental thereto may be subject to </t>
  </si>
  <si>
    <t>the Public Records Act or other disclosure.  I understand that CTCAC may make such information public.</t>
  </si>
  <si>
    <t>I certify and guarantee that each item identified in CTCAC’s minimum construction standards will be incorporated into</t>
  </si>
  <si>
    <t xml:space="preserve">the design of the project, unless a waiver has been approved by CTCAC. The project will at least maintain the installed </t>
  </si>
  <si>
    <t xml:space="preserve">Revenue Service and the Franchise Tax Board, and any other actions that CTCAC is authorized to take pursuant to </t>
  </si>
  <si>
    <t xml:space="preserve">set forth (which timetable is in conformance with CTCAC rules and regulations) and can be operated in the manner </t>
  </si>
  <si>
    <t xml:space="preserve">I agree that CTCAC is not responsible for actions taken by the applicant in reliance on a prospective Tax Credit </t>
  </si>
  <si>
    <t>CTCAC #</t>
  </si>
  <si>
    <t>Is this project a Re-syndication of a current CTCAC project?</t>
  </si>
  <si>
    <t>CTCAC/HCD Opportunity Area Designation:</t>
  </si>
  <si>
    <t>Project is Rural as defined by CTCAC Regulation Section 10302(oo):</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</si>
  <si>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</si>
  <si>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</si>
  <si>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</si>
  <si>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</si>
  <si>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</si>
  <si>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</si>
  <si>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</si>
  <si>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</si>
  <si>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</si>
  <si>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</si>
  <si>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For a project that is: (i) in a county that has an unadjusted 9% threshold basis limit for a 2-bedroom unit equal to or less than $400,000; AND (ii) located in a census tract designated on the CTCAC/HCD Opportunity Area Map as Highest or High Resource.</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</si>
  <si>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</si>
  <si>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</si>
  <si>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</si>
  <si>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</si>
  <si>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</si>
  <si>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</si>
  <si>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Operating Subsidy (if applicable)</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</si>
  <si>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</si>
  <si>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</si>
  <si>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</si>
  <si>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</si>
  <si>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</si>
  <si>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</si>
  <si>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</si>
  <si>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</si>
  <si>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</si>
  <si>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</si>
  <si>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</si>
  <si>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</si>
  <si>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</si>
  <si>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</si>
  <si>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</si>
  <si>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</si>
  <si>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</si>
  <si>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</si>
  <si>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</si>
  <si>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</si>
  <si>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</si>
  <si>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</si>
  <si>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</si>
  <si>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</si>
  <si>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</si>
  <si>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</si>
  <si>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</si>
  <si>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</si>
  <si>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</si>
  <si>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</si>
  <si>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</si>
  <si>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</si>
  <si>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</si>
  <si>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</si>
  <si>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</si>
  <si>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</si>
  <si>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</si>
  <si>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</si>
  <si>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</si>
  <si>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</si>
  <si>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</si>
  <si>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</si>
  <si>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</si>
  <si>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</si>
  <si>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</si>
  <si>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</si>
  <si>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</si>
  <si>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</si>
  <si>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</si>
  <si>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</si>
  <si>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</si>
  <si>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</si>
  <si>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</si>
  <si>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</si>
  <si>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</si>
  <si>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</si>
  <si>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</si>
  <si>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</si>
  <si>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</si>
  <si>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</si>
  <si>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</si>
  <si>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</si>
  <si>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</si>
  <si>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</si>
  <si>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</si>
  <si>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</si>
  <si>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</si>
  <si>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</si>
  <si>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</si>
  <si>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</si>
  <si>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</si>
  <si>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</si>
  <si>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Do the entities meet the minimum 7 points requirement pursuant to CDLAC Regulations Section 5230(f)?</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</si>
  <si>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</si>
  <si>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</si>
  <si>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</si>
  <si>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</si>
  <si>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Cash Portion of Developer Fee*</t>
  </si>
  <si>
    <t>Total Development Cost Per Unit:</t>
  </si>
  <si>
    <t>Wage Requirements (Estimate):</t>
  </si>
  <si>
    <t>Permit / Impact Fees:</t>
  </si>
  <si>
    <t>*Note: Total cash portion of DF should match below chart.</t>
  </si>
  <si>
    <t>Land Costs:</t>
  </si>
  <si>
    <t>Installment Description/Timing</t>
  </si>
  <si>
    <t xml:space="preserve"> LIHTC Equity Amount (est.)</t>
  </si>
  <si>
    <t>Cash Portion towards DF</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</si>
  <si>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</si>
  <si>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</si>
  <si>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</si>
  <si>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</si>
  <si>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2023 4% FEDERAL LOW-INCOME HOUSING TAX CREDITS WITH TAX-EXEMPT BONDS</t>
  </si>
  <si>
    <t>2023 CDLAC-CTCAC JOINT APPLICATION CHECKLIST</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</si>
  <si>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</si>
  <si>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</si>
  <si>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</si>
  <si>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4% 2023 TBLs</t>
  </si>
  <si>
    <t>9% 2023 TBLs</t>
  </si>
  <si>
    <t>Project site is subject to development ordinances or legally enforceable mandates?</t>
  </si>
  <si>
    <t>January 12, 2023 Version</t>
  </si>
  <si>
    <t>https://www.treasurer.ca.gov/CTCAC/2023/4-instructions.asp</t>
  </si>
  <si>
    <t>https://www.treasurer.ca.gov/ctcac/rural-status/</t>
  </si>
  <si>
    <t>Roseville 712, L.P.</t>
  </si>
  <si>
    <t>Creekview Affordable - C-40</t>
  </si>
  <si>
    <t>Darren Bobrowsky</t>
  </si>
  <si>
    <t>Vice President</t>
  </si>
  <si>
    <t>Roseville</t>
  </si>
  <si>
    <t>, 2023__ at</t>
  </si>
  <si>
    <t>City of Roseville</t>
  </si>
  <si>
    <t>Dominick Casey</t>
  </si>
  <si>
    <t>311 Vernon Street</t>
  </si>
  <si>
    <t>CityManager@roseville.ca.us</t>
  </si>
  <si>
    <t>3440 Westbrook Blvd</t>
  </si>
  <si>
    <t>496-620-006-000</t>
  </si>
  <si>
    <t>40%/60% Average Income</t>
  </si>
  <si>
    <t>$500M</t>
  </si>
  <si>
    <t>3200 Douglas Blvd., Suite 200</t>
  </si>
  <si>
    <t>CA</t>
  </si>
  <si>
    <t>dbobrowsky@usapropfund.com</t>
  </si>
  <si>
    <t>USA Properties Fund, Inc.</t>
  </si>
  <si>
    <t>USA Roseville 712, Inc.</t>
  </si>
  <si>
    <t>Riverside Charitable Corporation</t>
  </si>
  <si>
    <t>Administrative GP</t>
  </si>
  <si>
    <t>Managing GP</t>
  </si>
  <si>
    <t>14131 Yorba Street, Suite 204</t>
  </si>
  <si>
    <t>Tustin</t>
  </si>
  <si>
    <t>Recinda Shafer</t>
  </si>
  <si>
    <t>recinda@riversidecharitable.org</t>
  </si>
  <si>
    <t>Not Applicable</t>
  </si>
  <si>
    <t>Parent Company</t>
  </si>
  <si>
    <t>USA Multi-Family Development, Inc.</t>
  </si>
  <si>
    <t>Roseville, CA  95661</t>
  </si>
  <si>
    <t>Geoffrey C. Brown</t>
  </si>
  <si>
    <t>Bassenian Lagoni</t>
  </si>
  <si>
    <t>2031 Orchard Drive, Suite 100</t>
  </si>
  <si>
    <t>Newport Beach, CA 92660-0753</t>
  </si>
  <si>
    <t>Mark Kiner</t>
  </si>
  <si>
    <t>gbrown@usapropfund.com</t>
  </si>
  <si>
    <t>mkiner@bassenianlagoni.com</t>
  </si>
  <si>
    <t>Bocarsly Emden Cowan Esmail &amp; Arndt LLP</t>
  </si>
  <si>
    <t>633 West Fifth Street, 64th Floor</t>
  </si>
  <si>
    <t>Los Angeles, CA  90071</t>
  </si>
  <si>
    <t>Kyle Arndt</t>
  </si>
  <si>
    <t>karndt@bocarsly.com</t>
  </si>
  <si>
    <t>USA Construction Management, Inc.</t>
  </si>
  <si>
    <t>Antonio Piscitello</t>
  </si>
  <si>
    <t>tpiscitello@usapropfund.com</t>
  </si>
  <si>
    <t>Cohn Reznick</t>
  </si>
  <si>
    <t>400 Capitol Mall</t>
  </si>
  <si>
    <t>Sacramento, CA 95814</t>
  </si>
  <si>
    <t>Laura Wilder</t>
  </si>
  <si>
    <t>Laura.Wilder@CohnReznick.com</t>
  </si>
  <si>
    <t>WNC</t>
  </si>
  <si>
    <t>17782 Sky Park Circle</t>
  </si>
  <si>
    <t>Irvine, CA  92614</t>
  </si>
  <si>
    <t>Jessica Captanis</t>
  </si>
  <si>
    <t>Jcaptanis@wncinc.com</t>
  </si>
  <si>
    <t>Kinetic Valuation Group</t>
  </si>
  <si>
    <t>3901 S 147th Street, Suite144</t>
  </si>
  <si>
    <t>Omaha, NE 68144</t>
  </si>
  <si>
    <t>Jay A. Wortmann, MAI</t>
  </si>
  <si>
    <t>jay@kvgteam.com</t>
  </si>
  <si>
    <t>California Municipal Finance Authority</t>
  </si>
  <si>
    <t>2111 Palomar Airport Rd., Suite 320</t>
  </si>
  <si>
    <t>Carlsbad, CA  92011</t>
  </si>
  <si>
    <t>John P. Stoecker</t>
  </si>
  <si>
    <t>jstoecker@cmfa-ca.com</t>
  </si>
  <si>
    <t>USA Multifamily Management, Inc.</t>
  </si>
  <si>
    <t>April Atkinson</t>
  </si>
  <si>
    <t>aatkinson@usapropfund.com</t>
  </si>
  <si>
    <t>Anthem United Creekview Developments Limited Partnership, a Washington limited partnership</t>
  </si>
  <si>
    <t>Brian Moore and Matt Gustus</t>
  </si>
  <si>
    <t>Brian Moore</t>
  </si>
  <si>
    <t>Matt Gustus</t>
  </si>
  <si>
    <t>3001 Douglas Blvd, Suite 200</t>
  </si>
  <si>
    <t>Other (Specify below)</t>
  </si>
  <si>
    <t>High Density Residential (HDR)</t>
  </si>
  <si>
    <t>City of Rosevile</t>
  </si>
  <si>
    <t>Citibank, N.A.-Tax Exempt Bonds</t>
  </si>
  <si>
    <t>325 E Hillcrest Dr., Suite 160</t>
  </si>
  <si>
    <t>Thousand Oaks, CA  91360</t>
  </si>
  <si>
    <t>Mike Hemmens</t>
  </si>
  <si>
    <t>Tax-Exempt Bonds</t>
  </si>
  <si>
    <t>Citibank, N.A.</t>
  </si>
  <si>
    <t>Permanent Loan</t>
  </si>
  <si>
    <t>A/C and Other Electric</t>
  </si>
  <si>
    <t>Roseville Housing Authority</t>
  </si>
  <si>
    <t>Project-based vouchers (PBVs)</t>
  </si>
  <si>
    <t>1 bedroom</t>
  </si>
  <si>
    <t>2 bedroom</t>
  </si>
  <si>
    <t>3 bedroom</t>
  </si>
  <si>
    <t>Construction Inspection Fees</t>
  </si>
  <si>
    <t>Interest Prior to Conversion</t>
  </si>
  <si>
    <t>Development Expense</t>
  </si>
  <si>
    <t>Tax Exempt Recycled Bonds</t>
  </si>
  <si>
    <t>NOI During Construction</t>
  </si>
  <si>
    <t>NOI during Construction</t>
  </si>
  <si>
    <t>Compliance</t>
  </si>
  <si>
    <t>Late Fees, NSF Fees, App Fees</t>
  </si>
  <si>
    <t>Tenant Relations</t>
  </si>
  <si>
    <t>Business License / Permits</t>
  </si>
  <si>
    <t>Deferred Costs</t>
  </si>
  <si>
    <t>Variable</t>
  </si>
  <si>
    <t>Citibank, N.A- Recycled Tax Exempt Bonds</t>
  </si>
  <si>
    <t>Recycled Tax Exempt Bonds</t>
  </si>
  <si>
    <t xml:space="preserve">17782 Sky Park Circle </t>
  </si>
  <si>
    <t>Irvine</t>
  </si>
  <si>
    <t>Tax Credit Equity</t>
  </si>
  <si>
    <t>Tax-Exempt Recycled Bonds</t>
  </si>
  <si>
    <t>Citibank, N.A.-Taxable Loan</t>
  </si>
  <si>
    <t>Taxable Bonds</t>
  </si>
  <si>
    <t>Attached Housing (R3); Max Density - 168 units</t>
  </si>
  <si>
    <t>Density Bonus, development standard concessions</t>
  </si>
  <si>
    <t>Max 56 feet, as approved</t>
  </si>
  <si>
    <t>1.31:1 under Govt Code 65915</t>
  </si>
  <si>
    <t>February</t>
  </si>
  <si>
    <t>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</si>
</sst>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color rgb="FF7030A0"/>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s>
  <fills count="53">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right style="dotted">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s>
  <cellStyleXfs count="8726">
    <xf numFmtId="0" fontId="0" fillId="0" borderId="0"/>
    <xf numFmtId="0" fontId="81"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81" fillId="15" borderId="0" applyNumberFormat="0" applyBorder="0" applyAlignment="0" applyProtection="0"/>
    <xf numFmtId="0" fontId="81" fillId="15" borderId="0" applyNumberFormat="0" applyBorder="0" applyAlignment="0" applyProtection="0"/>
    <xf numFmtId="0" fontId="81" fillId="15" borderId="0" applyNumberFormat="0" applyBorder="0" applyAlignment="0" applyProtection="0"/>
    <xf numFmtId="0" fontId="81" fillId="15" borderId="0" applyNumberFormat="0" applyBorder="0" applyAlignment="0" applyProtection="0"/>
    <xf numFmtId="0" fontId="81" fillId="15" borderId="0" applyNumberFormat="0" applyBorder="0" applyAlignment="0" applyProtection="0"/>
    <xf numFmtId="0" fontId="81" fillId="15" borderId="0" applyNumberFormat="0" applyBorder="0" applyAlignment="0" applyProtection="0"/>
    <xf numFmtId="0" fontId="81" fillId="15" borderId="0" applyNumberFormat="0" applyBorder="0" applyAlignment="0" applyProtection="0"/>
    <xf numFmtId="0" fontId="81" fillId="15" borderId="0" applyNumberFormat="0" applyBorder="0" applyAlignment="0" applyProtection="0"/>
    <xf numFmtId="0" fontId="81" fillId="16" borderId="0" applyNumberFormat="0" applyBorder="0" applyAlignment="0" applyProtection="0"/>
    <xf numFmtId="0" fontId="81" fillId="16" borderId="0" applyNumberFormat="0" applyBorder="0" applyAlignment="0" applyProtection="0"/>
    <xf numFmtId="0" fontId="81" fillId="16" borderId="0" applyNumberFormat="0" applyBorder="0" applyAlignment="0" applyProtection="0"/>
    <xf numFmtId="0" fontId="81" fillId="16" borderId="0" applyNumberFormat="0" applyBorder="0" applyAlignment="0" applyProtection="0"/>
    <xf numFmtId="0" fontId="81" fillId="16" borderId="0" applyNumberFormat="0" applyBorder="0" applyAlignment="0" applyProtection="0"/>
    <xf numFmtId="0" fontId="81" fillId="16" borderId="0" applyNumberFormat="0" applyBorder="0" applyAlignment="0" applyProtection="0"/>
    <xf numFmtId="0" fontId="81" fillId="16" borderId="0" applyNumberFormat="0" applyBorder="0" applyAlignment="0" applyProtection="0"/>
    <xf numFmtId="0" fontId="81" fillId="16" borderId="0" applyNumberFormat="0" applyBorder="0" applyAlignment="0" applyProtection="0"/>
    <xf numFmtId="0" fontId="81" fillId="17" borderId="0" applyNumberFormat="0" applyBorder="0" applyAlignment="0" applyProtection="0"/>
    <xf numFmtId="0" fontId="81" fillId="17" borderId="0" applyNumberFormat="0" applyBorder="0" applyAlignment="0" applyProtection="0"/>
    <xf numFmtId="0" fontId="81" fillId="17" borderId="0" applyNumberFormat="0" applyBorder="0" applyAlignment="0" applyProtection="0"/>
    <xf numFmtId="0" fontId="81" fillId="17" borderId="0" applyNumberFormat="0" applyBorder="0" applyAlignment="0" applyProtection="0"/>
    <xf numFmtId="0" fontId="81" fillId="17" borderId="0" applyNumberFormat="0" applyBorder="0" applyAlignment="0" applyProtection="0"/>
    <xf numFmtId="0" fontId="81" fillId="17" borderId="0" applyNumberFormat="0" applyBorder="0" applyAlignment="0" applyProtection="0"/>
    <xf numFmtId="0" fontId="81" fillId="17" borderId="0" applyNumberFormat="0" applyBorder="0" applyAlignment="0" applyProtection="0"/>
    <xf numFmtId="0" fontId="81" fillId="17"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19" borderId="0" applyNumberFormat="0" applyBorder="0" applyAlignment="0" applyProtection="0"/>
    <xf numFmtId="0" fontId="81" fillId="19" borderId="0" applyNumberFormat="0" applyBorder="0" applyAlignment="0" applyProtection="0"/>
    <xf numFmtId="0" fontId="81" fillId="19" borderId="0" applyNumberFormat="0" applyBorder="0" applyAlignment="0" applyProtection="0"/>
    <xf numFmtId="0" fontId="81" fillId="19" borderId="0" applyNumberFormat="0" applyBorder="0" applyAlignment="0" applyProtection="0"/>
    <xf numFmtId="0" fontId="81" fillId="19" borderId="0" applyNumberFormat="0" applyBorder="0" applyAlignment="0" applyProtection="0"/>
    <xf numFmtId="0" fontId="81" fillId="19" borderId="0" applyNumberFormat="0" applyBorder="0" applyAlignment="0" applyProtection="0"/>
    <xf numFmtId="0" fontId="81" fillId="19" borderId="0" applyNumberFormat="0" applyBorder="0" applyAlignment="0" applyProtection="0"/>
    <xf numFmtId="0" fontId="81" fillId="20" borderId="0" applyNumberFormat="0" applyBorder="0" applyAlignment="0" applyProtection="0"/>
    <xf numFmtId="0" fontId="81" fillId="20" borderId="0" applyNumberFormat="0" applyBorder="0" applyAlignment="0" applyProtection="0"/>
    <xf numFmtId="0" fontId="81" fillId="20" borderId="0" applyNumberFormat="0" applyBorder="0" applyAlignment="0" applyProtection="0"/>
    <xf numFmtId="0" fontId="81" fillId="20" borderId="0" applyNumberFormat="0" applyBorder="0" applyAlignment="0" applyProtection="0"/>
    <xf numFmtId="0" fontId="81" fillId="20" borderId="0" applyNumberFormat="0" applyBorder="0" applyAlignment="0" applyProtection="0"/>
    <xf numFmtId="0" fontId="81" fillId="20" borderId="0" applyNumberFormat="0" applyBorder="0" applyAlignment="0" applyProtection="0"/>
    <xf numFmtId="0" fontId="81" fillId="20" borderId="0" applyNumberFormat="0" applyBorder="0" applyAlignment="0" applyProtection="0"/>
    <xf numFmtId="0" fontId="81" fillId="20" borderId="0" applyNumberFormat="0" applyBorder="0" applyAlignment="0" applyProtection="0"/>
    <xf numFmtId="0" fontId="81" fillId="21" borderId="0" applyNumberFormat="0" applyBorder="0" applyAlignment="0" applyProtection="0"/>
    <xf numFmtId="0" fontId="81" fillId="21" borderId="0" applyNumberFormat="0" applyBorder="0" applyAlignment="0" applyProtection="0"/>
    <xf numFmtId="0" fontId="81" fillId="21" borderId="0" applyNumberFormat="0" applyBorder="0" applyAlignment="0" applyProtection="0"/>
    <xf numFmtId="0" fontId="81" fillId="21" borderId="0" applyNumberFormat="0" applyBorder="0" applyAlignment="0" applyProtection="0"/>
    <xf numFmtId="0" fontId="81" fillId="21" borderId="0" applyNumberFormat="0" applyBorder="0" applyAlignment="0" applyProtection="0"/>
    <xf numFmtId="0" fontId="81" fillId="21" borderId="0" applyNumberFormat="0" applyBorder="0" applyAlignment="0" applyProtection="0"/>
    <xf numFmtId="0" fontId="81" fillId="21" borderId="0" applyNumberFormat="0" applyBorder="0" applyAlignment="0" applyProtection="0"/>
    <xf numFmtId="0" fontId="81" fillId="21" borderId="0" applyNumberFormat="0" applyBorder="0" applyAlignment="0" applyProtection="0"/>
    <xf numFmtId="0" fontId="81" fillId="22" borderId="0" applyNumberFormat="0" applyBorder="0" applyAlignment="0" applyProtection="0"/>
    <xf numFmtId="0" fontId="81" fillId="22" borderId="0" applyNumberFormat="0" applyBorder="0" applyAlignment="0" applyProtection="0"/>
    <xf numFmtId="0" fontId="81" fillId="22" borderId="0" applyNumberFormat="0" applyBorder="0" applyAlignment="0" applyProtection="0"/>
    <xf numFmtId="0" fontId="81" fillId="22" borderId="0" applyNumberFormat="0" applyBorder="0" applyAlignment="0" applyProtection="0"/>
    <xf numFmtId="0" fontId="81" fillId="22" borderId="0" applyNumberFormat="0" applyBorder="0" applyAlignment="0" applyProtection="0"/>
    <xf numFmtId="0" fontId="81" fillId="22" borderId="0" applyNumberFormat="0" applyBorder="0" applyAlignment="0" applyProtection="0"/>
    <xf numFmtId="0" fontId="81" fillId="22" borderId="0" applyNumberFormat="0" applyBorder="0" applyAlignment="0" applyProtection="0"/>
    <xf numFmtId="0" fontId="81" fillId="22"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4" borderId="0" applyNumberFormat="0" applyBorder="0" applyAlignment="0" applyProtection="0"/>
    <xf numFmtId="0" fontId="82" fillId="25" borderId="0" applyNumberFormat="0" applyBorder="0" applyAlignment="0" applyProtection="0"/>
    <xf numFmtId="0" fontId="82" fillId="25"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27"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9" borderId="0" applyNumberFormat="0" applyBorder="0" applyAlignment="0" applyProtection="0"/>
    <xf numFmtId="0" fontId="82" fillId="29"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1" borderId="0" applyNumberFormat="0" applyBorder="0" applyAlignment="0" applyProtection="0"/>
    <xf numFmtId="0" fontId="82" fillId="31"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3" borderId="0" applyNumberFormat="0" applyBorder="0" applyAlignment="0" applyProtection="0"/>
    <xf numFmtId="0" fontId="82" fillId="34"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4" fillId="36" borderId="18" applyNumberFormat="0" applyAlignment="0" applyProtection="0"/>
    <xf numFmtId="0" fontId="84" fillId="36" borderId="18" applyNumberFormat="0" applyAlignment="0" applyProtection="0"/>
    <xf numFmtId="0" fontId="85" fillId="37" borderId="19" applyNumberFormat="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73"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57" fillId="0" borderId="0" applyFont="0" applyFill="0" applyBorder="0" applyAlignment="0" applyProtection="0"/>
    <xf numFmtId="43" fontId="21" fillId="0" borderId="0" applyFont="0" applyFill="0" applyBorder="0" applyAlignment="0" applyProtection="0"/>
    <xf numFmtId="43" fontId="57" fillId="0" borderId="0" applyFont="0" applyFill="0" applyBorder="0" applyAlignment="0" applyProtection="0"/>
    <xf numFmtId="44" fontId="74"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57" fillId="0" borderId="0" applyFont="0" applyFill="0" applyBorder="0" applyAlignment="0" applyProtection="0"/>
    <xf numFmtId="44" fontId="74" fillId="0" borderId="0" applyFont="0" applyFill="0" applyBorder="0" applyAlignment="0" applyProtection="0"/>
    <xf numFmtId="44" fontId="21" fillId="0" borderId="0" applyFont="0" applyFill="0" applyBorder="0" applyAlignment="0" applyProtection="0"/>
    <xf numFmtId="44" fontId="76" fillId="0" borderId="0" applyFont="0" applyFill="0" applyBorder="0" applyAlignment="0" applyProtection="0"/>
    <xf numFmtId="44" fontId="21" fillId="0" borderId="0" applyFont="0" applyFill="0" applyBorder="0" applyAlignment="0" applyProtection="0"/>
    <xf numFmtId="44" fontId="57" fillId="0" borderId="0" applyFont="0" applyFill="0" applyBorder="0" applyAlignment="0" applyProtection="0">
      <alignment vertical="top"/>
    </xf>
    <xf numFmtId="44" fontId="57" fillId="0" borderId="0" applyFont="0" applyFill="0" applyBorder="0" applyAlignment="0" applyProtection="0">
      <alignment vertical="top"/>
    </xf>
    <xf numFmtId="44" fontId="21" fillId="0" borderId="0" applyFont="0" applyFill="0" applyBorder="0" applyAlignment="0" applyProtection="0"/>
    <xf numFmtId="44" fontId="57" fillId="0" borderId="0" applyFont="0" applyFill="0" applyBorder="0" applyAlignment="0" applyProtection="0">
      <alignment vertical="top"/>
    </xf>
    <xf numFmtId="44" fontId="57" fillId="0" borderId="0" applyFont="0" applyFill="0" applyBorder="0" applyAlignment="0" applyProtection="0"/>
    <xf numFmtId="44" fontId="73"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57" fillId="0" borderId="0" applyFont="0" applyFill="0" applyBorder="0" applyAlignment="0" applyProtection="0"/>
    <xf numFmtId="44" fontId="6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57" fillId="0" borderId="0" applyFont="0" applyFill="0" applyBorder="0" applyAlignment="0" applyProtection="0"/>
    <xf numFmtId="44" fontId="21" fillId="0" borderId="0" applyFont="0" applyFill="0" applyBorder="0" applyAlignment="0" applyProtection="0"/>
    <xf numFmtId="44" fontId="67" fillId="0" borderId="0" applyFont="0" applyFill="0" applyBorder="0" applyAlignment="0" applyProtection="0"/>
    <xf numFmtId="44" fontId="21" fillId="0" borderId="0" applyFont="0" applyFill="0" applyBorder="0" applyAlignment="0" applyProtection="0"/>
    <xf numFmtId="44" fontId="73"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2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73"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2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21" fillId="0" borderId="0" applyFont="0" applyFill="0" applyBorder="0" applyAlignment="0" applyProtection="0"/>
    <xf numFmtId="44" fontId="57" fillId="0" borderId="0" applyFont="0" applyFill="0" applyBorder="0" applyAlignment="0" applyProtection="0"/>
    <xf numFmtId="44" fontId="21" fillId="0" borderId="0" applyFont="0" applyFill="0" applyBorder="0" applyAlignment="0" applyProtection="0"/>
    <xf numFmtId="44" fontId="6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72" fillId="0" borderId="0" applyFont="0" applyFill="0" applyBorder="0" applyAlignment="0" applyProtection="0"/>
    <xf numFmtId="44" fontId="21" fillId="0" borderId="0" applyFont="0" applyFill="0" applyBorder="0" applyAlignment="0" applyProtection="0"/>
    <xf numFmtId="0" fontId="86" fillId="0" borderId="0" applyNumberFormat="0" applyFill="0" applyBorder="0" applyAlignment="0" applyProtection="0"/>
    <xf numFmtId="0" fontId="87" fillId="38" borderId="0" applyNumberFormat="0" applyBorder="0" applyAlignment="0" applyProtection="0"/>
    <xf numFmtId="0" fontId="88" fillId="0" borderId="20" applyNumberFormat="0" applyFill="0" applyAlignment="0" applyProtection="0"/>
    <xf numFmtId="0" fontId="88" fillId="0" borderId="20" applyNumberFormat="0" applyFill="0" applyAlignment="0" applyProtection="0"/>
    <xf numFmtId="0" fontId="89" fillId="0" borderId="21"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78" fillId="0" borderId="0" applyNumberFormat="0" applyFill="0" applyBorder="0" applyAlignment="0" applyProtection="0">
      <alignment vertical="top"/>
      <protection locked="0"/>
    </xf>
    <xf numFmtId="0" fontId="91" fillId="39" borderId="18" applyNumberFormat="0" applyAlignment="0" applyProtection="0"/>
    <xf numFmtId="0" fontId="14" fillId="0" borderId="0" applyNumberFormat="0" applyBorder="0"/>
    <xf numFmtId="0" fontId="15" fillId="0" borderId="0" applyBorder="0" applyAlignment="0"/>
    <xf numFmtId="0" fontId="16" fillId="0" borderId="0" applyFill="0" applyBorder="0" applyAlignment="0"/>
    <xf numFmtId="0" fontId="92" fillId="0" borderId="23" applyNumberFormat="0" applyFill="0" applyAlignment="0" applyProtection="0"/>
    <xf numFmtId="0" fontId="93" fillId="40" borderId="0" applyNumberFormat="0" applyBorder="0" applyAlignment="0" applyProtection="0"/>
    <xf numFmtId="0" fontId="94" fillId="0" borderId="0"/>
    <xf numFmtId="0" fontId="57" fillId="0" borderId="0"/>
    <xf numFmtId="0" fontId="94" fillId="0" borderId="0"/>
    <xf numFmtId="0" fontId="57" fillId="0" borderId="0"/>
    <xf numFmtId="0" fontId="57" fillId="0" borderId="0"/>
    <xf numFmtId="0" fontId="2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95" fillId="0" borderId="0"/>
    <xf numFmtId="0" fontId="57" fillId="0" borderId="0"/>
    <xf numFmtId="169" fontId="58" fillId="0" borderId="0"/>
    <xf numFmtId="0" fontId="81" fillId="0" borderId="0"/>
    <xf numFmtId="0" fontId="21" fillId="0" borderId="0"/>
    <xf numFmtId="0" fontId="21" fillId="0" borderId="0"/>
    <xf numFmtId="0" fontId="63" fillId="0" borderId="0"/>
    <xf numFmtId="0" fontId="57" fillId="0" borderId="0"/>
    <xf numFmtId="0" fontId="63" fillId="0" borderId="0"/>
    <xf numFmtId="0" fontId="57" fillId="0" borderId="0"/>
    <xf numFmtId="0" fontId="69" fillId="0" borderId="0"/>
    <xf numFmtId="0" fontId="57" fillId="0" borderId="0"/>
    <xf numFmtId="0" fontId="81" fillId="0" borderId="0"/>
    <xf numFmtId="0" fontId="57" fillId="0" borderId="0">
      <alignment vertical="top"/>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9" fillId="0" borderId="0"/>
    <xf numFmtId="0" fontId="81" fillId="0" borderId="0"/>
    <xf numFmtId="0" fontId="81" fillId="0" borderId="0"/>
    <xf numFmtId="0" fontId="81" fillId="0" borderId="0"/>
    <xf numFmtId="0" fontId="81" fillId="0" borderId="0"/>
    <xf numFmtId="0" fontId="57" fillId="0" borderId="0">
      <alignment vertical="top"/>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7" fillId="0" borderId="0"/>
    <xf numFmtId="0" fontId="81" fillId="0" borderId="0"/>
    <xf numFmtId="0" fontId="81" fillId="0" borderId="0"/>
    <xf numFmtId="0" fontId="81" fillId="0" borderId="0"/>
    <xf numFmtId="0" fontId="81" fillId="0" borderId="0"/>
    <xf numFmtId="0" fontId="69" fillId="0" borderId="0"/>
    <xf numFmtId="0" fontId="57" fillId="0" borderId="0">
      <alignment vertical="top"/>
    </xf>
    <xf numFmtId="0" fontId="81" fillId="0" borderId="0"/>
    <xf numFmtId="0" fontId="81" fillId="0" borderId="0"/>
    <xf numFmtId="0" fontId="81" fillId="0" borderId="0"/>
    <xf numFmtId="0" fontId="81" fillId="0" borderId="0"/>
    <xf numFmtId="0" fontId="69" fillId="0" borderId="0"/>
    <xf numFmtId="0" fontId="21" fillId="0" borderId="0"/>
    <xf numFmtId="0" fontId="81" fillId="0" borderId="0"/>
    <xf numFmtId="0" fontId="21" fillId="0" borderId="0"/>
    <xf numFmtId="0" fontId="81" fillId="0" borderId="0"/>
    <xf numFmtId="0" fontId="81" fillId="0" borderId="0"/>
    <xf numFmtId="0" fontId="81" fillId="0" borderId="0"/>
    <xf numFmtId="0" fontId="81" fillId="0" borderId="0"/>
    <xf numFmtId="0" fontId="63" fillId="0" borderId="0"/>
    <xf numFmtId="0" fontId="57" fillId="0" borderId="0">
      <alignment vertical="top"/>
    </xf>
    <xf numFmtId="0" fontId="63" fillId="0" borderId="0"/>
    <xf numFmtId="0" fontId="57" fillId="0" borderId="0">
      <alignment vertical="top"/>
    </xf>
    <xf numFmtId="0" fontId="57" fillId="0" borderId="0">
      <alignment vertical="top"/>
    </xf>
    <xf numFmtId="0" fontId="81" fillId="0" borderId="0"/>
    <xf numFmtId="0" fontId="63" fillId="0" borderId="0"/>
    <xf numFmtId="0" fontId="81" fillId="0" borderId="0"/>
    <xf numFmtId="0" fontId="57" fillId="0" borderId="0">
      <alignment vertical="top"/>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3"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1" fillId="0" borderId="0"/>
    <xf numFmtId="0" fontId="57" fillId="0" borderId="0">
      <alignment vertical="top"/>
    </xf>
    <xf numFmtId="0" fontId="81" fillId="0" borderId="0"/>
    <xf numFmtId="0" fontId="81" fillId="0" borderId="0"/>
    <xf numFmtId="0" fontId="81" fillId="0" borderId="0"/>
    <xf numFmtId="0" fontId="81" fillId="0" borderId="0"/>
    <xf numFmtId="0" fontId="2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3"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7" fillId="0" borderId="0"/>
    <xf numFmtId="0" fontId="57" fillId="0" borderId="0">
      <alignment vertical="top"/>
    </xf>
    <xf numFmtId="0" fontId="57" fillId="0" borderId="0">
      <alignment vertical="top"/>
    </xf>
    <xf numFmtId="0" fontId="57" fillId="0" borderId="0"/>
    <xf numFmtId="0" fontId="57" fillId="0" borderId="0">
      <alignment vertical="top"/>
    </xf>
    <xf numFmtId="0" fontId="57" fillId="0" borderId="0"/>
    <xf numFmtId="0" fontId="5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1" fillId="0" borderId="0"/>
    <xf numFmtId="0" fontId="81" fillId="0" borderId="0"/>
    <xf numFmtId="0" fontId="81" fillId="0" borderId="0"/>
    <xf numFmtId="0" fontId="81" fillId="0" borderId="0"/>
    <xf numFmtId="0" fontId="12" fillId="0" borderId="0" applyProtection="0">
      <protection locked="0"/>
    </xf>
    <xf numFmtId="0" fontId="21" fillId="0" borderId="0" applyProtection="0">
      <protection locked="0"/>
    </xf>
    <xf numFmtId="0" fontId="21" fillId="0" borderId="0" applyProtection="0">
      <protection locked="0"/>
    </xf>
    <xf numFmtId="0" fontId="58" fillId="0" borderId="0"/>
    <xf numFmtId="0" fontId="12" fillId="0" borderId="0"/>
    <xf numFmtId="0" fontId="73"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73"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81" fillId="41" borderId="24" applyNumberFormat="0" applyFont="0" applyAlignment="0" applyProtection="0"/>
    <xf numFmtId="0" fontId="96" fillId="36" borderId="25" applyNumberFormat="0" applyAlignment="0" applyProtection="0"/>
    <xf numFmtId="0" fontId="96" fillId="36" borderId="25" applyNumberFormat="0" applyAlignment="0" applyProtection="0"/>
    <xf numFmtId="0" fontId="17" fillId="0" borderId="0" applyNumberFormat="0" applyFill="0" applyBorder="0">
      <alignment horizontal="left"/>
    </xf>
    <xf numFmtId="0" fontId="97" fillId="0" borderId="0" applyNumberFormat="0" applyFill="0" applyBorder="0" applyAlignment="0" applyProtection="0"/>
    <xf numFmtId="0" fontId="98" fillId="0" borderId="26" applyNumberFormat="0" applyFill="0" applyAlignment="0" applyProtection="0"/>
    <xf numFmtId="0" fontId="98" fillId="0" borderId="26" applyNumberFormat="0" applyFill="0" applyAlignment="0" applyProtection="0"/>
    <xf numFmtId="0" fontId="99" fillId="0" borderId="0" applyNumberFormat="0" applyFill="0" applyBorder="0" applyAlignment="0" applyProtection="0"/>
    <xf numFmtId="0" fontId="12" fillId="0" borderId="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9" fontId="12" fillId="0" borderId="0" applyFont="0" applyFill="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4"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4" fontId="106"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107"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97" fillId="0" borderId="0" applyNumberFormat="0" applyFill="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44" fontId="12" fillId="0" borderId="0" applyFont="0" applyFill="0" applyBorder="0" applyAlignment="0" applyProtection="0"/>
    <xf numFmtId="9" fontId="116" fillId="0" borderId="0" applyFont="0" applyFill="0" applyBorder="0" applyAlignment="0" applyProtection="0"/>
    <xf numFmtId="0" fontId="116" fillId="0" borderId="0"/>
    <xf numFmtId="0" fontId="6" fillId="0" borderId="0"/>
    <xf numFmtId="0" fontId="12"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12" fillId="0" borderId="0" applyBorder="0"/>
    <xf numFmtId="43" fontId="155" fillId="0" borderId="0" applyFont="0" applyFill="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4" fillId="41" borderId="24" applyNumberFormat="0" applyFont="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44" fontId="163"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33">
    <xf numFmtId="0" fontId="0" fillId="0" borderId="0" xfId="0"/>
    <xf numFmtId="0" fontId="0" fillId="0" borderId="0" xfId="0" applyAlignment="1">
      <alignment horizontal="center"/>
    </xf>
    <xf numFmtId="0" fontId="19" fillId="0" borderId="0" xfId="0" applyFont="1"/>
    <xf numFmtId="0" fontId="12" fillId="0" borderId="0" xfId="0" applyFont="1"/>
    <xf numFmtId="0" fontId="21" fillId="0" borderId="0" xfId="0" applyFont="1"/>
    <xf numFmtId="0" fontId="0" fillId="0" borderId="4" xfId="0" applyBorder="1"/>
    <xf numFmtId="0" fontId="21" fillId="0" borderId="0" xfId="0" applyFont="1" applyAlignment="1">
      <alignment horizontal="center"/>
    </xf>
    <xf numFmtId="0" fontId="12"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19" fillId="0" borderId="4" xfId="0" applyFont="1" applyBorder="1"/>
    <xf numFmtId="164" fontId="0" fillId="0" borderId="0" xfId="0" applyNumberFormat="1" applyAlignment="1">
      <alignment horizontal="right"/>
    </xf>
    <xf numFmtId="0" fontId="19" fillId="0" borderId="0" xfId="0" applyFont="1" applyAlignment="1">
      <alignment horizontal="center"/>
    </xf>
    <xf numFmtId="0" fontId="12" fillId="0" borderId="0" xfId="543"/>
    <xf numFmtId="0" fontId="21" fillId="0" borderId="0" xfId="0" applyFont="1" applyAlignment="1">
      <alignment horizontal="left" vertical="top" wrapText="1"/>
    </xf>
    <xf numFmtId="0" fontId="27" fillId="0" borderId="0" xfId="0" applyFont="1"/>
    <xf numFmtId="0" fontId="20" fillId="0" borderId="0" xfId="0" applyFont="1" applyAlignment="1">
      <alignment vertical="top"/>
    </xf>
    <xf numFmtId="0" fontId="20" fillId="0" borderId="0" xfId="0" applyFont="1" applyAlignment="1">
      <alignment vertical="top" wrapText="1"/>
    </xf>
    <xf numFmtId="0" fontId="21" fillId="0" borderId="0" xfId="0" applyFont="1" applyAlignment="1">
      <alignment horizontal="left" indent="4"/>
    </xf>
    <xf numFmtId="0" fontId="20" fillId="0" borderId="0" xfId="0" applyFont="1" applyAlignment="1">
      <alignment horizontal="left" vertical="top"/>
    </xf>
    <xf numFmtId="0" fontId="20" fillId="0" borderId="0" xfId="0" applyFont="1" applyAlignment="1">
      <alignment horizontal="left"/>
    </xf>
    <xf numFmtId="0" fontId="20" fillId="0" borderId="0" xfId="0" applyFont="1"/>
    <xf numFmtId="0" fontId="32" fillId="0" borderId="0" xfId="543" applyFont="1"/>
    <xf numFmtId="1" fontId="20" fillId="0" borderId="0" xfId="0" applyNumberFormat="1" applyFont="1" applyAlignment="1">
      <alignment horizontal="left"/>
    </xf>
    <xf numFmtId="0" fontId="22" fillId="0" borderId="0" xfId="0" applyFont="1"/>
    <xf numFmtId="1" fontId="20" fillId="0" borderId="0" xfId="0" applyNumberFormat="1" applyFont="1" applyAlignment="1">
      <alignment horizontal="right"/>
    </xf>
    <xf numFmtId="0" fontId="0" fillId="0" borderId="0" xfId="0" applyAlignment="1">
      <alignment horizontal="right"/>
    </xf>
    <xf numFmtId="0" fontId="31" fillId="0" borderId="0" xfId="0" applyFont="1"/>
    <xf numFmtId="0" fontId="24" fillId="0" borderId="0" xfId="0" applyFont="1"/>
    <xf numFmtId="172" fontId="12" fillId="0" borderId="0" xfId="543" applyNumberFormat="1"/>
    <xf numFmtId="9" fontId="12" fillId="0" borderId="0" xfId="543" applyNumberFormat="1" applyAlignment="1">
      <alignment horizontal="left"/>
    </xf>
    <xf numFmtId="168" fontId="12" fillId="0" borderId="0" xfId="543" applyNumberFormat="1"/>
    <xf numFmtId="0" fontId="21" fillId="0" borderId="0" xfId="0" applyFont="1" applyAlignment="1">
      <alignment horizontal="right"/>
    </xf>
    <xf numFmtId="0" fontId="35" fillId="0" borderId="0" xfId="0" applyFont="1"/>
    <xf numFmtId="0" fontId="21" fillId="0" borderId="0" xfId="0" applyFont="1" applyAlignment="1">
      <alignment horizontal="left"/>
    </xf>
    <xf numFmtId="0" fontId="23" fillId="0" borderId="0" xfId="0" applyFont="1"/>
    <xf numFmtId="0" fontId="25" fillId="0" borderId="0" xfId="0" applyFont="1"/>
    <xf numFmtId="0" fontId="19"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19" fillId="0" borderId="1" xfId="0" applyFont="1" applyBorder="1" applyAlignment="1">
      <alignment horizontal="center" wrapText="1"/>
    </xf>
    <xf numFmtId="0" fontId="19"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19" fillId="0" borderId="4" xfId="0" applyFont="1" applyBorder="1" applyAlignment="1">
      <alignment horizontal="center"/>
    </xf>
    <xf numFmtId="0" fontId="28" fillId="0" borderId="3" xfId="0" applyFont="1" applyBorder="1" applyAlignment="1">
      <alignment horizontal="left"/>
    </xf>
    <xf numFmtId="0" fontId="28" fillId="0" borderId="9" xfId="0" applyFont="1" applyBorder="1" applyAlignment="1">
      <alignment horizontal="left"/>
    </xf>
    <xf numFmtId="0" fontId="19" fillId="0" borderId="4" xfId="0" applyFont="1" applyBorder="1" applyAlignment="1">
      <alignment horizontal="right"/>
    </xf>
    <xf numFmtId="0" fontId="19" fillId="0" borderId="5" xfId="0" applyFont="1" applyBorder="1" applyAlignment="1">
      <alignment horizontal="right"/>
    </xf>
    <xf numFmtId="0" fontId="28" fillId="0" borderId="0" xfId="0" applyFont="1" applyAlignment="1">
      <alignment horizontal="left"/>
    </xf>
    <xf numFmtId="0" fontId="19" fillId="0" borderId="0" xfId="0" applyFont="1" applyAlignment="1">
      <alignment horizontal="right"/>
    </xf>
    <xf numFmtId="0" fontId="19"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1" fillId="0" borderId="11" xfId="0" applyFont="1" applyBorder="1" applyAlignment="1">
      <alignment horizontal="left"/>
    </xf>
    <xf numFmtId="0" fontId="19" fillId="0" borderId="9" xfId="0" applyFont="1" applyBorder="1"/>
    <xf numFmtId="164" fontId="0" fillId="0" borderId="0" xfId="0" applyNumberFormat="1" applyAlignment="1">
      <alignment horizontal="center"/>
    </xf>
    <xf numFmtId="0" fontId="0" fillId="0" borderId="12" xfId="0" applyBorder="1"/>
    <xf numFmtId="0" fontId="21" fillId="0" borderId="3" xfId="0" applyFont="1" applyBorder="1"/>
    <xf numFmtId="0" fontId="21" fillId="0" borderId="0" xfId="543" applyFont="1"/>
    <xf numFmtId="0" fontId="37" fillId="0" borderId="0" xfId="543" applyFont="1"/>
    <xf numFmtId="49" fontId="12" fillId="0" borderId="0" xfId="543" applyNumberFormat="1"/>
    <xf numFmtId="0" fontId="35" fillId="0" borderId="0" xfId="543" applyFont="1"/>
    <xf numFmtId="168" fontId="32" fillId="0" borderId="6" xfId="543" applyNumberFormat="1" applyFont="1" applyBorder="1" applyAlignment="1">
      <alignment horizontal="left"/>
    </xf>
    <xf numFmtId="168" fontId="32" fillId="0" borderId="6" xfId="543" applyNumberFormat="1" applyFont="1" applyBorder="1" applyAlignment="1">
      <alignment horizontal="center"/>
    </xf>
    <xf numFmtId="0" fontId="12" fillId="0" borderId="8" xfId="543" applyBorder="1"/>
    <xf numFmtId="0" fontId="32" fillId="0" borderId="0" xfId="543" applyFont="1" applyAlignment="1">
      <alignment horizontal="center"/>
    </xf>
    <xf numFmtId="0" fontId="31" fillId="0" borderId="9" xfId="543" applyFont="1" applyBorder="1" applyAlignment="1">
      <alignment horizontal="left" vertical="top" wrapText="1"/>
    </xf>
    <xf numFmtId="0" fontId="31" fillId="0" borderId="6" xfId="543" applyFont="1" applyBorder="1" applyAlignment="1">
      <alignment horizontal="center" vertical="top" wrapText="1"/>
    </xf>
    <xf numFmtId="0" fontId="12" fillId="0" borderId="9" xfId="543" applyBorder="1"/>
    <xf numFmtId="0" fontId="12" fillId="0" borderId="10" xfId="543" applyBorder="1"/>
    <xf numFmtId="0" fontId="12" fillId="0" borderId="1" xfId="543" applyBorder="1"/>
    <xf numFmtId="0" fontId="32" fillId="0" borderId="2" xfId="543" applyFont="1" applyBorder="1" applyAlignment="1">
      <alignment horizontal="center"/>
    </xf>
    <xf numFmtId="0" fontId="34" fillId="0" borderId="8" xfId="543" applyFont="1" applyBorder="1" applyAlignment="1">
      <alignment horizontal="left" vertical="top" wrapText="1"/>
    </xf>
    <xf numFmtId="0" fontId="31" fillId="0" borderId="0" xfId="543" applyFont="1" applyAlignment="1">
      <alignment horizontal="center" vertical="top" wrapText="1"/>
    </xf>
    <xf numFmtId="0" fontId="12" fillId="0" borderId="12" xfId="543" applyBorder="1"/>
    <xf numFmtId="0" fontId="34" fillId="0" borderId="0" xfId="543" applyFont="1" applyAlignment="1">
      <alignment horizontal="center" vertical="top" wrapText="1"/>
    </xf>
    <xf numFmtId="0" fontId="34" fillId="0" borderId="9" xfId="543" applyFont="1" applyBorder="1" applyAlignment="1">
      <alignment horizontal="left" vertical="top" wrapText="1"/>
    </xf>
    <xf numFmtId="0" fontId="12" fillId="0" borderId="2" xfId="543" applyBorder="1"/>
    <xf numFmtId="0" fontId="12" fillId="0" borderId="7" xfId="543" applyBorder="1"/>
    <xf numFmtId="0" fontId="31" fillId="0" borderId="0" xfId="543" applyFont="1"/>
    <xf numFmtId="0" fontId="12" fillId="0" borderId="0" xfId="543" applyAlignment="1">
      <alignment horizontal="center"/>
    </xf>
    <xf numFmtId="0" fontId="20" fillId="0" borderId="6" xfId="543" applyFont="1" applyBorder="1" applyAlignment="1">
      <alignment vertical="top" wrapText="1"/>
    </xf>
    <xf numFmtId="0" fontId="21" fillId="0" borderId="0" xfId="0" applyFont="1" applyAlignment="1">
      <alignment horizontal="left" vertical="top"/>
    </xf>
    <xf numFmtId="0" fontId="0" fillId="2" borderId="2" xfId="0" applyFill="1" applyBorder="1"/>
    <xf numFmtId="0" fontId="0" fillId="2" borderId="7" xfId="0" applyFill="1" applyBorder="1"/>
    <xf numFmtId="0" fontId="19" fillId="0" borderId="6" xfId="0" applyFont="1" applyBorder="1" applyAlignment="1">
      <alignment horizontal="right"/>
    </xf>
    <xf numFmtId="0" fontId="18" fillId="0" borderId="0" xfId="0" applyFont="1" applyAlignment="1">
      <alignment horizontal="center" vertical="center"/>
    </xf>
    <xf numFmtId="0" fontId="19" fillId="0" borderId="0" xfId="0" applyFont="1" applyAlignment="1">
      <alignment vertical="top"/>
    </xf>
    <xf numFmtId="166" fontId="0" fillId="0" borderId="0" xfId="0" applyNumberFormat="1" applyAlignment="1">
      <alignment horizontal="right"/>
    </xf>
    <xf numFmtId="0" fontId="42" fillId="0" borderId="0" xfId="0" applyFont="1"/>
    <xf numFmtId="0" fontId="29" fillId="0" borderId="0" xfId="0" applyFont="1"/>
    <xf numFmtId="0" fontId="13" fillId="0" borderId="0" xfId="244" applyBorder="1" applyProtection="1"/>
    <xf numFmtId="0" fontId="13" fillId="0" borderId="0" xfId="244" applyFill="1" applyBorder="1" applyAlignment="1">
      <alignment horizontal="center" vertical="center"/>
    </xf>
    <xf numFmtId="0" fontId="12" fillId="0" borderId="3" xfId="543" applyBorder="1"/>
    <xf numFmtId="0" fontId="34" fillId="0" borderId="4" xfId="543" applyFont="1" applyBorder="1" applyAlignment="1">
      <alignment horizontal="right" vertical="top" wrapText="1"/>
    </xf>
    <xf numFmtId="0" fontId="21" fillId="0" borderId="6" xfId="0" applyFont="1" applyBorder="1"/>
    <xf numFmtId="0" fontId="21" fillId="0" borderId="2" xfId="0" applyFont="1" applyBorder="1"/>
    <xf numFmtId="0" fontId="21" fillId="0" borderId="7" xfId="0" applyFont="1" applyBorder="1"/>
    <xf numFmtId="0" fontId="21" fillId="0" borderId="12" xfId="0" applyFont="1" applyBorder="1"/>
    <xf numFmtId="0" fontId="21" fillId="0" borderId="9" xfId="0" applyFont="1" applyBorder="1"/>
    <xf numFmtId="0" fontId="21" fillId="0" borderId="10" xfId="0" applyFont="1" applyBorder="1"/>
    <xf numFmtId="0" fontId="26" fillId="0" borderId="6" xfId="0" applyFont="1" applyBorder="1" applyAlignment="1">
      <alignment vertical="top" wrapText="1"/>
    </xf>
    <xf numFmtId="0" fontId="26" fillId="0" borderId="5" xfId="0" applyFont="1" applyBorder="1" applyAlignment="1">
      <alignment vertical="top" wrapText="1"/>
    </xf>
    <xf numFmtId="0" fontId="26" fillId="0" borderId="4" xfId="0" applyFont="1" applyBorder="1" applyAlignment="1">
      <alignment vertical="top" wrapText="1"/>
    </xf>
    <xf numFmtId="0" fontId="26" fillId="2" borderId="6" xfId="0" applyFont="1" applyFill="1" applyBorder="1" applyAlignment="1">
      <alignment vertical="top" wrapText="1"/>
    </xf>
    <xf numFmtId="0" fontId="0" fillId="0" borderId="8" xfId="0" applyBorder="1"/>
    <xf numFmtId="0" fontId="19" fillId="0" borderId="2" xfId="0" applyFont="1" applyBorder="1"/>
    <xf numFmtId="0" fontId="21" fillId="0" borderId="0" xfId="0" applyFont="1" applyAlignment="1">
      <alignment vertical="top"/>
    </xf>
    <xf numFmtId="0" fontId="21" fillId="0" borderId="0" xfId="0" applyFont="1" applyAlignment="1">
      <alignment vertical="top" wrapText="1"/>
    </xf>
    <xf numFmtId="0" fontId="12" fillId="0" borderId="0" xfId="0" applyFont="1" applyAlignment="1">
      <alignment horizontal="left"/>
    </xf>
    <xf numFmtId="0" fontId="12" fillId="0" borderId="0" xfId="0" applyFont="1" applyAlignment="1">
      <alignment vertical="top"/>
    </xf>
    <xf numFmtId="0" fontId="41" fillId="0" borderId="0" xfId="0" applyFont="1"/>
    <xf numFmtId="0" fontId="12" fillId="0" borderId="3" xfId="0" applyFont="1" applyBorder="1"/>
    <xf numFmtId="0" fontId="12"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6" fillId="3" borderId="4" xfId="0" applyFont="1" applyFill="1" applyBorder="1" applyAlignment="1">
      <alignment vertical="top" wrapText="1"/>
    </xf>
    <xf numFmtId="0" fontId="26" fillId="3" borderId="5" xfId="0" applyFont="1" applyFill="1" applyBorder="1" applyAlignment="1">
      <alignment vertical="top" wrapText="1"/>
    </xf>
    <xf numFmtId="0" fontId="44" fillId="0" borderId="0" xfId="0" applyFont="1"/>
    <xf numFmtId="0" fontId="21" fillId="0" borderId="4" xfId="0" applyFont="1" applyBorder="1"/>
    <xf numFmtId="0" fontId="19" fillId="0" borderId="2" xfId="0" applyFont="1" applyBorder="1" applyAlignment="1">
      <alignment horizontal="center"/>
    </xf>
    <xf numFmtId="0" fontId="19" fillId="0" borderId="0" xfId="0" applyFont="1" applyAlignment="1">
      <alignment horizontal="center" vertical="center" wrapText="1"/>
    </xf>
    <xf numFmtId="0" fontId="19" fillId="0" borderId="7" xfId="543" applyFont="1" applyBorder="1" applyAlignment="1">
      <alignment horizontal="right"/>
    </xf>
    <xf numFmtId="0" fontId="20" fillId="0" borderId="9" xfId="543" applyFont="1" applyBorder="1"/>
    <xf numFmtId="0" fontId="21" fillId="0" borderId="6" xfId="543" applyFont="1" applyBorder="1"/>
    <xf numFmtId="0" fontId="20" fillId="0" borderId="6" xfId="543" applyFont="1" applyBorder="1" applyAlignment="1">
      <alignment horizontal="right"/>
    </xf>
    <xf numFmtId="0" fontId="19" fillId="0" borderId="0" xfId="0" applyFont="1" applyAlignment="1">
      <alignment horizontal="center" vertical="center"/>
    </xf>
    <xf numFmtId="0" fontId="21" fillId="0" borderId="0" xfId="0" applyFont="1" applyAlignment="1">
      <alignment horizontal="left" vertical="center"/>
    </xf>
    <xf numFmtId="0" fontId="50" fillId="0" borderId="3" xfId="0" applyFont="1" applyBorder="1" applyAlignment="1">
      <alignment horizontal="left" vertical="top"/>
    </xf>
    <xf numFmtId="0" fontId="50" fillId="0" borderId="13" xfId="0" applyFont="1" applyBorder="1" applyAlignment="1">
      <alignment horizontal="center" wrapText="1"/>
    </xf>
    <xf numFmtId="0" fontId="50" fillId="0" borderId="13" xfId="0" applyFont="1" applyBorder="1" applyAlignment="1">
      <alignment horizontal="center" vertical="top" wrapText="1"/>
    </xf>
    <xf numFmtId="0" fontId="50" fillId="2" borderId="13" xfId="0" applyFont="1" applyFill="1" applyBorder="1" applyAlignment="1">
      <alignment horizontal="center" wrapText="1"/>
    </xf>
    <xf numFmtId="0" fontId="51" fillId="2" borderId="11" xfId="0" applyFont="1" applyFill="1" applyBorder="1" applyAlignment="1">
      <alignment horizontal="left" vertical="top" wrapText="1"/>
    </xf>
    <xf numFmtId="0" fontId="52" fillId="4" borderId="11" xfId="0"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2" fillId="5" borderId="11" xfId="0" applyNumberFormat="1" applyFont="1" applyFill="1" applyBorder="1" applyAlignment="1" applyProtection="1">
      <alignment vertical="top" wrapText="1"/>
      <protection locked="0"/>
    </xf>
    <xf numFmtId="168" fontId="52" fillId="6" borderId="11" xfId="0" applyNumberFormat="1" applyFont="1" applyFill="1" applyBorder="1" applyAlignment="1">
      <alignment horizontal="center" vertical="top" wrapText="1"/>
    </xf>
    <xf numFmtId="0" fontId="50" fillId="0" borderId="11" xfId="0" applyFont="1" applyBorder="1" applyAlignment="1">
      <alignment horizontal="right" vertical="top" wrapText="1"/>
    </xf>
    <xf numFmtId="168" fontId="50"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50" fillId="2" borderId="11" xfId="0" applyFont="1" applyFill="1" applyBorder="1" applyAlignment="1">
      <alignment vertical="top" wrapText="1"/>
    </xf>
    <xf numFmtId="0" fontId="50" fillId="0" borderId="11" xfId="0" applyFont="1" applyBorder="1" applyAlignment="1">
      <alignment vertical="top" wrapText="1"/>
    </xf>
    <xf numFmtId="0" fontId="15" fillId="0" borderId="11" xfId="0" applyFont="1" applyBorder="1" applyAlignment="1">
      <alignment horizontal="right" vertical="top" wrapText="1"/>
    </xf>
    <xf numFmtId="0" fontId="52" fillId="0" borderId="11" xfId="0" applyFont="1" applyBorder="1" applyAlignment="1" applyProtection="1">
      <alignment horizontal="right" vertical="top" wrapText="1"/>
      <protection locked="0"/>
    </xf>
    <xf numFmtId="0" fontId="50" fillId="0" borderId="0" xfId="0" applyFont="1" applyAlignment="1">
      <alignment horizontal="left" vertical="top"/>
    </xf>
    <xf numFmtId="0" fontId="52" fillId="0" borderId="0" xfId="0" applyFont="1" applyAlignment="1">
      <alignment horizontal="left" vertical="top"/>
    </xf>
    <xf numFmtId="0" fontId="52" fillId="0" borderId="0" xfId="0" applyFont="1" applyAlignment="1">
      <alignment vertical="top" wrapText="1"/>
    </xf>
    <xf numFmtId="0" fontId="52" fillId="0" borderId="0" xfId="0" applyFont="1" applyAlignment="1">
      <alignment vertical="top"/>
    </xf>
    <xf numFmtId="0" fontId="50" fillId="0" borderId="0" xfId="0" applyFont="1" applyAlignment="1">
      <alignment horizontal="right" vertical="top"/>
    </xf>
    <xf numFmtId="0" fontId="52" fillId="2" borderId="0" xfId="0" applyFont="1" applyFill="1" applyAlignment="1">
      <alignment vertical="top" wrapText="1"/>
    </xf>
    <xf numFmtId="0" fontId="50" fillId="0" borderId="0" xfId="0" applyFont="1" applyAlignment="1">
      <alignment vertical="top"/>
    </xf>
    <xf numFmtId="166" fontId="21" fillId="0" borderId="0" xfId="0" applyNumberFormat="1" applyFont="1" applyAlignment="1">
      <alignment horizontal="left"/>
    </xf>
    <xf numFmtId="0" fontId="53" fillId="0" borderId="0" xfId="0" applyFont="1"/>
    <xf numFmtId="0" fontId="12" fillId="0" borderId="0" xfId="244" applyFont="1" applyFill="1" applyBorder="1" applyAlignment="1" applyProtection="1">
      <alignment horizontal="left"/>
    </xf>
    <xf numFmtId="0" fontId="43" fillId="0" borderId="0" xfId="0" applyFont="1"/>
    <xf numFmtId="0" fontId="43" fillId="0" borderId="0" xfId="244" applyFont="1" applyFill="1" applyBorder="1" applyAlignment="1" applyProtection="1">
      <alignment horizontal="left"/>
    </xf>
    <xf numFmtId="0" fontId="18" fillId="3" borderId="11" xfId="0" applyFont="1" applyFill="1" applyBorder="1" applyAlignment="1">
      <alignment vertical="top"/>
    </xf>
    <xf numFmtId="0" fontId="0" fillId="7" borderId="0" xfId="0" applyFill="1"/>
    <xf numFmtId="0" fontId="32" fillId="0" borderId="0" xfId="0" applyFont="1"/>
    <xf numFmtId="0" fontId="55" fillId="0" borderId="0" xfId="0" applyFont="1"/>
    <xf numFmtId="0" fontId="30" fillId="0" borderId="0" xfId="0" applyFont="1" applyAlignment="1">
      <alignment horizontal="center"/>
    </xf>
    <xf numFmtId="0" fontId="30" fillId="0" borderId="0" xfId="0" applyFont="1"/>
    <xf numFmtId="0" fontId="30" fillId="0" borderId="0" xfId="0" applyFont="1" applyAlignment="1">
      <alignment horizontal="left"/>
    </xf>
    <xf numFmtId="49" fontId="19" fillId="0" borderId="0" xfId="0" applyNumberFormat="1" applyFont="1" applyAlignment="1">
      <alignment horizontal="center"/>
    </xf>
    <xf numFmtId="0" fontId="47" fillId="0" borderId="0" xfId="0" applyFont="1" applyAlignment="1">
      <alignment horizontal="center"/>
    </xf>
    <xf numFmtId="0" fontId="46" fillId="0" borderId="0" xfId="244" applyFont="1" applyAlignment="1" applyProtection="1">
      <alignment horizontal="center"/>
    </xf>
    <xf numFmtId="0" fontId="21" fillId="0" borderId="0" xfId="0" quotePrefix="1" applyFont="1" applyAlignment="1">
      <alignment horizontal="left"/>
    </xf>
    <xf numFmtId="49" fontId="21" fillId="0" borderId="0" xfId="0" applyNumberFormat="1" applyFont="1" applyAlignment="1">
      <alignment horizontal="center"/>
    </xf>
    <xf numFmtId="0" fontId="19" fillId="0" borderId="0" xfId="0" quotePrefix="1" applyFont="1" applyAlignment="1">
      <alignment horizontal="center"/>
    </xf>
    <xf numFmtId="49" fontId="0" fillId="0" borderId="0" xfId="0" applyNumberFormat="1"/>
    <xf numFmtId="0" fontId="44" fillId="0" borderId="0" xfId="0" applyFont="1" applyAlignment="1">
      <alignment horizontal="left"/>
    </xf>
    <xf numFmtId="49" fontId="21" fillId="0" borderId="0" xfId="0" applyNumberFormat="1" applyFont="1"/>
    <xf numFmtId="49" fontId="19" fillId="0" borderId="0" xfId="0" applyNumberFormat="1" applyFont="1" applyAlignment="1">
      <alignment horizontal="left"/>
    </xf>
    <xf numFmtId="168" fontId="21" fillId="0" borderId="0" xfId="0" applyNumberFormat="1" applyFont="1" applyAlignment="1">
      <alignment horizontal="center"/>
    </xf>
    <xf numFmtId="168" fontId="31" fillId="0" borderId="0" xfId="0" applyNumberFormat="1" applyFont="1" applyAlignment="1">
      <alignment horizontal="left" vertical="top" wrapText="1"/>
    </xf>
    <xf numFmtId="0" fontId="49" fillId="0" borderId="3" xfId="0" applyFont="1" applyBorder="1"/>
    <xf numFmtId="168" fontId="0" fillId="0" borderId="0" xfId="0" applyNumberFormat="1" applyAlignment="1">
      <alignment horizontal="center"/>
    </xf>
    <xf numFmtId="0" fontId="32" fillId="0" borderId="0" xfId="0" applyFont="1" applyAlignment="1">
      <alignment vertical="top" wrapText="1"/>
    </xf>
    <xf numFmtId="0" fontId="50" fillId="0" borderId="4" xfId="0" applyFont="1" applyBorder="1" applyAlignment="1">
      <alignment horizontal="right"/>
    </xf>
    <xf numFmtId="0" fontId="57" fillId="0" borderId="0" xfId="0" applyFont="1"/>
    <xf numFmtId="3" fontId="21" fillId="0" borderId="0" xfId="0" applyNumberFormat="1" applyFont="1" applyAlignment="1">
      <alignment horizontal="center"/>
    </xf>
    <xf numFmtId="168" fontId="12" fillId="0" borderId="0" xfId="0" applyNumberFormat="1" applyFont="1" applyAlignment="1">
      <alignment horizontal="left" vertical="top"/>
    </xf>
    <xf numFmtId="168" fontId="21" fillId="0" borderId="0" xfId="0" applyNumberFormat="1" applyFont="1" applyAlignment="1">
      <alignment horizontal="left" vertical="top"/>
    </xf>
    <xf numFmtId="0" fontId="21" fillId="0" borderId="0" xfId="0" applyFont="1" applyAlignment="1">
      <alignment horizontal="center" vertical="center"/>
    </xf>
    <xf numFmtId="0" fontId="21" fillId="0" borderId="0" xfId="0" applyFont="1" applyAlignment="1">
      <alignment vertical="center"/>
    </xf>
    <xf numFmtId="0" fontId="0" fillId="0" borderId="0" xfId="0" applyAlignment="1">
      <alignment vertical="center"/>
    </xf>
    <xf numFmtId="0" fontId="52" fillId="0" borderId="11" xfId="0" applyFont="1" applyBorder="1" applyAlignment="1">
      <alignment horizontal="right" vertical="top"/>
    </xf>
    <xf numFmtId="0" fontId="52" fillId="0" borderId="0" xfId="0" applyFont="1" applyAlignment="1">
      <alignment horizontal="right" vertical="top" wrapText="1"/>
    </xf>
    <xf numFmtId="0" fontId="52" fillId="2" borderId="12" xfId="0" applyFont="1" applyFill="1" applyBorder="1" applyAlignment="1">
      <alignment vertical="top" wrapText="1"/>
    </xf>
    <xf numFmtId="0" fontId="52" fillId="0" borderId="14" xfId="0" applyFont="1" applyBorder="1" applyAlignment="1">
      <alignment vertical="top" wrapText="1"/>
    </xf>
    <xf numFmtId="168" fontId="52" fillId="5" borderId="11" xfId="0" applyNumberFormat="1" applyFont="1" applyFill="1" applyBorder="1" applyAlignment="1" applyProtection="1">
      <alignment vertical="top"/>
      <protection locked="0"/>
    </xf>
    <xf numFmtId="0" fontId="52" fillId="2" borderId="11" xfId="0" applyFont="1" applyFill="1" applyBorder="1" applyAlignment="1" applyProtection="1">
      <alignment vertical="top"/>
      <protection locked="0"/>
    </xf>
    <xf numFmtId="0" fontId="52" fillId="0" borderId="11" xfId="0" applyFont="1" applyBorder="1" applyAlignment="1" applyProtection="1">
      <alignment vertical="top"/>
      <protection locked="0"/>
    </xf>
    <xf numFmtId="168" fontId="52" fillId="0" borderId="11" xfId="0" applyNumberFormat="1" applyFont="1" applyBorder="1" applyAlignment="1">
      <alignment vertical="top"/>
    </xf>
    <xf numFmtId="168" fontId="52" fillId="6" borderId="11" xfId="0" applyNumberFormat="1" applyFont="1" applyFill="1" applyBorder="1" applyAlignment="1">
      <alignment horizontal="center" vertical="top"/>
    </xf>
    <xf numFmtId="0" fontId="19" fillId="0" borderId="0" xfId="542" applyFont="1" applyProtection="1">
      <protection locked="0"/>
    </xf>
    <xf numFmtId="0" fontId="12" fillId="0" borderId="0" xfId="539" applyProtection="1"/>
    <xf numFmtId="0" fontId="32" fillId="8" borderId="0" xfId="539" applyFont="1" applyFill="1" applyAlignment="1" applyProtection="1">
      <alignment horizontal="centerContinuous"/>
    </xf>
    <xf numFmtId="4" fontId="21" fillId="0" borderId="0" xfId="0" applyNumberFormat="1" applyFont="1"/>
    <xf numFmtId="0" fontId="19" fillId="0" borderId="0" xfId="543" applyFont="1"/>
    <xf numFmtId="0" fontId="21" fillId="0" borderId="0" xfId="543" applyFont="1" applyAlignment="1">
      <alignment horizontal="left"/>
    </xf>
    <xf numFmtId="0" fontId="21" fillId="0" borderId="15" xfId="0" applyFont="1" applyBorder="1"/>
    <xf numFmtId="0" fontId="21" fillId="0" borderId="11" xfId="0" applyFont="1" applyBorder="1"/>
    <xf numFmtId="2" fontId="35" fillId="0" borderId="11" xfId="0" applyNumberFormat="1" applyFont="1" applyBorder="1"/>
    <xf numFmtId="0" fontId="12" fillId="0" borderId="0" xfId="0" applyFont="1" applyProtection="1">
      <protection locked="0"/>
    </xf>
    <xf numFmtId="0" fontId="60" fillId="0" borderId="0" xfId="0" applyFont="1" applyAlignment="1">
      <alignment horizontal="center"/>
    </xf>
    <xf numFmtId="0" fontId="21" fillId="0" borderId="0" xfId="271"/>
    <xf numFmtId="0" fontId="19" fillId="0" borderId="0" xfId="271" applyFont="1"/>
    <xf numFmtId="0" fontId="21" fillId="0" borderId="0" xfId="271" applyAlignment="1">
      <alignment horizontal="left"/>
    </xf>
    <xf numFmtId="0" fontId="13" fillId="0" borderId="0" xfId="244" applyFill="1" applyBorder="1" applyProtection="1">
      <protection locked="0"/>
    </xf>
    <xf numFmtId="168" fontId="19" fillId="0" borderId="2" xfId="543" applyNumberFormat="1" applyFont="1" applyBorder="1" applyAlignment="1">
      <alignment horizontal="center" vertical="center"/>
    </xf>
    <xf numFmtId="0" fontId="34" fillId="0" borderId="0" xfId="543" applyFont="1" applyAlignment="1">
      <alignment horizontal="right" vertical="top" wrapText="1"/>
    </xf>
    <xf numFmtId="0" fontId="32" fillId="0" borderId="2" xfId="543" applyFont="1" applyBorder="1" applyAlignment="1">
      <alignment horizontal="right" vertical="top" wrapText="1"/>
    </xf>
    <xf numFmtId="0" fontId="17" fillId="0" borderId="0" xfId="0" applyFont="1"/>
    <xf numFmtId="0" fontId="62" fillId="0" borderId="0" xfId="0" applyFont="1"/>
    <xf numFmtId="0" fontId="60" fillId="0" borderId="0" xfId="0" applyFont="1"/>
    <xf numFmtId="0" fontId="32"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19" fillId="0" borderId="0" xfId="0" applyNumberFormat="1" applyFont="1" applyAlignment="1">
      <alignment horizontal="center"/>
    </xf>
    <xf numFmtId="3" fontId="0" fillId="0" borderId="0" xfId="0" applyNumberFormat="1" applyAlignment="1">
      <alignment horizontal="center"/>
    </xf>
    <xf numFmtId="3" fontId="21" fillId="0" borderId="0" xfId="0" applyNumberFormat="1" applyFont="1"/>
    <xf numFmtId="0" fontId="61" fillId="0" borderId="0" xfId="0" applyFont="1"/>
    <xf numFmtId="168" fontId="17" fillId="0" borderId="0" xfId="0" applyNumberFormat="1" applyFont="1"/>
    <xf numFmtId="10" fontId="17" fillId="0" borderId="0" xfId="0" applyNumberFormat="1" applyFont="1" applyAlignment="1">
      <alignment horizontal="center"/>
    </xf>
    <xf numFmtId="3" fontId="64" fillId="0" borderId="0" xfId="0" applyNumberFormat="1" applyFont="1"/>
    <xf numFmtId="3" fontId="17" fillId="0" borderId="0" xfId="0" applyNumberFormat="1" applyFont="1"/>
    <xf numFmtId="168" fontId="61" fillId="0" borderId="0" xfId="0" applyNumberFormat="1" applyFont="1"/>
    <xf numFmtId="168" fontId="61" fillId="0" borderId="0" xfId="0" applyNumberFormat="1" applyFont="1" applyAlignment="1">
      <alignment horizontal="center"/>
    </xf>
    <xf numFmtId="0" fontId="17" fillId="5" borderId="0" xfId="0" applyFont="1" applyFill="1" applyAlignment="1">
      <alignment horizontal="left"/>
    </xf>
    <xf numFmtId="0" fontId="17" fillId="5" borderId="0" xfId="0" applyFont="1" applyFill="1"/>
    <xf numFmtId="10" fontId="17" fillId="0" borderId="0" xfId="0" applyNumberFormat="1" applyFont="1"/>
    <xf numFmtId="172" fontId="17" fillId="0" borderId="0" xfId="0" applyNumberFormat="1" applyFont="1"/>
    <xf numFmtId="172" fontId="17" fillId="0" borderId="0" xfId="0" applyNumberFormat="1" applyFont="1" applyAlignment="1">
      <alignment horizontal="center"/>
    </xf>
    <xf numFmtId="0" fontId="17" fillId="0" borderId="6" xfId="0" applyFont="1" applyBorder="1"/>
    <xf numFmtId="10" fontId="17" fillId="0" borderId="6" xfId="0" applyNumberFormat="1" applyFont="1" applyBorder="1" applyAlignment="1">
      <alignment horizontal="center"/>
    </xf>
    <xf numFmtId="3" fontId="17" fillId="0" borderId="6" xfId="0" applyNumberFormat="1" applyFont="1" applyBorder="1"/>
    <xf numFmtId="10" fontId="21" fillId="0" borderId="0" xfId="0" applyNumberFormat="1" applyFont="1" applyAlignment="1">
      <alignment horizontal="center"/>
    </xf>
    <xf numFmtId="3" fontId="21" fillId="0" borderId="0" xfId="0" applyNumberFormat="1" applyFont="1" applyAlignment="1">
      <alignment vertical="top"/>
    </xf>
    <xf numFmtId="10" fontId="19" fillId="0" borderId="0" xfId="0" applyNumberFormat="1" applyFont="1" applyAlignment="1">
      <alignment horizontal="center"/>
    </xf>
    <xf numFmtId="0" fontId="60" fillId="0" borderId="6" xfId="0" applyFont="1" applyBorder="1" applyAlignment="1">
      <alignment horizontal="center"/>
    </xf>
    <xf numFmtId="172" fontId="21" fillId="0" borderId="0" xfId="0" applyNumberFormat="1" applyFont="1" applyAlignment="1">
      <alignment horizontal="center"/>
    </xf>
    <xf numFmtId="10" fontId="65" fillId="0" borderId="0" xfId="0" applyNumberFormat="1" applyFont="1" applyAlignment="1">
      <alignment horizontal="center"/>
    </xf>
    <xf numFmtId="4" fontId="21" fillId="0" borderId="0" xfId="271" applyNumberFormat="1" applyAlignment="1">
      <alignment horizontal="left"/>
    </xf>
    <xf numFmtId="0" fontId="21" fillId="0" borderId="0" xfId="271" applyAlignment="1">
      <alignment horizontal="center"/>
    </xf>
    <xf numFmtId="0" fontId="21" fillId="9" borderId="6" xfId="0" applyFont="1" applyFill="1" applyBorder="1"/>
    <xf numFmtId="0" fontId="21" fillId="0" borderId="4" xfId="271" applyBorder="1"/>
    <xf numFmtId="0" fontId="21" fillId="0" borderId="6" xfId="271" applyBorder="1"/>
    <xf numFmtId="0" fontId="21" fillId="0" borderId="1" xfId="0" applyFont="1" applyBorder="1"/>
    <xf numFmtId="168" fontId="21" fillId="0" borderId="3" xfId="0" applyNumberFormat="1" applyFont="1" applyBorder="1" applyAlignment="1">
      <alignment vertical="top"/>
    </xf>
    <xf numFmtId="168" fontId="21" fillId="0" borderId="4" xfId="0" applyNumberFormat="1" applyFont="1" applyBorder="1" applyAlignment="1">
      <alignment vertical="top"/>
    </xf>
    <xf numFmtId="168" fontId="21" fillId="0" borderId="5" xfId="0" applyNumberFormat="1" applyFont="1" applyBorder="1" applyAlignment="1">
      <alignment vertical="top"/>
    </xf>
    <xf numFmtId="168" fontId="21" fillId="0" borderId="8" xfId="0" applyNumberFormat="1" applyFont="1" applyBorder="1" applyAlignment="1">
      <alignment vertical="top"/>
    </xf>
    <xf numFmtId="168" fontId="21" fillId="0" borderId="0" xfId="0" applyNumberFormat="1" applyFont="1" applyAlignment="1">
      <alignment vertical="top"/>
    </xf>
    <xf numFmtId="0" fontId="21" fillId="0" borderId="0" xfId="0" applyFont="1" applyAlignment="1">
      <alignment horizontal="right" vertical="top"/>
    </xf>
    <xf numFmtId="0" fontId="21"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1" fillId="5" borderId="4" xfId="0" applyFont="1" applyFill="1" applyBorder="1" applyAlignment="1" applyProtection="1">
      <alignment horizontal="left" vertical="top"/>
      <protection locked="0"/>
    </xf>
    <xf numFmtId="0" fontId="21" fillId="5" borderId="5" xfId="0" applyFont="1" applyFill="1" applyBorder="1" applyAlignment="1" applyProtection="1">
      <alignment horizontal="left" vertical="top"/>
      <protection locked="0"/>
    </xf>
    <xf numFmtId="4" fontId="47" fillId="0" borderId="0" xfId="0" applyNumberFormat="1" applyFont="1" applyAlignment="1">
      <alignment horizontal="center"/>
    </xf>
    <xf numFmtId="4" fontId="21" fillId="0" borderId="0" xfId="0" applyNumberFormat="1" applyFont="1" applyAlignment="1">
      <alignment horizontal="center"/>
    </xf>
    <xf numFmtId="4" fontId="0" fillId="0" borderId="0" xfId="0" applyNumberFormat="1"/>
    <xf numFmtId="0" fontId="31" fillId="0" borderId="1" xfId="543" applyFont="1" applyBorder="1" applyAlignment="1">
      <alignment horizontal="left" vertical="top" wrapText="1"/>
    </xf>
    <xf numFmtId="0" fontId="31" fillId="0" borderId="12" xfId="543" applyFont="1" applyBorder="1" applyAlignment="1">
      <alignment horizontal="center" vertical="top" wrapText="1"/>
    </xf>
    <xf numFmtId="0" fontId="31" fillId="0" borderId="8" xfId="543" applyFont="1" applyBorder="1" applyAlignment="1">
      <alignment horizontal="left" vertical="top" wrapText="1"/>
    </xf>
    <xf numFmtId="0" fontId="26" fillId="3" borderId="4" xfId="271" applyFont="1" applyFill="1" applyBorder="1" applyAlignment="1">
      <alignment vertical="top" wrapText="1"/>
    </xf>
    <xf numFmtId="0" fontId="18" fillId="3" borderId="11" xfId="271" applyFont="1" applyFill="1" applyBorder="1" applyAlignment="1">
      <alignment vertical="top"/>
    </xf>
    <xf numFmtId="0" fontId="19" fillId="0" borderId="9" xfId="271" applyFont="1" applyBorder="1" applyAlignment="1">
      <alignment horizontal="center" wrapText="1"/>
    </xf>
    <xf numFmtId="0" fontId="26" fillId="3" borderId="4" xfId="271" applyFont="1" applyFill="1" applyBorder="1" applyAlignment="1" applyProtection="1">
      <alignment vertical="top" wrapText="1"/>
      <protection locked="0"/>
    </xf>
    <xf numFmtId="0" fontId="26" fillId="3" borderId="5" xfId="271" applyFont="1" applyFill="1" applyBorder="1" applyAlignment="1" applyProtection="1">
      <alignment vertical="top" wrapText="1"/>
      <protection locked="0"/>
    </xf>
    <xf numFmtId="0" fontId="19" fillId="0" borderId="13" xfId="271" applyFont="1" applyBorder="1" applyAlignment="1">
      <alignment horizontal="center" wrapText="1"/>
    </xf>
    <xf numFmtId="0" fontId="44" fillId="2" borderId="11" xfId="271" applyFont="1" applyFill="1" applyBorder="1" applyAlignment="1">
      <alignment horizontal="left" vertical="top" wrapText="1"/>
    </xf>
    <xf numFmtId="0" fontId="21" fillId="0" borderId="11" xfId="271" applyBorder="1" applyAlignment="1" applyProtection="1">
      <alignment vertical="top" wrapText="1"/>
      <protection locked="0"/>
    </xf>
    <xf numFmtId="168" fontId="21" fillId="5" borderId="11" xfId="271" applyNumberFormat="1" applyFill="1" applyBorder="1" applyAlignment="1" applyProtection="1">
      <alignment vertical="top" wrapText="1"/>
      <protection locked="0"/>
    </xf>
    <xf numFmtId="0" fontId="21" fillId="5" borderId="3" xfId="271" applyFill="1" applyBorder="1" applyAlignment="1" applyProtection="1">
      <alignment vertical="top" wrapText="1"/>
      <protection locked="0"/>
    </xf>
    <xf numFmtId="0" fontId="21" fillId="5" borderId="11" xfId="271" applyFill="1" applyBorder="1" applyAlignment="1" applyProtection="1">
      <alignment vertical="top" wrapText="1"/>
      <protection locked="0"/>
    </xf>
    <xf numFmtId="0" fontId="21" fillId="0" borderId="11" xfId="271" applyBorder="1" applyAlignment="1">
      <alignment horizontal="right" vertical="top" wrapText="1"/>
    </xf>
    <xf numFmtId="168" fontId="21" fillId="0" borderId="11" xfId="271" applyNumberFormat="1" applyBorder="1" applyAlignment="1">
      <alignment vertical="top" wrapText="1"/>
    </xf>
    <xf numFmtId="0" fontId="19" fillId="0" borderId="11" xfId="271" applyFont="1" applyBorder="1" applyAlignment="1">
      <alignment horizontal="right" vertical="top" wrapText="1"/>
    </xf>
    <xf numFmtId="0" fontId="21" fillId="5" borderId="11" xfId="271" applyFill="1" applyBorder="1" applyAlignment="1" applyProtection="1">
      <alignment horizontal="right" vertical="top" wrapText="1"/>
      <protection locked="0"/>
    </xf>
    <xf numFmtId="168" fontId="19" fillId="0" borderId="11" xfId="271" applyNumberFormat="1" applyFont="1" applyBorder="1" applyAlignment="1">
      <alignment vertical="top" wrapText="1"/>
    </xf>
    <xf numFmtId="0" fontId="29" fillId="0" borderId="11" xfId="271" applyFont="1" applyBorder="1" applyAlignment="1">
      <alignment horizontal="right" vertical="top" wrapText="1"/>
    </xf>
    <xf numFmtId="0" fontId="26" fillId="0" borderId="0" xfId="271" applyFont="1" applyAlignment="1" applyProtection="1">
      <alignment horizontal="right" vertical="top" wrapText="1"/>
      <protection locked="0"/>
    </xf>
    <xf numFmtId="0" fontId="26" fillId="0" borderId="0" xfId="271" applyFont="1" applyAlignment="1" applyProtection="1">
      <alignment vertical="top" wrapText="1"/>
      <protection locked="0"/>
    </xf>
    <xf numFmtId="0" fontId="21" fillId="0" borderId="5" xfId="271" applyBorder="1" applyAlignment="1" applyProtection="1">
      <alignment vertical="top" wrapText="1"/>
      <protection locked="0"/>
    </xf>
    <xf numFmtId="0" fontId="19" fillId="0" borderId="3" xfId="271" applyFont="1" applyBorder="1" applyAlignment="1">
      <alignment horizontal="left" vertical="top"/>
    </xf>
    <xf numFmtId="0" fontId="21" fillId="0" borderId="4" xfId="271" applyBorder="1" applyAlignment="1" applyProtection="1">
      <alignment horizontal="left" vertical="top"/>
      <protection locked="0"/>
    </xf>
    <xf numFmtId="0" fontId="21" fillId="0" borderId="4" xfId="271" applyBorder="1" applyAlignment="1" applyProtection="1">
      <alignment vertical="top" wrapText="1"/>
      <protection locked="0"/>
    </xf>
    <xf numFmtId="0" fontId="26" fillId="0" borderId="0" xfId="271" applyFont="1" applyAlignment="1">
      <alignment vertical="top" wrapText="1"/>
    </xf>
    <xf numFmtId="0" fontId="21" fillId="0" borderId="4" xfId="271" applyBorder="1" applyAlignment="1">
      <alignment vertical="top" wrapText="1"/>
    </xf>
    <xf numFmtId="0" fontId="44" fillId="2" borderId="11" xfId="271" applyFont="1" applyFill="1" applyBorder="1" applyAlignment="1" applyProtection="1">
      <alignment horizontal="left" vertical="top" wrapText="1"/>
      <protection locked="0"/>
    </xf>
    <xf numFmtId="0" fontId="49" fillId="0" borderId="11" xfId="0" applyFont="1" applyBorder="1" applyAlignment="1">
      <alignment horizontal="right" vertical="top" wrapText="1"/>
    </xf>
    <xf numFmtId="0" fontId="58" fillId="0" borderId="0" xfId="542"/>
    <xf numFmtId="0" fontId="21" fillId="8" borderId="0" xfId="542" quotePrefix="1" applyFont="1" applyFill="1" applyAlignment="1">
      <alignment horizontal="left"/>
    </xf>
    <xf numFmtId="0" fontId="21" fillId="8" borderId="0" xfId="542" applyFont="1" applyFill="1"/>
    <xf numFmtId="0" fontId="29" fillId="8" borderId="0" xfId="542" applyFont="1" applyFill="1"/>
    <xf numFmtId="0" fontId="49" fillId="0" borderId="11" xfId="271" applyFont="1" applyBorder="1" applyAlignment="1">
      <alignment horizontal="right" vertical="top"/>
    </xf>
    <xf numFmtId="0" fontId="49" fillId="0" borderId="11" xfId="271" applyFont="1" applyBorder="1" applyAlignment="1">
      <alignment horizontal="right" vertical="top" wrapText="1"/>
    </xf>
    <xf numFmtId="0" fontId="21" fillId="0" borderId="0" xfId="271" applyAlignment="1">
      <alignment horizontal="left" vertical="top"/>
    </xf>
    <xf numFmtId="0" fontId="19" fillId="0" borderId="0" xfId="271" applyFont="1" applyAlignment="1">
      <alignment horizontal="right"/>
    </xf>
    <xf numFmtId="0" fontId="20" fillId="0" borderId="0" xfId="271" applyFont="1" applyAlignment="1">
      <alignment horizontal="center"/>
    </xf>
    <xf numFmtId="5" fontId="21" fillId="0" borderId="0" xfId="542" applyNumberFormat="1" applyFont="1"/>
    <xf numFmtId="1" fontId="21" fillId="0" borderId="15" xfId="271" applyNumberFormat="1" applyBorder="1"/>
    <xf numFmtId="1" fontId="21" fillId="0" borderId="14" xfId="271" applyNumberFormat="1" applyBorder="1"/>
    <xf numFmtId="0" fontId="20" fillId="0" borderId="6" xfId="271" applyFont="1" applyBorder="1" applyAlignment="1">
      <alignment horizontal="left"/>
    </xf>
    <xf numFmtId="0" fontId="20" fillId="0" borderId="6" xfId="271" applyFont="1" applyBorder="1" applyAlignment="1">
      <alignment horizontal="right"/>
    </xf>
    <xf numFmtId="165" fontId="21" fillId="0" borderId="0" xfId="271" applyNumberFormat="1"/>
    <xf numFmtId="170" fontId="21" fillId="0" borderId="14" xfId="271" applyNumberFormat="1" applyBorder="1"/>
    <xf numFmtId="1" fontId="19" fillId="0" borderId="11" xfId="271" applyNumberFormat="1" applyFont="1" applyBorder="1"/>
    <xf numFmtId="165" fontId="19" fillId="0" borderId="11" xfId="271" applyNumberFormat="1" applyFont="1" applyBorder="1"/>
    <xf numFmtId="3" fontId="52" fillId="0" borderId="11" xfId="0" applyNumberFormat="1" applyFont="1" applyBorder="1" applyAlignment="1">
      <alignment vertical="top" wrapText="1"/>
    </xf>
    <xf numFmtId="166" fontId="21" fillId="0" borderId="0" xfId="0" applyNumberFormat="1" applyFont="1"/>
    <xf numFmtId="0" fontId="0" fillId="0" borderId="0" xfId="0" applyProtection="1">
      <protection locked="0"/>
    </xf>
    <xf numFmtId="0" fontId="19" fillId="0" borderId="0" xfId="271" applyFont="1" applyAlignment="1">
      <alignment horizontal="left"/>
    </xf>
    <xf numFmtId="0" fontId="17" fillId="0" borderId="0" xfId="0" applyFont="1" applyProtection="1">
      <protection locked="0"/>
    </xf>
    <xf numFmtId="0" fontId="17" fillId="0" borderId="0" xfId="271" applyFont="1" applyProtection="1">
      <protection locked="0"/>
    </xf>
    <xf numFmtId="168" fontId="17" fillId="0" borderId="0" xfId="271" applyNumberFormat="1" applyFont="1" applyProtection="1">
      <protection locked="0"/>
    </xf>
    <xf numFmtId="49" fontId="21" fillId="0" borderId="0" xfId="271" applyNumberFormat="1"/>
    <xf numFmtId="0" fontId="25" fillId="0" borderId="1" xfId="0" applyFont="1" applyBorder="1"/>
    <xf numFmtId="0" fontId="12" fillId="0" borderId="2" xfId="0" applyFont="1" applyBorder="1" applyAlignment="1">
      <alignment horizontal="left"/>
    </xf>
    <xf numFmtId="0" fontId="12" fillId="0" borderId="2" xfId="0" applyFont="1" applyBorder="1"/>
    <xf numFmtId="0" fontId="25" fillId="0" borderId="8" xfId="0" applyFont="1" applyBorder="1"/>
    <xf numFmtId="0" fontId="25" fillId="0" borderId="9" xfId="0" applyFont="1" applyBorder="1"/>
    <xf numFmtId="0" fontId="19" fillId="0" borderId="0" xfId="0" applyFont="1" applyAlignment="1">
      <alignment horizontal="left" vertical="top"/>
    </xf>
    <xf numFmtId="0" fontId="70" fillId="0" borderId="0" xfId="0" applyFont="1" applyAlignment="1">
      <alignment vertical="center" wrapText="1"/>
    </xf>
    <xf numFmtId="0" fontId="70" fillId="0" borderId="0" xfId="0" applyFont="1" applyAlignment="1">
      <alignment vertical="center"/>
    </xf>
    <xf numFmtId="0" fontId="70" fillId="0" borderId="0" xfId="0" applyFont="1" applyAlignment="1">
      <alignment horizontal="left" vertical="center" indent="1"/>
    </xf>
    <xf numFmtId="172" fontId="21" fillId="5" borderId="0" xfId="0" applyNumberFormat="1" applyFont="1" applyFill="1" applyAlignment="1">
      <alignment horizontal="center"/>
    </xf>
    <xf numFmtId="1" fontId="21" fillId="0" borderId="0" xfId="0" applyNumberFormat="1" applyFont="1" applyAlignment="1">
      <alignment horizontal="center"/>
    </xf>
    <xf numFmtId="0" fontId="21" fillId="0" borderId="0" xfId="271" applyAlignment="1" applyProtection="1">
      <alignment horizontal="left"/>
      <protection locked="0"/>
    </xf>
    <xf numFmtId="0" fontId="21" fillId="0" borderId="0" xfId="0" applyFont="1" applyAlignment="1" applyProtection="1">
      <alignment horizontal="left"/>
      <protection locked="0"/>
    </xf>
    <xf numFmtId="0" fontId="71" fillId="0" borderId="0" xfId="0" applyFont="1" applyAlignment="1">
      <alignment horizontal="left" vertical="center"/>
    </xf>
    <xf numFmtId="0" fontId="31" fillId="0" borderId="2" xfId="543" applyFont="1" applyBorder="1" applyAlignment="1">
      <alignment horizontal="center" vertical="top" wrapText="1"/>
    </xf>
    <xf numFmtId="49" fontId="42" fillId="0" borderId="0" xfId="0" applyNumberFormat="1" applyFont="1" applyAlignment="1">
      <alignment horizontal="center"/>
    </xf>
    <xf numFmtId="0" fontId="47" fillId="0" borderId="0" xfId="271" applyFont="1" applyAlignment="1">
      <alignment horizontal="center"/>
    </xf>
    <xf numFmtId="49" fontId="21" fillId="0" borderId="0" xfId="271" applyNumberFormat="1" applyAlignment="1">
      <alignment horizontal="center"/>
    </xf>
    <xf numFmtId="0" fontId="49" fillId="0" borderId="0" xfId="0" applyFont="1"/>
    <xf numFmtId="5" fontId="75" fillId="0" borderId="11" xfId="541" applyNumberFormat="1" applyFont="1" applyBorder="1" applyAlignment="1" applyProtection="1">
      <alignment horizontal="center"/>
    </xf>
    <xf numFmtId="5" fontId="75" fillId="42" borderId="11" xfId="541" applyNumberFormat="1" applyFont="1" applyFill="1" applyBorder="1" applyAlignment="1" applyProtection="1">
      <alignment horizontal="center"/>
    </xf>
    <xf numFmtId="5" fontId="75" fillId="2" borderId="11" xfId="541" applyNumberFormat="1" applyFont="1" applyFill="1" applyBorder="1" applyAlignment="1" applyProtection="1">
      <alignment horizontal="center"/>
    </xf>
    <xf numFmtId="0" fontId="49" fillId="0" borderId="0" xfId="0" applyFont="1" applyAlignment="1">
      <alignment vertical="top" wrapText="1"/>
    </xf>
    <xf numFmtId="0" fontId="49" fillId="0" borderId="0" xfId="0" applyFont="1" applyAlignment="1">
      <alignment vertical="top"/>
    </xf>
    <xf numFmtId="0" fontId="49" fillId="2" borderId="0" xfId="0" applyFont="1" applyFill="1" applyAlignment="1">
      <alignment vertical="top" wrapText="1"/>
    </xf>
    <xf numFmtId="0" fontId="77" fillId="0" borderId="13" xfId="0" applyFont="1" applyBorder="1" applyAlignment="1">
      <alignment vertical="top" wrapText="1"/>
    </xf>
    <xf numFmtId="0" fontId="26" fillId="0" borderId="0" xfId="0" applyFont="1" applyAlignment="1">
      <alignment vertical="top" wrapText="1"/>
    </xf>
    <xf numFmtId="0" fontId="77" fillId="2" borderId="13" xfId="0" applyFont="1" applyFill="1" applyBorder="1" applyAlignment="1">
      <alignment vertical="top" wrapText="1"/>
    </xf>
    <xf numFmtId="0" fontId="77" fillId="0" borderId="0" xfId="0" applyFont="1" applyAlignment="1">
      <alignment vertical="top" wrapText="1"/>
    </xf>
    <xf numFmtId="0" fontId="77" fillId="2" borderId="0" xfId="0" applyFont="1" applyFill="1" applyAlignment="1">
      <alignment vertical="top" wrapText="1"/>
    </xf>
    <xf numFmtId="0" fontId="49" fillId="0" borderId="0" xfId="0" applyFont="1" applyAlignment="1">
      <alignment horizontal="right" vertical="top" wrapText="1"/>
    </xf>
    <xf numFmtId="168" fontId="49" fillId="5" borderId="6" xfId="0" applyNumberFormat="1" applyFont="1" applyFill="1" applyBorder="1" applyAlignment="1" applyProtection="1">
      <alignment horizontal="right" vertical="top" wrapText="1"/>
      <protection locked="0"/>
    </xf>
    <xf numFmtId="168" fontId="49" fillId="0" borderId="6" xfId="0" applyNumberFormat="1" applyFont="1" applyBorder="1" applyAlignment="1">
      <alignment horizontal="right" vertical="top" wrapText="1"/>
    </xf>
    <xf numFmtId="0" fontId="19" fillId="0" borderId="0" xfId="0" applyFont="1" applyAlignment="1">
      <alignment horizontal="left" vertical="top" wrapText="1"/>
    </xf>
    <xf numFmtId="0" fontId="21" fillId="0" borderId="0" xfId="0" applyFont="1" applyAlignment="1">
      <alignment horizontal="right" vertical="top" wrapText="1"/>
    </xf>
    <xf numFmtId="10" fontId="21" fillId="5" borderId="6" xfId="0" applyNumberFormat="1" applyFont="1" applyFill="1" applyBorder="1" applyAlignment="1" applyProtection="1">
      <alignment horizontal="center" vertical="top" wrapText="1"/>
      <protection locked="0"/>
    </xf>
    <xf numFmtId="0" fontId="60" fillId="0" borderId="0" xfId="0" applyFont="1" applyAlignment="1">
      <alignment horizontal="left" vertical="center"/>
    </xf>
    <xf numFmtId="0" fontId="19" fillId="0" borderId="2" xfId="543" applyFont="1" applyBorder="1" applyAlignment="1">
      <alignment horizontal="center"/>
    </xf>
    <xf numFmtId="0" fontId="0" fillId="0" borderId="0" xfId="543" applyFont="1"/>
    <xf numFmtId="0" fontId="13" fillId="0" borderId="0" xfId="244" quotePrefix="1" applyAlignment="1" applyProtection="1">
      <alignment horizontal="left"/>
    </xf>
    <xf numFmtId="168" fontId="49" fillId="0" borderId="11" xfId="0" applyNumberFormat="1" applyFont="1" applyBorder="1" applyAlignment="1">
      <alignment vertical="top" wrapText="1"/>
    </xf>
    <xf numFmtId="168" fontId="49" fillId="4" borderId="11" xfId="0" applyNumberFormat="1" applyFont="1" applyFill="1" applyBorder="1" applyAlignment="1">
      <alignment vertical="top" wrapText="1"/>
    </xf>
    <xf numFmtId="0" fontId="101" fillId="0" borderId="0" xfId="0" applyFont="1" applyAlignment="1">
      <alignment horizontal="left" vertical="top"/>
    </xf>
    <xf numFmtId="0" fontId="102" fillId="0" borderId="0" xfId="0" applyFont="1" applyAlignment="1">
      <alignment horizontal="left" vertical="top"/>
    </xf>
    <xf numFmtId="0" fontId="70" fillId="0" borderId="0" xfId="0" applyFont="1"/>
    <xf numFmtId="0" fontId="19" fillId="8" borderId="11" xfId="542" applyFont="1" applyFill="1" applyBorder="1" applyAlignment="1">
      <alignment horizontal="left"/>
    </xf>
    <xf numFmtId="0" fontId="19" fillId="8" borderId="11" xfId="542" applyFont="1" applyFill="1" applyBorder="1" applyAlignment="1">
      <alignment horizontal="center"/>
    </xf>
    <xf numFmtId="0" fontId="59" fillId="8" borderId="11" xfId="542" applyFont="1" applyFill="1" applyBorder="1" applyAlignment="1">
      <alignment horizontal="left"/>
    </xf>
    <xf numFmtId="0" fontId="59" fillId="0" borderId="11" xfId="542" applyFont="1" applyBorder="1" applyAlignment="1">
      <alignment horizontal="left"/>
    </xf>
    <xf numFmtId="0" fontId="19" fillId="0" borderId="0" xfId="271" applyFont="1" applyAlignment="1" applyProtection="1">
      <alignment horizontal="center" wrapText="1"/>
      <protection locked="0"/>
    </xf>
    <xf numFmtId="0" fontId="21" fillId="0" borderId="0" xfId="271" applyAlignment="1" applyProtection="1">
      <alignment vertical="top" wrapText="1"/>
      <protection locked="0"/>
    </xf>
    <xf numFmtId="0" fontId="19" fillId="0" borderId="0" xfId="271" applyFont="1" applyAlignment="1" applyProtection="1">
      <alignment vertical="top" wrapText="1"/>
      <protection locked="0"/>
    </xf>
    <xf numFmtId="0" fontId="19" fillId="0" borderId="8" xfId="271" applyFont="1" applyBorder="1" applyAlignment="1" applyProtection="1">
      <alignment horizontal="center" wrapText="1"/>
      <protection locked="0"/>
    </xf>
    <xf numFmtId="0" fontId="21" fillId="0" borderId="8" xfId="271" applyBorder="1" applyAlignment="1" applyProtection="1">
      <alignment vertical="top" wrapText="1"/>
      <protection locked="0"/>
    </xf>
    <xf numFmtId="0" fontId="19" fillId="0" borderId="8" xfId="271" applyFont="1" applyBorder="1" applyAlignment="1" applyProtection="1">
      <alignment vertical="top" wrapText="1"/>
      <protection locked="0"/>
    </xf>
    <xf numFmtId="0" fontId="12" fillId="0" borderId="0" xfId="0" applyFont="1" applyAlignment="1">
      <alignment horizontal="center"/>
    </xf>
    <xf numFmtId="0" fontId="26" fillId="0" borderId="8" xfId="569" applyFont="1" applyBorder="1" applyAlignment="1">
      <alignment vertical="top" wrapText="1"/>
    </xf>
    <xf numFmtId="0" fontId="26" fillId="0" borderId="0" xfId="569" applyFont="1" applyAlignment="1">
      <alignment vertical="top" wrapText="1"/>
    </xf>
    <xf numFmtId="0" fontId="51" fillId="2" borderId="11" xfId="569" applyFont="1" applyFill="1" applyBorder="1" applyAlignment="1">
      <alignment horizontal="left" vertical="top" wrapText="1"/>
    </xf>
    <xf numFmtId="6" fontId="49" fillId="4" borderId="11" xfId="569" applyNumberFormat="1" applyFont="1" applyFill="1" applyBorder="1" applyAlignment="1">
      <alignment vertical="top" wrapText="1"/>
    </xf>
    <xf numFmtId="0" fontId="49" fillId="0" borderId="8" xfId="569" applyFont="1" applyBorder="1" applyAlignment="1">
      <alignment vertical="top" wrapText="1"/>
    </xf>
    <xf numFmtId="0" fontId="49" fillId="0" borderId="0" xfId="569" applyFont="1" applyAlignment="1">
      <alignment vertical="top" wrapText="1"/>
    </xf>
    <xf numFmtId="6" fontId="49" fillId="0" borderId="11" xfId="569" applyNumberFormat="1" applyFont="1" applyBorder="1" applyAlignment="1">
      <alignment vertical="top" wrapText="1"/>
    </xf>
    <xf numFmtId="6" fontId="49" fillId="5" borderId="11" xfId="569" applyNumberFormat="1" applyFont="1" applyFill="1" applyBorder="1" applyAlignment="1" applyProtection="1">
      <alignment vertical="top" wrapText="1"/>
      <protection locked="0"/>
    </xf>
    <xf numFmtId="6" fontId="49" fillId="6" borderId="11" xfId="569" applyNumberFormat="1" applyFont="1" applyFill="1" applyBorder="1" applyAlignment="1">
      <alignment horizontal="center" vertical="top" wrapText="1"/>
    </xf>
    <xf numFmtId="0" fontId="49" fillId="0" borderId="11" xfId="569" applyFont="1" applyBorder="1" applyAlignment="1">
      <alignment horizontal="right" vertical="top" wrapText="1"/>
    </xf>
    <xf numFmtId="0" fontId="50" fillId="0" borderId="11" xfId="569" applyFont="1" applyBorder="1" applyAlignment="1">
      <alignment horizontal="right" vertical="top" wrapText="1"/>
    </xf>
    <xf numFmtId="0" fontId="49" fillId="0" borderId="11" xfId="569" applyFont="1" applyBorder="1" applyAlignment="1">
      <alignment horizontal="right" vertical="top"/>
    </xf>
    <xf numFmtId="6" fontId="50" fillId="0" borderId="11" xfId="569" applyNumberFormat="1" applyFont="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0" fontId="15" fillId="0" borderId="11" xfId="569" applyFont="1" applyBorder="1" applyAlignment="1">
      <alignment horizontal="right" vertical="top" wrapText="1"/>
    </xf>
    <xf numFmtId="0" fontId="50" fillId="0" borderId="0" xfId="569" applyFont="1" applyAlignment="1">
      <alignment horizontal="left" vertical="top"/>
    </xf>
    <xf numFmtId="6" fontId="49" fillId="0" borderId="0" xfId="569" applyNumberFormat="1" applyFont="1" applyAlignment="1">
      <alignment horizontal="left" vertical="top"/>
    </xf>
    <xf numFmtId="0" fontId="102" fillId="0" borderId="0" xfId="569" applyFont="1" applyAlignment="1">
      <alignment horizontal="left" vertical="top"/>
    </xf>
    <xf numFmtId="6" fontId="49" fillId="0" borderId="0" xfId="569" applyNumberFormat="1" applyFont="1" applyAlignment="1">
      <alignment vertical="top" wrapText="1"/>
    </xf>
    <xf numFmtId="0" fontId="49" fillId="0" borderId="0" xfId="569" applyFont="1" applyAlignment="1">
      <alignment horizontal="left" vertical="top"/>
    </xf>
    <xf numFmtId="0" fontId="49" fillId="0" borderId="12" xfId="569" applyFont="1" applyBorder="1" applyAlignment="1">
      <alignment vertical="top" wrapText="1"/>
    </xf>
    <xf numFmtId="0" fontId="19" fillId="0" borderId="0" xfId="569" applyFont="1" applyAlignment="1">
      <alignment horizontal="left" vertical="top"/>
    </xf>
    <xf numFmtId="0" fontId="105" fillId="0" borderId="0" xfId="569" applyFont="1" applyAlignment="1">
      <alignment horizontal="left" vertical="top"/>
    </xf>
    <xf numFmtId="0" fontId="60" fillId="0" borderId="0" xfId="569" applyFont="1" applyAlignment="1">
      <alignment horizontal="left" vertical="center"/>
    </xf>
    <xf numFmtId="0" fontId="27" fillId="0" borderId="0" xfId="569" applyFont="1" applyAlignment="1">
      <alignment vertical="top" wrapText="1"/>
    </xf>
    <xf numFmtId="0" fontId="27" fillId="0" borderId="12" xfId="569" applyFont="1" applyBorder="1" applyAlignment="1">
      <alignment vertical="top" wrapText="1"/>
    </xf>
    <xf numFmtId="0" fontId="27" fillId="0" borderId="8" xfId="569" applyFont="1" applyBorder="1" applyAlignment="1">
      <alignment vertical="top" wrapText="1"/>
    </xf>
    <xf numFmtId="0" fontId="49" fillId="0" borderId="0" xfId="569" applyFont="1" applyAlignment="1">
      <alignment vertical="top"/>
    </xf>
    <xf numFmtId="168" fontId="49" fillId="0" borderId="0" xfId="569" applyNumberFormat="1" applyFont="1" applyAlignment="1" applyProtection="1">
      <alignment horizontal="right" vertical="top" wrapText="1"/>
      <protection locked="0"/>
    </xf>
    <xf numFmtId="0" fontId="12" fillId="0" borderId="0" xfId="569" applyAlignment="1">
      <alignment vertical="top" wrapText="1"/>
    </xf>
    <xf numFmtId="0" fontId="12" fillId="0" borderId="0" xfId="569" applyAlignment="1">
      <alignment vertical="top"/>
    </xf>
    <xf numFmtId="0" fontId="49" fillId="0" borderId="0" xfId="569" applyFont="1" applyAlignment="1">
      <alignment horizontal="right" vertical="top" wrapText="1"/>
    </xf>
    <xf numFmtId="0" fontId="19" fillId="0" borderId="0" xfId="569" applyFont="1" applyAlignment="1">
      <alignment horizontal="left" vertical="top" wrapText="1"/>
    </xf>
    <xf numFmtId="168" fontId="49" fillId="0" borderId="0" xfId="569" applyNumberFormat="1" applyFont="1" applyAlignment="1">
      <alignment horizontal="right" vertical="top" wrapText="1"/>
    </xf>
    <xf numFmtId="0" fontId="12" fillId="0" borderId="0" xfId="569" applyAlignment="1" applyProtection="1">
      <alignment horizontal="left" vertical="top" wrapText="1"/>
      <protection locked="0"/>
    </xf>
    <xf numFmtId="0" fontId="12" fillId="0" borderId="0" xfId="569" applyAlignment="1">
      <alignment horizontal="right" vertical="top" wrapText="1"/>
    </xf>
    <xf numFmtId="0" fontId="12" fillId="0" borderId="0" xfId="569" applyAlignment="1">
      <alignment horizontal="left" vertical="top"/>
    </xf>
    <xf numFmtId="0" fontId="77" fillId="0" borderId="0" xfId="569" applyFont="1" applyAlignment="1">
      <alignment vertical="top" wrapText="1"/>
    </xf>
    <xf numFmtId="0" fontId="77" fillId="0" borderId="12" xfId="569" applyFont="1" applyBorder="1" applyAlignment="1">
      <alignment vertical="top" wrapText="1"/>
    </xf>
    <xf numFmtId="0" fontId="77" fillId="0" borderId="8" xfId="569" applyFont="1" applyBorder="1" applyAlignment="1">
      <alignment vertical="top" wrapText="1"/>
    </xf>
    <xf numFmtId="0" fontId="26" fillId="0" borderId="0" xfId="569" applyFont="1" applyAlignment="1">
      <alignment horizontal="right" vertical="top" wrapText="1"/>
    </xf>
    <xf numFmtId="0" fontId="77" fillId="0" borderId="0" xfId="569" applyFont="1" applyAlignment="1">
      <alignment horizontal="right" vertical="top" wrapText="1"/>
    </xf>
    <xf numFmtId="0" fontId="50" fillId="0" borderId="3" xfId="569" applyFont="1" applyBorder="1" applyAlignment="1">
      <alignment horizontal="left"/>
    </xf>
    <xf numFmtId="0" fontId="50" fillId="0" borderId="13" xfId="569" applyFont="1" applyBorder="1" applyAlignment="1">
      <alignment horizontal="center" wrapText="1"/>
    </xf>
    <xf numFmtId="0" fontId="50" fillId="0" borderId="8" xfId="569" applyFont="1" applyBorder="1" applyAlignment="1">
      <alignment horizontal="center" wrapText="1"/>
    </xf>
    <xf numFmtId="0" fontId="50" fillId="0" borderId="0" xfId="569" applyFont="1" applyAlignment="1">
      <alignment horizontal="center" wrapText="1"/>
    </xf>
    <xf numFmtId="0" fontId="12" fillId="0" borderId="0" xfId="569"/>
    <xf numFmtId="0" fontId="18" fillId="0" borderId="0" xfId="569" applyFont="1" applyAlignment="1">
      <alignment horizontal="center" vertical="center"/>
    </xf>
    <xf numFmtId="0" fontId="19" fillId="0" borderId="0" xfId="569" applyFont="1"/>
    <xf numFmtId="0" fontId="12" fillId="0" borderId="1" xfId="569" applyBorder="1"/>
    <xf numFmtId="0" fontId="12" fillId="0" borderId="2" xfId="569" applyBorder="1"/>
    <xf numFmtId="0" fontId="12" fillId="0" borderId="8" xfId="569" applyBorder="1"/>
    <xf numFmtId="0" fontId="12" fillId="0" borderId="9" xfId="569" applyBorder="1"/>
    <xf numFmtId="0" fontId="12" fillId="0" borderId="6" xfId="569" applyBorder="1"/>
    <xf numFmtId="0" fontId="20" fillId="0" borderId="0" xfId="569" applyFont="1"/>
    <xf numFmtId="0" fontId="12" fillId="0" borderId="7" xfId="569" applyBorder="1"/>
    <xf numFmtId="0" fontId="12" fillId="0" borderId="12" xfId="569" applyBorder="1"/>
    <xf numFmtId="0" fontId="12" fillId="0" borderId="10" xfId="569" applyBorder="1"/>
    <xf numFmtId="0" fontId="20" fillId="0" borderId="0" xfId="569" applyFont="1" applyAlignment="1">
      <alignment vertical="top" wrapText="1"/>
    </xf>
    <xf numFmtId="0" fontId="12" fillId="0" borderId="0" xfId="569" applyAlignment="1">
      <alignment horizontal="right"/>
    </xf>
    <xf numFmtId="0" fontId="12" fillId="0" borderId="0" xfId="569" applyAlignment="1">
      <alignment wrapText="1"/>
    </xf>
    <xf numFmtId="0" fontId="12" fillId="0" borderId="0" xfId="569" applyAlignment="1">
      <alignment vertical="center"/>
    </xf>
    <xf numFmtId="0" fontId="36" fillId="0" borderId="0" xfId="569" applyFont="1" applyAlignment="1">
      <alignment vertical="center" wrapText="1"/>
    </xf>
    <xf numFmtId="0" fontId="30" fillId="0" borderId="0" xfId="569" applyFont="1" applyAlignment="1">
      <alignment vertical="top" wrapText="1"/>
    </xf>
    <xf numFmtId="0" fontId="19" fillId="0" borderId="0" xfId="569" applyFont="1" applyAlignment="1">
      <alignment vertical="top" wrapText="1"/>
    </xf>
    <xf numFmtId="0" fontId="20" fillId="0" borderId="0" xfId="569" applyFont="1" applyAlignment="1">
      <alignment horizontal="left" vertical="top" wrapText="1"/>
    </xf>
    <xf numFmtId="164" fontId="12" fillId="0" borderId="0" xfId="569" applyNumberFormat="1" applyAlignment="1">
      <alignment horizontal="right"/>
    </xf>
    <xf numFmtId="168" fontId="12" fillId="0" borderId="0" xfId="569" applyNumberFormat="1" applyAlignment="1">
      <alignment horizontal="right"/>
    </xf>
    <xf numFmtId="0" fontId="103" fillId="0" borderId="0" xfId="569" applyFont="1" applyAlignment="1">
      <alignment horizontal="left" vertical="top" wrapText="1"/>
    </xf>
    <xf numFmtId="168" fontId="12" fillId="0" borderId="0" xfId="569" applyNumberFormat="1" applyAlignment="1">
      <alignment wrapText="1"/>
    </xf>
    <xf numFmtId="0" fontId="17" fillId="0" borderId="11" xfId="253" applyFont="1" applyBorder="1" applyAlignment="1">
      <alignment horizontal="center" wrapText="1"/>
    </xf>
    <xf numFmtId="0" fontId="17" fillId="0" borderId="0" xfId="253" applyFont="1" applyAlignment="1">
      <alignment horizontal="center" wrapText="1"/>
    </xf>
    <xf numFmtId="3" fontId="17" fillId="0" borderId="11" xfId="271" applyNumberFormat="1" applyFont="1" applyBorder="1"/>
    <xf numFmtId="3" fontId="17" fillId="0" borderId="0" xfId="271" applyNumberFormat="1" applyFont="1"/>
    <xf numFmtId="0" fontId="61" fillId="0" borderId="0" xfId="271" applyFont="1" applyAlignment="1">
      <alignment horizontal="left"/>
    </xf>
    <xf numFmtId="0" fontId="61" fillId="0" borderId="0" xfId="271" applyFont="1" applyAlignment="1">
      <alignment horizontal="right"/>
    </xf>
    <xf numFmtId="168" fontId="17" fillId="0" borderId="11" xfId="271" applyNumberFormat="1" applyFont="1" applyBorder="1"/>
    <xf numFmtId="168" fontId="17" fillId="0" borderId="0" xfId="271" applyNumberFormat="1" applyFont="1"/>
    <xf numFmtId="0" fontId="17" fillId="0" borderId="0" xfId="271" applyFont="1"/>
    <xf numFmtId="0" fontId="49" fillId="0" borderId="0" xfId="569" applyFont="1" applyAlignment="1">
      <alignment horizontal="left"/>
    </xf>
    <xf numFmtId="0" fontId="12" fillId="0" borderId="3" xfId="569" applyBorder="1"/>
    <xf numFmtId="0" fontId="0" fillId="5" borderId="6" xfId="0" applyFill="1" applyBorder="1" applyProtection="1">
      <protection locked="0"/>
    </xf>
    <xf numFmtId="0" fontId="104" fillId="0" borderId="0" xfId="1834"/>
    <xf numFmtId="0" fontId="0" fillId="0" borderId="0" xfId="0" applyAlignment="1">
      <alignment horizontal="left" vertical="top"/>
    </xf>
    <xf numFmtId="0" fontId="103" fillId="0" borderId="0" xfId="0" applyFont="1" applyAlignment="1">
      <alignment vertical="top" wrapText="1"/>
    </xf>
    <xf numFmtId="0" fontId="49" fillId="0" borderId="0" xfId="271" applyFont="1" applyAlignment="1">
      <alignment vertical="top" wrapText="1"/>
    </xf>
    <xf numFmtId="4" fontId="12" fillId="0" borderId="0" xfId="1192" applyNumberFormat="1" applyAlignment="1">
      <alignment horizontal="left" vertical="top" wrapText="1"/>
    </xf>
    <xf numFmtId="0" fontId="12" fillId="0" borderId="0" xfId="0" applyFont="1" applyAlignment="1">
      <alignment horizontal="left" vertical="top" wrapText="1"/>
    </xf>
    <xf numFmtId="0" fontId="12" fillId="0" borderId="0" xfId="271" applyFont="1" applyAlignment="1">
      <alignment horizontal="left" vertical="top" wrapText="1"/>
    </xf>
    <xf numFmtId="0" fontId="19" fillId="0" borderId="12" xfId="543" applyFont="1" applyBorder="1" applyAlignment="1">
      <alignment horizontal="right"/>
    </xf>
    <xf numFmtId="0" fontId="31" fillId="0" borderId="0" xfId="543" applyFont="1" applyAlignment="1">
      <alignment horizontal="center"/>
    </xf>
    <xf numFmtId="4" fontId="12" fillId="0" borderId="0" xfId="569" applyNumberFormat="1" applyAlignment="1">
      <alignment horizontal="left"/>
    </xf>
    <xf numFmtId="0" fontId="12" fillId="0" borderId="0" xfId="569" applyAlignment="1">
      <alignment horizontal="left" vertical="top" wrapText="1"/>
    </xf>
    <xf numFmtId="0" fontId="12" fillId="0" borderId="0" xfId="569" applyAlignment="1">
      <alignment horizontal="left"/>
    </xf>
    <xf numFmtId="0" fontId="12" fillId="0" borderId="0" xfId="1192" applyAlignment="1">
      <alignment horizontal="left"/>
    </xf>
    <xf numFmtId="0" fontId="19" fillId="0" borderId="0" xfId="569" applyFont="1" applyAlignment="1">
      <alignment horizontal="left"/>
    </xf>
    <xf numFmtId="0" fontId="41" fillId="0" borderId="0" xfId="1192" applyFont="1"/>
    <xf numFmtId="0" fontId="49" fillId="0" borderId="11" xfId="0" applyFont="1" applyBorder="1" applyAlignment="1">
      <alignment horizontal="right" vertical="center"/>
    </xf>
    <xf numFmtId="0" fontId="12" fillId="0" borderId="0" xfId="1192" applyAlignment="1">
      <alignment horizontal="left" vertical="top" wrapText="1"/>
    </xf>
    <xf numFmtId="0" fontId="41" fillId="0" borderId="0" xfId="0" applyFont="1" applyAlignment="1">
      <alignment vertical="top" wrapText="1"/>
    </xf>
    <xf numFmtId="0" fontId="41" fillId="0" borderId="0" xfId="0" applyFont="1" applyAlignment="1">
      <alignment horizontal="left" vertical="top" wrapText="1"/>
    </xf>
    <xf numFmtId="6" fontId="50" fillId="0" borderId="0" xfId="569" applyNumberFormat="1" applyFont="1" applyAlignment="1">
      <alignment horizontal="right" vertical="top"/>
    </xf>
    <xf numFmtId="0" fontId="12" fillId="0" borderId="0" xfId="0" applyFont="1" applyAlignment="1">
      <alignment vertical="top" wrapText="1"/>
    </xf>
    <xf numFmtId="168" fontId="21" fillId="0" borderId="0" xfId="0" applyNumberFormat="1" applyFont="1" applyAlignment="1">
      <alignment horizontal="right"/>
    </xf>
    <xf numFmtId="168" fontId="21" fillId="0" borderId="28" xfId="540" applyNumberFormat="1" applyBorder="1" applyAlignment="1" applyProtection="1">
      <alignment horizontal="center"/>
    </xf>
    <xf numFmtId="168" fontId="21" fillId="0" borderId="29" xfId="540" applyNumberFormat="1" applyBorder="1" applyAlignment="1" applyProtection="1">
      <alignment horizontal="center"/>
    </xf>
    <xf numFmtId="168" fontId="21" fillId="0" borderId="30" xfId="540" applyNumberFormat="1" applyBorder="1" applyAlignment="1" applyProtection="1">
      <alignment horizontal="center"/>
    </xf>
    <xf numFmtId="168" fontId="21" fillId="0" borderId="31" xfId="540" applyNumberFormat="1" applyBorder="1" applyAlignment="1" applyProtection="1">
      <alignment horizontal="center"/>
    </xf>
    <xf numFmtId="168" fontId="21" fillId="0" borderId="32" xfId="540" applyNumberFormat="1" applyBorder="1" applyAlignment="1" applyProtection="1">
      <alignment horizontal="center"/>
    </xf>
    <xf numFmtId="168" fontId="21" fillId="0" borderId="33" xfId="540" applyNumberFormat="1" applyBorder="1" applyAlignment="1" applyProtection="1">
      <alignment horizontal="center"/>
    </xf>
    <xf numFmtId="168" fontId="21" fillId="0" borderId="34" xfId="540" applyNumberFormat="1" applyBorder="1" applyAlignment="1" applyProtection="1">
      <alignment horizontal="center"/>
    </xf>
    <xf numFmtId="168" fontId="21" fillId="0" borderId="35" xfId="540" applyNumberFormat="1" applyBorder="1" applyAlignment="1" applyProtection="1">
      <alignment horizontal="center"/>
    </xf>
    <xf numFmtId="168" fontId="21" fillId="0" borderId="36" xfId="540" applyNumberFormat="1" applyBorder="1" applyAlignment="1" applyProtection="1">
      <alignment horizontal="center"/>
    </xf>
    <xf numFmtId="168" fontId="21" fillId="0" borderId="37" xfId="540" applyNumberFormat="1" applyBorder="1" applyAlignment="1" applyProtection="1">
      <alignment horizontal="center"/>
    </xf>
    <xf numFmtId="168" fontId="21" fillId="0" borderId="38" xfId="540" applyNumberFormat="1" applyBorder="1" applyAlignment="1" applyProtection="1">
      <alignment horizontal="center"/>
    </xf>
    <xf numFmtId="168" fontId="21" fillId="0" borderId="39" xfId="540" applyNumberFormat="1" applyBorder="1" applyAlignment="1" applyProtection="1">
      <alignment horizontal="center"/>
    </xf>
    <xf numFmtId="168" fontId="21" fillId="0" borderId="40" xfId="540" applyNumberFormat="1" applyBorder="1" applyAlignment="1" applyProtection="1">
      <alignment horizontal="center"/>
    </xf>
    <xf numFmtId="168" fontId="21" fillId="0" borderId="0" xfId="540" applyNumberFormat="1" applyAlignment="1" applyProtection="1">
      <alignment horizontal="center"/>
    </xf>
    <xf numFmtId="168" fontId="21" fillId="0" borderId="14" xfId="540" applyNumberFormat="1" applyBorder="1" applyAlignment="1" applyProtection="1">
      <alignment horizontal="center"/>
    </xf>
    <xf numFmtId="168" fontId="21" fillId="0" borderId="41" xfId="540" applyNumberFormat="1" applyBorder="1" applyAlignment="1" applyProtection="1">
      <alignment horizontal="center"/>
    </xf>
    <xf numFmtId="168" fontId="21" fillId="0" borderId="42" xfId="540" applyNumberFormat="1" applyBorder="1" applyAlignment="1" applyProtection="1">
      <alignment horizontal="center"/>
    </xf>
    <xf numFmtId="168" fontId="21" fillId="0" borderId="43" xfId="540" applyNumberFormat="1" applyBorder="1" applyAlignment="1" applyProtection="1">
      <alignment horizontal="center"/>
    </xf>
    <xf numFmtId="168" fontId="21" fillId="0" borderId="44" xfId="540" applyNumberFormat="1" applyBorder="1" applyAlignment="1" applyProtection="1">
      <alignment horizontal="center"/>
    </xf>
    <xf numFmtId="0" fontId="12" fillId="0" borderId="0" xfId="1192"/>
    <xf numFmtId="0" fontId="12" fillId="0" borderId="0" xfId="0" applyFont="1" applyAlignment="1">
      <alignment wrapText="1"/>
    </xf>
    <xf numFmtId="0" fontId="41" fillId="0" borderId="0" xfId="0" applyFont="1" applyAlignment="1">
      <alignment horizontal="left" vertical="top"/>
    </xf>
    <xf numFmtId="0" fontId="41" fillId="0" borderId="0" xfId="0" applyFont="1" applyAlignment="1">
      <alignment vertical="top"/>
    </xf>
    <xf numFmtId="0" fontId="12" fillId="0" borderId="0" xfId="569" applyAlignment="1">
      <alignment horizontal="center"/>
    </xf>
    <xf numFmtId="0" fontId="30" fillId="0" borderId="0" xfId="569" applyFont="1" applyAlignment="1">
      <alignment horizontal="left"/>
    </xf>
    <xf numFmtId="0" fontId="30" fillId="0" borderId="0" xfId="569" applyFont="1" applyAlignment="1">
      <alignment horizontal="center"/>
    </xf>
    <xf numFmtId="49" fontId="19" fillId="0" borderId="0" xfId="569" applyNumberFormat="1" applyFont="1" applyAlignment="1">
      <alignment horizontal="center"/>
    </xf>
    <xf numFmtId="0" fontId="47" fillId="0" borderId="0" xfId="569" applyFont="1" applyAlignment="1">
      <alignment horizontal="center"/>
    </xf>
    <xf numFmtId="0" fontId="12" fillId="5" borderId="6" xfId="569" applyFill="1" applyBorder="1" applyProtection="1">
      <protection locked="0"/>
    </xf>
    <xf numFmtId="0" fontId="13" fillId="0" borderId="0" xfId="244" applyAlignment="1" applyProtection="1">
      <alignment horizontal="center"/>
    </xf>
    <xf numFmtId="49" fontId="12" fillId="0" borderId="0" xfId="569" applyNumberFormat="1" applyAlignment="1">
      <alignment horizontal="center"/>
    </xf>
    <xf numFmtId="0" fontId="12" fillId="0" borderId="0" xfId="569" applyAlignment="1">
      <alignment horizontal="center" vertical="center"/>
    </xf>
    <xf numFmtId="0" fontId="12" fillId="0" borderId="0" xfId="1192" applyAlignment="1">
      <alignment horizontal="center"/>
    </xf>
    <xf numFmtId="0" fontId="19" fillId="0" borderId="0" xfId="569" applyFont="1" applyAlignment="1">
      <alignment horizontal="center"/>
    </xf>
    <xf numFmtId="0" fontId="12" fillId="0" borderId="0" xfId="569" applyAlignment="1">
      <alignment horizontal="left" indent="4"/>
    </xf>
    <xf numFmtId="0" fontId="12" fillId="0" borderId="0" xfId="569" quotePrefix="1" applyAlignment="1">
      <alignment horizontal="left"/>
    </xf>
    <xf numFmtId="0" fontId="30" fillId="0" borderId="0" xfId="569" applyFont="1"/>
    <xf numFmtId="0" fontId="12" fillId="0" borderId="0" xfId="1192" applyAlignment="1" applyProtection="1">
      <alignment horizontal="left"/>
      <protection locked="0"/>
    </xf>
    <xf numFmtId="0" fontId="12" fillId="0" borderId="0" xfId="569" applyAlignment="1" applyProtection="1">
      <alignment horizontal="left"/>
      <protection locked="0"/>
    </xf>
    <xf numFmtId="49" fontId="12" fillId="0" borderId="0" xfId="1192" applyNumberFormat="1" applyAlignment="1">
      <alignment horizontal="center"/>
    </xf>
    <xf numFmtId="0" fontId="47" fillId="0" borderId="0" xfId="1192" applyFont="1" applyAlignment="1">
      <alignment horizontal="center"/>
    </xf>
    <xf numFmtId="0" fontId="19" fillId="0" borderId="0" xfId="1192" applyFont="1" applyAlignment="1">
      <alignment horizontal="left"/>
    </xf>
    <xf numFmtId="4" fontId="12" fillId="0" borderId="0" xfId="1192" applyNumberFormat="1" applyAlignment="1">
      <alignment horizontal="left"/>
    </xf>
    <xf numFmtId="0" fontId="19" fillId="0" borderId="0" xfId="569" quotePrefix="1" applyFont="1" applyAlignment="1">
      <alignment horizontal="center"/>
    </xf>
    <xf numFmtId="49" fontId="12" fillId="0" borderId="0" xfId="569" applyNumberFormat="1"/>
    <xf numFmtId="0" fontId="44" fillId="0" borderId="0" xfId="569" applyFont="1" applyAlignment="1">
      <alignment horizontal="left"/>
    </xf>
    <xf numFmtId="4" fontId="47" fillId="0" borderId="0" xfId="569" applyNumberFormat="1" applyFont="1" applyAlignment="1">
      <alignment horizontal="center"/>
    </xf>
    <xf numFmtId="4" fontId="12" fillId="0" borderId="0" xfId="569" applyNumberFormat="1" applyAlignment="1">
      <alignment horizontal="center"/>
    </xf>
    <xf numFmtId="4" fontId="12" fillId="0" borderId="0" xfId="569" applyNumberFormat="1"/>
    <xf numFmtId="0" fontId="42" fillId="0" borderId="0" xfId="569" applyFont="1" applyAlignment="1">
      <alignment horizontal="left"/>
    </xf>
    <xf numFmtId="0" fontId="13" fillId="0" borderId="0" xfId="244" applyNumberFormat="1" applyFill="1" applyAlignment="1" applyProtection="1">
      <alignment horizontal="left"/>
      <protection locked="0"/>
    </xf>
    <xf numFmtId="0" fontId="49" fillId="0" borderId="11" xfId="0" applyFont="1" applyBorder="1" applyAlignment="1" applyProtection="1">
      <alignment horizontal="right" vertical="top" wrapText="1"/>
      <protection locked="0"/>
    </xf>
    <xf numFmtId="168" fontId="52" fillId="44" borderId="11" xfId="0" applyNumberFormat="1" applyFont="1" applyFill="1" applyBorder="1" applyAlignment="1">
      <alignment vertical="top" wrapText="1"/>
    </xf>
    <xf numFmtId="0" fontId="12" fillId="0" borderId="11" xfId="271" applyFont="1" applyBorder="1" applyAlignment="1">
      <alignment horizontal="right" vertical="top" wrapText="1"/>
    </xf>
    <xf numFmtId="0" fontId="20" fillId="0" borderId="0" xfId="569" applyFont="1" applyAlignment="1">
      <alignment horizontal="left"/>
    </xf>
    <xf numFmtId="0" fontId="101" fillId="0" borderId="0" xfId="0" applyFont="1"/>
    <xf numFmtId="0" fontId="112" fillId="0" borderId="0" xfId="0" applyFont="1" applyAlignment="1">
      <alignment horizontal="left" vertical="top"/>
    </xf>
    <xf numFmtId="0" fontId="113" fillId="0" borderId="0" xfId="0" applyFont="1" applyAlignment="1">
      <alignment horizontal="left" vertical="top"/>
    </xf>
    <xf numFmtId="168" fontId="20" fillId="0" borderId="0" xfId="0" applyNumberFormat="1" applyFont="1" applyAlignment="1">
      <alignment horizontal="left" vertical="top" wrapText="1"/>
    </xf>
    <xf numFmtId="168" fontId="49" fillId="5" borderId="11" xfId="0" applyNumberFormat="1" applyFont="1" applyFill="1" applyBorder="1" applyAlignment="1">
      <alignment vertical="top" wrapText="1"/>
    </xf>
    <xf numFmtId="0" fontId="12" fillId="0" borderId="0" xfId="271" applyFont="1" applyAlignment="1">
      <alignment horizontal="left" vertical="top"/>
    </xf>
    <xf numFmtId="0" fontId="49" fillId="0" borderId="0" xfId="569" applyFont="1"/>
    <xf numFmtId="0" fontId="12" fillId="0" borderId="0" xfId="0" applyFont="1" applyAlignment="1">
      <alignment horizontal="left" vertical="top"/>
    </xf>
    <xf numFmtId="4" fontId="12" fillId="0" borderId="0" xfId="1192" applyNumberFormat="1" applyAlignment="1">
      <alignment vertical="top" wrapText="1"/>
    </xf>
    <xf numFmtId="0" fontId="19" fillId="0" borderId="16" xfId="271" applyFont="1" applyBorder="1"/>
    <xf numFmtId="0" fontId="56" fillId="0" borderId="0" xfId="569" applyFont="1"/>
    <xf numFmtId="0" fontId="36" fillId="0" borderId="0" xfId="569" applyFont="1"/>
    <xf numFmtId="0" fontId="12" fillId="0" borderId="0" xfId="1192" applyAlignment="1">
      <alignment vertical="top" wrapText="1"/>
    </xf>
    <xf numFmtId="49" fontId="12" fillId="0" borderId="0" xfId="1192" applyNumberFormat="1" applyAlignment="1">
      <alignment vertical="top" wrapText="1"/>
    </xf>
    <xf numFmtId="0" fontId="51" fillId="0" borderId="9" xfId="543" applyFont="1" applyBorder="1" applyAlignment="1">
      <alignment vertical="top"/>
    </xf>
    <xf numFmtId="0" fontId="12" fillId="0" borderId="0" xfId="0" applyFont="1" applyAlignment="1">
      <alignment vertical="center"/>
    </xf>
    <xf numFmtId="0" fontId="114" fillId="0" borderId="0" xfId="0" applyFont="1"/>
    <xf numFmtId="3" fontId="101" fillId="0" borderId="0" xfId="0" applyNumberFormat="1" applyFont="1"/>
    <xf numFmtId="0" fontId="101" fillId="0" borderId="0" xfId="0" applyFont="1" applyAlignment="1">
      <alignment horizontal="left"/>
    </xf>
    <xf numFmtId="168" fontId="115" fillId="0" borderId="0" xfId="0" applyNumberFormat="1" applyFont="1" applyAlignment="1">
      <alignment horizontal="left" vertical="top"/>
    </xf>
    <xf numFmtId="0" fontId="101" fillId="0" borderId="0" xfId="0" applyFont="1" applyAlignment="1">
      <alignment horizontal="left" vertical="center"/>
    </xf>
    <xf numFmtId="0" fontId="117" fillId="0" borderId="0" xfId="0" applyFont="1"/>
    <xf numFmtId="172" fontId="12" fillId="0" borderId="8" xfId="543" applyNumberFormat="1" applyBorder="1"/>
    <xf numFmtId="0" fontId="12" fillId="0" borderId="8" xfId="4495" applyFont="1" applyBorder="1"/>
    <xf numFmtId="0" fontId="12" fillId="0" borderId="0" xfId="4495" applyFont="1"/>
    <xf numFmtId="0" fontId="18" fillId="0" borderId="0" xfId="4495" applyFont="1" applyAlignment="1">
      <alignment horizontal="center" vertical="center"/>
    </xf>
    <xf numFmtId="0" fontId="19" fillId="0" borderId="0" xfId="4495" applyFont="1" applyAlignment="1">
      <alignment horizontal="left"/>
    </xf>
    <xf numFmtId="0" fontId="19" fillId="0" borderId="0" xfId="4495" applyFont="1"/>
    <xf numFmtId="0" fontId="22" fillId="0" borderId="0" xfId="4495" applyFont="1" applyAlignment="1">
      <alignment horizontal="center" vertical="center"/>
    </xf>
    <xf numFmtId="0" fontId="22" fillId="0" borderId="27" xfId="4495" applyFont="1" applyBorder="1" applyAlignment="1">
      <alignment horizontal="center" vertical="center"/>
    </xf>
    <xf numFmtId="0" fontId="22" fillId="0" borderId="46" xfId="4495" applyFont="1" applyBorder="1" applyAlignment="1">
      <alignment horizontal="center" vertical="center"/>
    </xf>
    <xf numFmtId="0" fontId="19" fillId="0" borderId="0" xfId="4495" applyFont="1" applyAlignment="1">
      <alignment horizontal="right"/>
    </xf>
    <xf numFmtId="0" fontId="30" fillId="0" borderId="0" xfId="4495" applyFont="1" applyAlignment="1">
      <alignment horizontal="left" vertical="center"/>
    </xf>
    <xf numFmtId="0" fontId="12" fillId="0" borderId="0" xfId="1192" quotePrefix="1" applyAlignment="1">
      <alignment horizontal="center"/>
    </xf>
    <xf numFmtId="0" fontId="42" fillId="0" borderId="0" xfId="4495" applyFont="1" applyAlignment="1">
      <alignment horizontal="left" vertical="center"/>
    </xf>
    <xf numFmtId="49" fontId="20" fillId="0" borderId="0" xfId="4495" applyNumberFormat="1" applyFont="1" applyAlignment="1">
      <alignment horizontal="left" vertical="top"/>
    </xf>
    <xf numFmtId="0" fontId="12" fillId="0" borderId="47" xfId="4495" applyFont="1" applyBorder="1" applyAlignment="1">
      <alignment horizontal="left" vertical="center"/>
    </xf>
    <xf numFmtId="0" fontId="22" fillId="0" borderId="48" xfId="4495" applyFont="1" applyBorder="1" applyAlignment="1">
      <alignment horizontal="center" vertical="center"/>
    </xf>
    <xf numFmtId="0" fontId="20" fillId="0" borderId="0" xfId="4495" applyFont="1"/>
    <xf numFmtId="0" fontId="20" fillId="0" borderId="0" xfId="4495" applyFont="1" applyAlignment="1">
      <alignment horizontal="left" vertical="top"/>
    </xf>
    <xf numFmtId="0" fontId="119" fillId="0" borderId="53" xfId="4496" applyFont="1" applyBorder="1" applyAlignment="1">
      <alignment horizontal="left" vertical="top"/>
    </xf>
    <xf numFmtId="0" fontId="118" fillId="0" borderId="0" xfId="4496" applyFont="1" applyAlignment="1">
      <alignment horizontal="left" vertical="top" wrapText="1"/>
    </xf>
    <xf numFmtId="0" fontId="118" fillId="0" borderId="54" xfId="4496" applyFont="1" applyBorder="1" applyAlignment="1">
      <alignment horizontal="left" vertical="top" wrapText="1"/>
    </xf>
    <xf numFmtId="0" fontId="12" fillId="0" borderId="0" xfId="4495" applyFont="1" applyAlignment="1">
      <alignment horizontal="left" vertical="center"/>
    </xf>
    <xf numFmtId="0" fontId="120" fillId="0" borderId="0" xfId="4496" applyFont="1" applyAlignment="1">
      <alignment vertical="center"/>
    </xf>
    <xf numFmtId="0" fontId="118" fillId="0" borderId="0" xfId="4496" applyFont="1"/>
    <xf numFmtId="0" fontId="118" fillId="0" borderId="0" xfId="4496" applyFont="1" applyAlignment="1">
      <alignment vertical="center"/>
    </xf>
    <xf numFmtId="0" fontId="121" fillId="0" borderId="0" xfId="4496" applyFont="1" applyAlignment="1">
      <alignment vertical="center"/>
    </xf>
    <xf numFmtId="0" fontId="12" fillId="0" borderId="0" xfId="4496" applyFont="1" applyAlignment="1">
      <alignment vertical="center"/>
    </xf>
    <xf numFmtId="0" fontId="20" fillId="0" borderId="3" xfId="4495" applyFont="1" applyBorder="1" applyAlignment="1">
      <alignment vertical="top" wrapText="1"/>
    </xf>
    <xf numFmtId="0" fontId="20" fillId="0" borderId="4" xfId="4495" applyFont="1" applyBorder="1" applyAlignment="1">
      <alignment vertical="top" wrapText="1"/>
    </xf>
    <xf numFmtId="164" fontId="116" fillId="0" borderId="4" xfId="4495" applyNumberFormat="1" applyBorder="1" applyAlignment="1">
      <alignment horizontal="right"/>
    </xf>
    <xf numFmtId="0" fontId="20" fillId="0" borderId="4" xfId="4495" applyFont="1" applyBorder="1"/>
    <xf numFmtId="0" fontId="19" fillId="0" borderId="5" xfId="4495" applyFont="1" applyBorder="1" applyAlignment="1">
      <alignment horizontal="right"/>
    </xf>
    <xf numFmtId="0" fontId="12" fillId="0" borderId="16" xfId="4495" applyFont="1" applyBorder="1"/>
    <xf numFmtId="0" fontId="12" fillId="0" borderId="16" xfId="4495" applyFont="1" applyBorder="1" applyAlignment="1">
      <alignment horizontal="left" vertical="top"/>
    </xf>
    <xf numFmtId="0" fontId="20" fillId="0" borderId="16" xfId="4495" applyFont="1" applyBorder="1" applyAlignment="1">
      <alignment horizontal="left" vertical="top" wrapText="1"/>
    </xf>
    <xf numFmtId="0" fontId="20" fillId="0" borderId="45" xfId="4495" applyFont="1" applyBorder="1" applyAlignment="1">
      <alignment horizontal="left" vertical="top" wrapText="1"/>
    </xf>
    <xf numFmtId="0" fontId="116" fillId="0" borderId="0" xfId="4495"/>
    <xf numFmtId="0" fontId="13" fillId="0" borderId="0" xfId="244" applyFill="1" applyBorder="1" applyAlignment="1" applyProtection="1">
      <alignment horizontal="left" vertical="top"/>
    </xf>
    <xf numFmtId="0" fontId="13" fillId="0" borderId="0" xfId="244" applyFill="1" applyBorder="1" applyAlignment="1" applyProtection="1">
      <alignment horizontal="left" vertical="top" wrapText="1"/>
    </xf>
    <xf numFmtId="0" fontId="20" fillId="0" borderId="0" xfId="4495" applyFont="1" applyAlignment="1">
      <alignment horizontal="left" vertical="top" wrapText="1"/>
    </xf>
    <xf numFmtId="0" fontId="20" fillId="0" borderId="0" xfId="4495" applyFont="1" applyAlignment="1">
      <alignment horizontal="right" vertical="top"/>
    </xf>
    <xf numFmtId="0" fontId="12" fillId="0" borderId="0" xfId="4495" applyFont="1" applyAlignment="1">
      <alignment vertical="center" wrapText="1"/>
    </xf>
    <xf numFmtId="0" fontId="118" fillId="0" borderId="53" xfId="4496" applyFont="1" applyBorder="1" applyAlignment="1">
      <alignment vertical="top" wrapText="1"/>
    </xf>
    <xf numFmtId="0" fontId="118" fillId="0" borderId="0" xfId="4496" applyFont="1" applyAlignment="1">
      <alignment vertical="top" wrapText="1"/>
    </xf>
    <xf numFmtId="10" fontId="118" fillId="0" borderId="0" xfId="4496" applyNumberFormat="1" applyFont="1" applyAlignment="1">
      <alignment vertical="top" wrapText="1"/>
    </xf>
    <xf numFmtId="0" fontId="118" fillId="0" borderId="54" xfId="4496" applyFont="1" applyBorder="1" applyAlignment="1">
      <alignment vertical="top" wrapText="1"/>
    </xf>
    <xf numFmtId="0" fontId="118" fillId="0" borderId="0" xfId="4496" applyFont="1" applyAlignment="1">
      <alignment vertical="top"/>
    </xf>
    <xf numFmtId="165" fontId="118" fillId="0" borderId="0" xfId="4496" applyNumberFormat="1" applyFont="1" applyAlignment="1">
      <alignment vertical="top" wrapText="1"/>
    </xf>
    <xf numFmtId="0" fontId="19" fillId="0" borderId="57" xfId="4495" applyFont="1" applyBorder="1"/>
    <xf numFmtId="0" fontId="19" fillId="0" borderId="58" xfId="4495" applyFont="1" applyBorder="1"/>
    <xf numFmtId="0" fontId="19" fillId="0" borderId="58" xfId="4495" applyFont="1" applyBorder="1" applyAlignment="1">
      <alignment horizontal="right"/>
    </xf>
    <xf numFmtId="0" fontId="19" fillId="0" borderId="59" xfId="4495" applyFont="1" applyBorder="1" applyAlignment="1">
      <alignment horizontal="right"/>
    </xf>
    <xf numFmtId="0" fontId="118" fillId="0" borderId="53" xfId="4496" applyFont="1" applyBorder="1" applyAlignment="1">
      <alignment horizontal="left" vertical="top" wrapText="1"/>
    </xf>
    <xf numFmtId="0" fontId="118" fillId="0" borderId="0" xfId="4496" applyFont="1" applyAlignment="1">
      <alignment horizontal="left" vertical="top"/>
    </xf>
    <xf numFmtId="0" fontId="22" fillId="0" borderId="57" xfId="4495" applyFont="1" applyBorder="1" applyAlignment="1">
      <alignment horizontal="center" vertical="center"/>
    </xf>
    <xf numFmtId="0" fontId="22" fillId="0" borderId="58" xfId="4495" applyFont="1" applyBorder="1" applyAlignment="1">
      <alignment horizontal="center" vertical="center"/>
    </xf>
    <xf numFmtId="0" fontId="22" fillId="0" borderId="59" xfId="4495" applyFont="1" applyBorder="1" applyAlignment="1">
      <alignment horizontal="center" vertical="center"/>
    </xf>
    <xf numFmtId="0" fontId="19" fillId="0" borderId="0" xfId="4495" applyFont="1" applyAlignment="1">
      <alignment horizontal="center"/>
    </xf>
    <xf numFmtId="0" fontId="19" fillId="0" borderId="8" xfId="4495" applyFont="1" applyBorder="1"/>
    <xf numFmtId="0" fontId="20" fillId="0" borderId="0" xfId="4495" applyFont="1" applyAlignment="1">
      <alignment horizontal="left"/>
    </xf>
    <xf numFmtId="0" fontId="19" fillId="0" borderId="0" xfId="4495" applyFont="1" applyAlignment="1">
      <alignment horizontal="center" vertical="top"/>
    </xf>
    <xf numFmtId="0" fontId="12" fillId="0" borderId="0" xfId="4495" applyFont="1" applyAlignment="1">
      <alignment horizontal="center"/>
    </xf>
    <xf numFmtId="0" fontId="28" fillId="0" borderId="0" xfId="4495" applyFont="1"/>
    <xf numFmtId="0" fontId="20" fillId="0" borderId="8" xfId="4495" applyFont="1" applyBorder="1"/>
    <xf numFmtId="0" fontId="49" fillId="0" borderId="8" xfId="4495" applyFont="1" applyBorder="1"/>
    <xf numFmtId="1" fontId="12" fillId="0" borderId="0" xfId="1192" applyNumberFormat="1"/>
    <xf numFmtId="0" fontId="12" fillId="0" borderId="3" xfId="4495" applyFont="1" applyBorder="1"/>
    <xf numFmtId="0" fontId="12" fillId="0" borderId="4" xfId="4495" applyFont="1" applyBorder="1"/>
    <xf numFmtId="0" fontId="12" fillId="0" borderId="0" xfId="1192" applyAlignment="1">
      <alignment wrapText="1"/>
    </xf>
    <xf numFmtId="0" fontId="20" fillId="0" borderId="0" xfId="4495" applyFont="1" applyAlignment="1">
      <alignment vertical="top" wrapText="1"/>
    </xf>
    <xf numFmtId="0" fontId="20" fillId="0" borderId="0" xfId="1192" applyFont="1"/>
    <xf numFmtId="0" fontId="12" fillId="0" borderId="0" xfId="4495" applyFont="1" applyAlignment="1">
      <alignment horizontal="left"/>
    </xf>
    <xf numFmtId="0" fontId="20" fillId="0" borderId="3" xfId="4495" applyFont="1" applyBorder="1"/>
    <xf numFmtId="0" fontId="12" fillId="0" borderId="4" xfId="4495" applyFont="1" applyBorder="1" applyAlignment="1">
      <alignment horizontal="right"/>
    </xf>
    <xf numFmtId="1" fontId="12" fillId="0" borderId="0" xfId="4495" applyNumberFormat="1" applyFont="1" applyAlignment="1">
      <alignment horizontal="center"/>
    </xf>
    <xf numFmtId="0" fontId="49" fillId="0" borderId="0" xfId="4495" applyFont="1"/>
    <xf numFmtId="0" fontId="12" fillId="0" borderId="0" xfId="4495" applyFont="1" applyAlignment="1">
      <alignment horizontal="right"/>
    </xf>
    <xf numFmtId="0" fontId="20" fillId="0" borderId="0" xfId="4495" applyFont="1" applyAlignment="1">
      <alignment vertical="top"/>
    </xf>
    <xf numFmtId="0" fontId="20" fillId="0" borderId="27" xfId="4495" applyFont="1" applyBorder="1"/>
    <xf numFmtId="0" fontId="19" fillId="0" borderId="0" xfId="4495" applyFont="1" applyAlignment="1">
      <alignment vertical="top"/>
    </xf>
    <xf numFmtId="0" fontId="30" fillId="0" borderId="0" xfId="4495" applyFont="1" applyAlignment="1">
      <alignment vertical="top" wrapText="1"/>
    </xf>
    <xf numFmtId="0" fontId="19" fillId="0" borderId="0" xfId="4495" applyFont="1" applyAlignment="1">
      <alignment horizontal="left" vertical="top" wrapText="1"/>
    </xf>
    <xf numFmtId="0" fontId="12" fillId="0" borderId="0" xfId="4495" applyFont="1" applyAlignment="1">
      <alignment horizontal="left" vertical="top"/>
    </xf>
    <xf numFmtId="0" fontId="30" fillId="0" borderId="0" xfId="4495" applyFont="1" applyAlignment="1">
      <alignment vertical="top"/>
    </xf>
    <xf numFmtId="0" fontId="12" fillId="0" borderId="10" xfId="4495" applyFont="1" applyBorder="1" applyAlignment="1">
      <alignment horizontal="center"/>
    </xf>
    <xf numFmtId="0" fontId="12" fillId="0" borderId="16" xfId="4495" applyFont="1" applyBorder="1" applyAlignment="1">
      <alignment horizontal="center"/>
    </xf>
    <xf numFmtId="0" fontId="28" fillId="0" borderId="16" xfId="4495" applyFont="1" applyBorder="1"/>
    <xf numFmtId="0" fontId="20" fillId="0" borderId="16" xfId="4495" applyFont="1" applyBorder="1"/>
    <xf numFmtId="0" fontId="12" fillId="0" borderId="0" xfId="4496" applyFont="1" applyAlignment="1">
      <alignment vertical="top" wrapText="1"/>
    </xf>
    <xf numFmtId="0" fontId="19" fillId="0" borderId="0" xfId="1192" applyFont="1" applyAlignment="1">
      <alignment horizontal="right"/>
    </xf>
    <xf numFmtId="0" fontId="12" fillId="0" borderId="0" xfId="4496" applyFont="1"/>
    <xf numFmtId="0" fontId="12" fillId="0" borderId="0" xfId="4496" applyFont="1" applyAlignment="1">
      <alignment horizontal="left"/>
    </xf>
    <xf numFmtId="0" fontId="12" fillId="0" borderId="0" xfId="4496" applyFont="1" applyAlignment="1">
      <alignment horizontal="right"/>
    </xf>
    <xf numFmtId="0" fontId="20" fillId="0" borderId="0" xfId="4496" applyFont="1" applyAlignment="1">
      <alignment vertical="top" wrapText="1"/>
    </xf>
    <xf numFmtId="0" fontId="12" fillId="0" borderId="4" xfId="4496" applyFont="1" applyBorder="1"/>
    <xf numFmtId="0" fontId="19" fillId="0" borderId="4" xfId="4496" applyFont="1" applyBorder="1" applyAlignment="1">
      <alignment horizontal="right"/>
    </xf>
    <xf numFmtId="0" fontId="20" fillId="0" borderId="27" xfId="4495" applyFont="1" applyBorder="1" applyAlignment="1">
      <alignment horizontal="left" vertical="top"/>
    </xf>
    <xf numFmtId="0" fontId="12" fillId="0" borderId="27" xfId="4495" applyFont="1" applyBorder="1" applyAlignment="1">
      <alignment horizontal="left" vertical="top"/>
    </xf>
    <xf numFmtId="0" fontId="19" fillId="0" borderId="27" xfId="4495" applyFont="1" applyBorder="1" applyAlignment="1">
      <alignment horizontal="right"/>
    </xf>
    <xf numFmtId="0" fontId="12" fillId="0" borderId="27" xfId="4495" applyFont="1" applyBorder="1" applyAlignment="1">
      <alignment horizontal="center"/>
    </xf>
    <xf numFmtId="0" fontId="12" fillId="0" borderId="46" xfId="4495" applyFont="1" applyBorder="1" applyAlignment="1">
      <alignment horizontal="center"/>
    </xf>
    <xf numFmtId="164" fontId="20" fillId="0" borderId="0" xfId="4495" applyNumberFormat="1" applyFont="1" applyAlignment="1">
      <alignment horizontal="left" vertical="top" wrapText="1"/>
    </xf>
    <xf numFmtId="0" fontId="23" fillId="0" borderId="0" xfId="4495" applyFont="1"/>
    <xf numFmtId="0" fontId="20" fillId="0" borderId="0" xfId="4495" applyFont="1" applyAlignment="1">
      <alignment horizontal="right"/>
    </xf>
    <xf numFmtId="0" fontId="12" fillId="0" borderId="27" xfId="543" applyBorder="1"/>
    <xf numFmtId="0" fontId="12" fillId="0" borderId="46" xfId="543" applyBorder="1"/>
    <xf numFmtId="0" fontId="19" fillId="0" borderId="0" xfId="4495" applyFont="1" applyAlignment="1">
      <alignment horizontal="left" vertical="top"/>
    </xf>
    <xf numFmtId="1" fontId="116" fillId="0" borderId="0" xfId="4495" applyNumberFormat="1"/>
    <xf numFmtId="0" fontId="12" fillId="0" borderId="0" xfId="4495" applyFont="1" applyAlignment="1">
      <alignment vertical="top" wrapText="1"/>
    </xf>
    <xf numFmtId="0" fontId="12" fillId="0" borderId="0" xfId="4495" applyFont="1" applyAlignment="1">
      <alignment horizontal="left" vertical="top" wrapText="1"/>
    </xf>
    <xf numFmtId="0" fontId="12" fillId="0" borderId="50" xfId="4495" applyFont="1" applyBorder="1" applyAlignment="1">
      <alignment vertical="top"/>
    </xf>
    <xf numFmtId="0" fontId="12" fillId="0" borderId="51" xfId="4495" applyFont="1" applyBorder="1" applyAlignment="1">
      <alignment vertical="top"/>
    </xf>
    <xf numFmtId="0" fontId="12" fillId="0" borderId="52" xfId="4495" applyFont="1" applyBorder="1" applyAlignment="1">
      <alignment vertical="top"/>
    </xf>
    <xf numFmtId="1" fontId="20" fillId="0" borderId="8" xfId="4495" applyNumberFormat="1" applyFont="1" applyBorder="1"/>
    <xf numFmtId="0" fontId="12" fillId="0" borderId="0" xfId="543" applyAlignment="1">
      <alignment vertical="top"/>
    </xf>
    <xf numFmtId="0" fontId="20" fillId="0" borderId="51" xfId="4495" applyFont="1" applyBorder="1" applyAlignment="1">
      <alignment horizontal="left" vertical="top"/>
    </xf>
    <xf numFmtId="0" fontId="20" fillId="0" borderId="52" xfId="4495" applyFont="1" applyBorder="1" applyAlignment="1">
      <alignment horizontal="left" vertical="top"/>
    </xf>
    <xf numFmtId="0" fontId="116" fillId="0" borderId="0" xfId="4495" applyAlignment="1" applyProtection="1">
      <alignment horizontal="center"/>
      <protection locked="0"/>
    </xf>
    <xf numFmtId="0" fontId="12" fillId="0" borderId="53" xfId="4495" applyFont="1" applyBorder="1" applyAlignment="1">
      <alignment vertical="top"/>
    </xf>
    <xf numFmtId="0" fontId="12" fillId="0" borderId="54" xfId="4495" applyFont="1" applyBorder="1" applyAlignment="1">
      <alignment vertical="top" wrapText="1"/>
    </xf>
    <xf numFmtId="0" fontId="57" fillId="0" borderId="53" xfId="4495" applyFont="1" applyBorder="1"/>
    <xf numFmtId="0" fontId="20" fillId="0" borderId="54" xfId="4495" applyFont="1" applyBorder="1" applyAlignment="1">
      <alignment horizontal="left" vertical="top"/>
    </xf>
    <xf numFmtId="0" fontId="12" fillId="0" borderId="53" xfId="4495" applyFont="1" applyBorder="1" applyAlignment="1">
      <alignment vertical="center" wrapText="1"/>
    </xf>
    <xf numFmtId="0" fontId="57" fillId="0" borderId="57" xfId="4495" applyFont="1" applyBorder="1"/>
    <xf numFmtId="0" fontId="20" fillId="0" borderId="58" xfId="4495" applyFont="1" applyBorder="1" applyAlignment="1">
      <alignment horizontal="left" vertical="top"/>
    </xf>
    <xf numFmtId="0" fontId="20" fillId="0" borderId="12" xfId="4495" applyFont="1" applyBorder="1"/>
    <xf numFmtId="0" fontId="12" fillId="0" borderId="57" xfId="4495" applyFont="1" applyBorder="1" applyAlignment="1">
      <alignment vertical="center"/>
    </xf>
    <xf numFmtId="0" fontId="12" fillId="0" borderId="58" xfId="4495" applyFont="1" applyBorder="1" applyAlignment="1">
      <alignment vertical="top"/>
    </xf>
    <xf numFmtId="0" fontId="12" fillId="0" borderId="59" xfId="4495" applyFont="1" applyBorder="1" applyAlignment="1">
      <alignment vertical="top"/>
    </xf>
    <xf numFmtId="0" fontId="12" fillId="0" borderId="0" xfId="4495" applyFont="1" applyAlignment="1">
      <alignment vertical="top"/>
    </xf>
    <xf numFmtId="0" fontId="20" fillId="0" borderId="4" xfId="4495" applyFont="1" applyBorder="1" applyAlignment="1">
      <alignment horizontal="left" vertical="top"/>
    </xf>
    <xf numFmtId="0" fontId="12" fillId="0" borderId="4" xfId="4495" applyFont="1" applyBorder="1" applyAlignment="1">
      <alignment horizontal="left" vertical="top"/>
    </xf>
    <xf numFmtId="0" fontId="12" fillId="0" borderId="2" xfId="4495" applyFont="1" applyBorder="1"/>
    <xf numFmtId="0" fontId="20" fillId="0" borderId="2" xfId="4495" applyFont="1" applyBorder="1"/>
    <xf numFmtId="0" fontId="12" fillId="0" borderId="2" xfId="4495" applyFont="1" applyBorder="1" applyAlignment="1">
      <alignment horizontal="center"/>
    </xf>
    <xf numFmtId="0" fontId="20" fillId="0" borderId="7" xfId="4495" applyFont="1" applyBorder="1"/>
    <xf numFmtId="0" fontId="28" fillId="0" borderId="0" xfId="4495" applyFont="1" applyAlignment="1">
      <alignment horizontal="right"/>
    </xf>
    <xf numFmtId="0" fontId="122" fillId="0" borderId="0" xfId="4495" applyFont="1" applyAlignment="1">
      <alignment horizontal="left" vertical="top" wrapText="1"/>
    </xf>
    <xf numFmtId="0" fontId="28" fillId="0" borderId="0" xfId="4495" applyFont="1" applyAlignment="1">
      <alignment horizontal="left" vertical="top"/>
    </xf>
    <xf numFmtId="0" fontId="20" fillId="0" borderId="0" xfId="4495" quotePrefix="1" applyFont="1" applyAlignment="1">
      <alignment horizontal="right"/>
    </xf>
    <xf numFmtId="0" fontId="12" fillId="0" borderId="0" xfId="4497"/>
    <xf numFmtId="0" fontId="20" fillId="0" borderId="0" xfId="4495" applyFont="1" applyAlignment="1">
      <alignment horizontal="left" vertical="top" wrapText="1" shrinkToFit="1"/>
    </xf>
    <xf numFmtId="0" fontId="116" fillId="0" borderId="0" xfId="4495" applyAlignment="1">
      <alignment vertical="top" wrapText="1"/>
    </xf>
    <xf numFmtId="0" fontId="20" fillId="0" borderId="4" xfId="4495" applyFont="1" applyBorder="1" applyAlignment="1">
      <alignment horizontal="left" vertical="top" wrapText="1" shrinkToFit="1"/>
    </xf>
    <xf numFmtId="0" fontId="28" fillId="0" borderId="8" xfId="4495" applyFont="1" applyBorder="1"/>
    <xf numFmtId="0" fontId="20" fillId="0" borderId="0" xfId="4495" applyFont="1" applyAlignment="1">
      <alignment horizontal="center"/>
    </xf>
    <xf numFmtId="0" fontId="20" fillId="0" borderId="0" xfId="4495" quotePrefix="1" applyFont="1"/>
    <xf numFmtId="0" fontId="20" fillId="0" borderId="0" xfId="4495" applyFont="1" applyAlignment="1">
      <alignment horizontal="left" vertical="top" shrinkToFit="1"/>
    </xf>
    <xf numFmtId="0" fontId="42" fillId="0" borderId="0" xfId="4495" applyFont="1"/>
    <xf numFmtId="0" fontId="20" fillId="0" borderId="3" xfId="4495" applyFont="1" applyBorder="1" applyAlignment="1">
      <alignment horizontal="center"/>
    </xf>
    <xf numFmtId="0" fontId="116" fillId="0" borderId="8" xfId="4495" applyBorder="1"/>
    <xf numFmtId="0" fontId="19" fillId="0" borderId="8" xfId="4495" applyFont="1" applyBorder="1" applyAlignment="1">
      <alignment vertical="top"/>
    </xf>
    <xf numFmtId="0" fontId="116" fillId="0" borderId="0" xfId="4495" applyAlignment="1">
      <alignment vertical="top"/>
    </xf>
    <xf numFmtId="0" fontId="19" fillId="0" borderId="4" xfId="4495" applyFont="1" applyBorder="1" applyAlignment="1">
      <alignment horizontal="center" vertical="top"/>
    </xf>
    <xf numFmtId="0" fontId="122" fillId="0" borderId="0" xfId="4495" applyFont="1" applyAlignment="1">
      <alignment horizontal="left" vertical="top"/>
    </xf>
    <xf numFmtId="0" fontId="122" fillId="0" borderId="4" xfId="4495" applyFont="1" applyBorder="1" applyAlignment="1">
      <alignment horizontal="left" vertical="top"/>
    </xf>
    <xf numFmtId="168" fontId="12" fillId="0" borderId="0" xfId="4497" applyNumberFormat="1"/>
    <xf numFmtId="1" fontId="20" fillId="0" borderId="0" xfId="4495" applyNumberFormat="1" applyFont="1" applyAlignment="1">
      <alignment horizontal="center" vertical="top"/>
    </xf>
    <xf numFmtId="0" fontId="126" fillId="0" borderId="0" xfId="4495" applyFont="1" applyAlignment="1">
      <alignment vertical="top" wrapText="1"/>
    </xf>
    <xf numFmtId="0" fontId="126" fillId="0" borderId="0" xfId="4495" applyFont="1" applyAlignment="1">
      <alignment horizontal="left" vertical="top" wrapText="1"/>
    </xf>
    <xf numFmtId="0" fontId="20" fillId="0" borderId="6" xfId="4495" applyFont="1" applyBorder="1"/>
    <xf numFmtId="1" fontId="20" fillId="0" borderId="8" xfId="4495" applyNumberFormat="1" applyFont="1" applyBorder="1" applyAlignment="1">
      <alignment horizontal="center" vertical="top"/>
    </xf>
    <xf numFmtId="0" fontId="116" fillId="0" borderId="12" xfId="4495" applyBorder="1"/>
    <xf numFmtId="0" fontId="20" fillId="0" borderId="9" xfId="4495" applyFont="1" applyBorder="1"/>
    <xf numFmtId="0" fontId="116" fillId="0" borderId="10" xfId="4495" applyBorder="1"/>
    <xf numFmtId="0" fontId="28" fillId="0" borderId="3" xfId="4495" applyFont="1" applyBorder="1"/>
    <xf numFmtId="0" fontId="19" fillId="0" borderId="4" xfId="4495" applyFont="1" applyBorder="1"/>
    <xf numFmtId="0" fontId="116" fillId="0" borderId="12" xfId="4495" applyBorder="1" applyAlignment="1">
      <alignment vertical="top"/>
    </xf>
    <xf numFmtId="0" fontId="28" fillId="0" borderId="1" xfId="4495" applyFont="1" applyBorder="1"/>
    <xf numFmtId="0" fontId="126" fillId="0" borderId="2" xfId="4495" applyFont="1" applyBorder="1" applyAlignment="1">
      <alignment horizontal="left" wrapText="1"/>
    </xf>
    <xf numFmtId="0" fontId="126" fillId="0" borderId="2" xfId="4495" applyFont="1" applyBorder="1" applyAlignment="1">
      <alignment horizontal="left"/>
    </xf>
    <xf numFmtId="0" fontId="126" fillId="0" borderId="7" xfId="4495" applyFont="1" applyBorder="1" applyAlignment="1">
      <alignment horizontal="left" wrapText="1"/>
    </xf>
    <xf numFmtId="0" fontId="126" fillId="0" borderId="0" xfId="4495" applyFont="1" applyAlignment="1">
      <alignment horizontal="left" wrapText="1"/>
    </xf>
    <xf numFmtId="0" fontId="28" fillId="0" borderId="9" xfId="4495" applyFont="1" applyBorder="1"/>
    <xf numFmtId="0" fontId="20" fillId="0" borderId="10" xfId="4495" applyFont="1" applyBorder="1"/>
    <xf numFmtId="0" fontId="126" fillId="0" borderId="0" xfId="4495" applyFont="1" applyAlignment="1">
      <alignment wrapText="1"/>
    </xf>
    <xf numFmtId="0" fontId="28" fillId="0" borderId="9" xfId="4495" applyFont="1" applyBorder="1" applyAlignment="1">
      <alignment horizontal="center"/>
    </xf>
    <xf numFmtId="0" fontId="19" fillId="0" borderId="10" xfId="4495" applyFont="1" applyBorder="1"/>
    <xf numFmtId="0" fontId="30" fillId="0" borderId="0" xfId="4495" applyFont="1"/>
    <xf numFmtId="0" fontId="20" fillId="0" borderId="50" xfId="4495" applyFont="1" applyBorder="1"/>
    <xf numFmtId="0" fontId="20" fillId="0" borderId="51" xfId="4495" applyFont="1" applyBorder="1"/>
    <xf numFmtId="1" fontId="20" fillId="0" borderId="51" xfId="4495" quotePrefix="1" applyNumberFormat="1" applyFont="1" applyBorder="1" applyAlignment="1">
      <alignment horizontal="center" vertical="top"/>
    </xf>
    <xf numFmtId="0" fontId="19" fillId="0" borderId="51" xfId="4495" applyFont="1" applyBorder="1"/>
    <xf numFmtId="0" fontId="19" fillId="0" borderId="52" xfId="4495" applyFont="1" applyBorder="1" applyAlignment="1">
      <alignment horizontal="center"/>
    </xf>
    <xf numFmtId="0" fontId="12" fillId="0" borderId="53" xfId="4495" applyFont="1" applyBorder="1"/>
    <xf numFmtId="1" fontId="20" fillId="0" borderId="0" xfId="4495" quotePrefix="1" applyNumberFormat="1" applyFont="1" applyAlignment="1">
      <alignment horizontal="center" vertical="top"/>
    </xf>
    <xf numFmtId="0" fontId="19" fillId="0" borderId="54" xfId="4495" applyFont="1" applyBorder="1" applyAlignment="1">
      <alignment horizontal="center"/>
    </xf>
    <xf numFmtId="0" fontId="28" fillId="0" borderId="0" xfId="4495" applyFont="1" applyAlignment="1">
      <alignment vertical="top"/>
    </xf>
    <xf numFmtId="0" fontId="20" fillId="0" borderId="61" xfId="4495" applyFont="1" applyBorder="1"/>
    <xf numFmtId="0" fontId="116" fillId="0" borderId="58" xfId="4495" applyBorder="1" applyAlignment="1">
      <alignment horizontal="center"/>
    </xf>
    <xf numFmtId="1" fontId="20" fillId="0" borderId="58" xfId="4495" quotePrefix="1" applyNumberFormat="1" applyFont="1" applyBorder="1" applyAlignment="1">
      <alignment horizontal="center" vertical="top"/>
    </xf>
    <xf numFmtId="0" fontId="28" fillId="0" borderId="58" xfId="4495" applyFont="1" applyBorder="1" applyAlignment="1">
      <alignment vertical="top"/>
    </xf>
    <xf numFmtId="0" fontId="20" fillId="0" borderId="58" xfId="4495" applyFont="1" applyBorder="1" applyAlignment="1">
      <alignment vertical="top" wrapText="1"/>
    </xf>
    <xf numFmtId="0" fontId="20" fillId="0" borderId="58" xfId="4495" applyFont="1" applyBorder="1"/>
    <xf numFmtId="0" fontId="19" fillId="0" borderId="58" xfId="4495" applyFont="1" applyBorder="1" applyAlignment="1">
      <alignment horizontal="center"/>
    </xf>
    <xf numFmtId="0" fontId="116" fillId="0" borderId="61" xfId="4495" applyBorder="1"/>
    <xf numFmtId="0" fontId="116" fillId="0" borderId="0" xfId="4495" applyAlignment="1">
      <alignment horizontal="center"/>
    </xf>
    <xf numFmtId="0" fontId="12" fillId="0" borderId="53" xfId="543" applyBorder="1"/>
    <xf numFmtId="0" fontId="20" fillId="0" borderId="54" xfId="4495" applyFont="1" applyBorder="1"/>
    <xf numFmtId="0" fontId="12" fillId="0" borderId="58" xfId="543" applyBorder="1"/>
    <xf numFmtId="1" fontId="20" fillId="0" borderId="58" xfId="4495" applyNumberFormat="1" applyFont="1" applyBorder="1" applyAlignment="1">
      <alignment horizontal="center" vertical="top"/>
    </xf>
    <xf numFmtId="0" fontId="28" fillId="0" borderId="58" xfId="4495" applyFont="1" applyBorder="1" applyAlignment="1">
      <alignment vertical="center"/>
    </xf>
    <xf numFmtId="0" fontId="116" fillId="0" borderId="58" xfId="4495" applyBorder="1" applyAlignment="1">
      <alignment vertical="top" wrapText="1"/>
    </xf>
    <xf numFmtId="0" fontId="12" fillId="0" borderId="58" xfId="4495" applyFont="1" applyBorder="1"/>
    <xf numFmtId="0" fontId="28" fillId="0" borderId="0" xfId="4495" applyFont="1" applyAlignment="1">
      <alignment vertical="center"/>
    </xf>
    <xf numFmtId="0" fontId="20" fillId="0" borderId="53" xfId="4495" applyFont="1" applyBorder="1"/>
    <xf numFmtId="0" fontId="12" fillId="0" borderId="57" xfId="543" applyBorder="1"/>
    <xf numFmtId="0" fontId="20" fillId="0" borderId="58" xfId="4495" applyFont="1" applyBorder="1" applyAlignment="1">
      <alignment vertical="top"/>
    </xf>
    <xf numFmtId="0" fontId="20" fillId="0" borderId="59" xfId="4495" applyFont="1" applyBorder="1"/>
    <xf numFmtId="0" fontId="20" fillId="0" borderId="57" xfId="4495" applyFont="1" applyBorder="1"/>
    <xf numFmtId="0" fontId="12" fillId="0" borderId="51" xfId="4495" applyFont="1" applyBorder="1"/>
    <xf numFmtId="0" fontId="20" fillId="0" borderId="52" xfId="4495" applyFont="1" applyBorder="1"/>
    <xf numFmtId="0" fontId="12" fillId="0" borderId="50" xfId="543" applyBorder="1"/>
    <xf numFmtId="0" fontId="12" fillId="0" borderId="51" xfId="543" applyBorder="1"/>
    <xf numFmtId="0" fontId="12" fillId="0" borderId="52" xfId="543" applyBorder="1"/>
    <xf numFmtId="0" fontId="20" fillId="0" borderId="62" xfId="4495" applyFont="1" applyBorder="1"/>
    <xf numFmtId="0" fontId="20" fillId="0" borderId="0" xfId="4495" applyFont="1" applyAlignment="1">
      <alignment wrapText="1"/>
    </xf>
    <xf numFmtId="0" fontId="19" fillId="0" borderId="54" xfId="4495" applyFont="1" applyBorder="1" applyAlignment="1">
      <alignment horizontal="center" vertical="top"/>
    </xf>
    <xf numFmtId="0" fontId="116" fillId="0" borderId="53" xfId="4495" applyBorder="1" applyAlignment="1">
      <alignment horizontal="center"/>
    </xf>
    <xf numFmtId="2" fontId="20" fillId="0" borderId="0" xfId="4495" applyNumberFormat="1" applyFont="1" applyAlignment="1">
      <alignment horizontal="right"/>
    </xf>
    <xf numFmtId="2" fontId="20" fillId="0" borderId="8" xfId="4495" applyNumberFormat="1" applyFont="1" applyBorder="1" applyAlignment="1">
      <alignment horizontal="left"/>
    </xf>
    <xf numFmtId="0" fontId="20" fillId="0" borderId="8" xfId="4495" applyFont="1" applyBorder="1" applyAlignment="1">
      <alignment horizontal="right"/>
    </xf>
    <xf numFmtId="0" fontId="125" fillId="0" borderId="0" xfId="4495" applyFont="1"/>
    <xf numFmtId="0" fontId="116" fillId="0" borderId="57" xfId="4495" applyBorder="1" applyAlignment="1">
      <alignment horizontal="center"/>
    </xf>
    <xf numFmtId="0" fontId="19" fillId="0" borderId="59" xfId="4495" applyFont="1" applyBorder="1" applyAlignment="1">
      <alignment horizontal="center"/>
    </xf>
    <xf numFmtId="9" fontId="20" fillId="0" borderId="0" xfId="4495" applyNumberFormat="1" applyFont="1" applyAlignment="1">
      <alignment horizontal="left"/>
    </xf>
    <xf numFmtId="0" fontId="12" fillId="0" borderId="17" xfId="543" applyBorder="1"/>
    <xf numFmtId="0" fontId="12" fillId="0" borderId="16" xfId="543" applyBorder="1"/>
    <xf numFmtId="0" fontId="12" fillId="0" borderId="51" xfId="4495" quotePrefix="1" applyFont="1" applyBorder="1" applyAlignment="1">
      <alignment horizontal="center" vertical="top"/>
    </xf>
    <xf numFmtId="0" fontId="20" fillId="0" borderId="53" xfId="4495" applyFont="1" applyBorder="1" applyAlignment="1">
      <alignment horizontal="left" vertical="top"/>
    </xf>
    <xf numFmtId="0" fontId="20" fillId="0" borderId="0" xfId="4495" applyFont="1" applyAlignment="1">
      <alignment horizontal="center" vertical="top"/>
    </xf>
    <xf numFmtId="0" fontId="20" fillId="0" borderId="57" xfId="4495" applyFont="1" applyBorder="1" applyAlignment="1">
      <alignment horizontal="left" vertical="top"/>
    </xf>
    <xf numFmtId="0" fontId="20" fillId="0" borderId="58" xfId="4495" applyFont="1" applyBorder="1" applyAlignment="1">
      <alignment horizontal="center" vertical="top"/>
    </xf>
    <xf numFmtId="0" fontId="116" fillId="0" borderId="58" xfId="4495" applyBorder="1"/>
    <xf numFmtId="0" fontId="19" fillId="0" borderId="58" xfId="4495" applyFont="1" applyBorder="1" applyAlignment="1">
      <alignment vertical="top"/>
    </xf>
    <xf numFmtId="0" fontId="19" fillId="0" borderId="58" xfId="4495" applyFont="1" applyBorder="1" applyAlignment="1">
      <alignment horizontal="left" vertical="top"/>
    </xf>
    <xf numFmtId="0" fontId="19" fillId="0" borderId="51" xfId="4495" applyFont="1" applyBorder="1" applyAlignment="1">
      <alignment horizontal="left" vertical="top"/>
    </xf>
    <xf numFmtId="0" fontId="19" fillId="0" borderId="53" xfId="4495" applyFont="1" applyBorder="1" applyAlignment="1">
      <alignment horizontal="left" vertical="top"/>
    </xf>
    <xf numFmtId="0" fontId="49" fillId="0" borderId="0" xfId="4495" applyFont="1" applyAlignment="1">
      <alignment horizontal="left" vertical="top"/>
    </xf>
    <xf numFmtId="0" fontId="20" fillId="0" borderId="0" xfId="4495" quotePrefix="1" applyFont="1" applyAlignment="1">
      <alignment horizontal="center" vertical="top"/>
    </xf>
    <xf numFmtId="0" fontId="50" fillId="0" borderId="0" xfId="4495" applyFont="1" applyAlignment="1">
      <alignment horizontal="center"/>
    </xf>
    <xf numFmtId="0" fontId="50" fillId="0" borderId="0" xfId="4495" applyFont="1" applyAlignment="1">
      <alignment vertical="top"/>
    </xf>
    <xf numFmtId="0" fontId="103" fillId="0" borderId="0" xfId="4495" applyFont="1"/>
    <xf numFmtId="0" fontId="49" fillId="0" borderId="0" xfId="4495" applyFont="1" applyAlignment="1">
      <alignment vertical="top"/>
    </xf>
    <xf numFmtId="0" fontId="28" fillId="0" borderId="53" xfId="4495" applyFont="1" applyBorder="1"/>
    <xf numFmtId="2" fontId="20" fillId="0" borderId="8" xfId="4495" applyNumberFormat="1" applyFont="1" applyBorder="1" applyAlignment="1">
      <alignment horizontal="right"/>
    </xf>
    <xf numFmtId="0" fontId="19" fillId="0" borderId="50" xfId="4495" applyFont="1" applyBorder="1" applyAlignment="1">
      <alignment horizontal="left" vertical="top"/>
    </xf>
    <xf numFmtId="0" fontId="49" fillId="0" borderId="51" xfId="4495" applyFont="1" applyBorder="1" applyAlignment="1">
      <alignment horizontal="left" vertical="top"/>
    </xf>
    <xf numFmtId="0" fontId="116" fillId="0" borderId="53" xfId="4495" applyBorder="1"/>
    <xf numFmtId="0" fontId="103" fillId="0" borderId="0" xfId="4495" applyFont="1" applyAlignment="1">
      <alignment horizontal="left" vertical="top"/>
    </xf>
    <xf numFmtId="1" fontId="19" fillId="0" borderId="58" xfId="4495" applyNumberFormat="1" applyFont="1" applyBorder="1" applyAlignment="1">
      <alignment vertical="top"/>
    </xf>
    <xf numFmtId="172" fontId="19" fillId="0" borderId="8" xfId="543" applyNumberFormat="1" applyFont="1" applyBorder="1"/>
    <xf numFmtId="172" fontId="19" fillId="0" borderId="0" xfId="543" applyNumberFormat="1" applyFont="1"/>
    <xf numFmtId="0" fontId="28" fillId="0" borderId="0" xfId="4495" applyFont="1" applyAlignment="1">
      <alignment wrapText="1"/>
    </xf>
    <xf numFmtId="0" fontId="28" fillId="0" borderId="0" xfId="4495" applyFont="1" applyAlignment="1">
      <alignment horizontal="center"/>
    </xf>
    <xf numFmtId="0" fontId="28" fillId="0" borderId="0" xfId="4495" applyFont="1" applyAlignment="1">
      <alignment vertical="center" wrapText="1"/>
    </xf>
    <xf numFmtId="180" fontId="20" fillId="0" borderId="0" xfId="4495" applyNumberFormat="1" applyFont="1" applyAlignment="1">
      <alignment horizontal="center"/>
    </xf>
    <xf numFmtId="1" fontId="20" fillId="0" borderId="0" xfId="4495" applyNumberFormat="1" applyFont="1" applyAlignment="1">
      <alignment horizontal="center"/>
    </xf>
    <xf numFmtId="0" fontId="19" fillId="0" borderId="51" xfId="4495" applyFont="1" applyBorder="1" applyAlignment="1">
      <alignment horizontal="center"/>
    </xf>
    <xf numFmtId="0" fontId="19" fillId="0" borderId="51" xfId="4495" applyFont="1" applyBorder="1" applyAlignment="1">
      <alignment vertical="top"/>
    </xf>
    <xf numFmtId="0" fontId="19" fillId="0" borderId="53" xfId="4495" applyFont="1" applyBorder="1"/>
    <xf numFmtId="0" fontId="12" fillId="0" borderId="54" xfId="543" applyBorder="1"/>
    <xf numFmtId="49" fontId="20" fillId="0" borderId="0" xfId="4495" applyNumberFormat="1" applyFont="1" applyAlignment="1">
      <alignment horizontal="left" vertical="center" wrapText="1"/>
    </xf>
    <xf numFmtId="0" fontId="12" fillId="0" borderId="57" xfId="4495" applyFont="1" applyBorder="1"/>
    <xf numFmtId="1" fontId="12" fillId="0" borderId="0" xfId="4495" applyNumberFormat="1" applyFont="1" applyAlignment="1">
      <alignment vertical="center"/>
    </xf>
    <xf numFmtId="0" fontId="30" fillId="0" borderId="50" xfId="4495" applyFont="1" applyBorder="1"/>
    <xf numFmtId="0" fontId="20" fillId="0" borderId="51" xfId="4495" applyFont="1" applyBorder="1" applyAlignment="1">
      <alignment horizontal="center" vertical="top"/>
    </xf>
    <xf numFmtId="0" fontId="20" fillId="0" borderId="51" xfId="4495" applyFont="1" applyBorder="1" applyAlignment="1">
      <alignment vertical="top" wrapText="1"/>
    </xf>
    <xf numFmtId="0" fontId="20" fillId="0" borderId="51" xfId="4495" applyFont="1" applyBorder="1" applyAlignment="1">
      <alignment horizontal="left" vertical="top" wrapText="1"/>
    </xf>
    <xf numFmtId="0" fontId="12" fillId="0" borderId="0" xfId="4495" quotePrefix="1" applyFont="1" applyAlignment="1">
      <alignment horizontal="center" vertical="top"/>
    </xf>
    <xf numFmtId="1" fontId="20" fillId="0" borderId="0" xfId="4495" quotePrefix="1" applyNumberFormat="1" applyFont="1" applyAlignment="1">
      <alignment wrapText="1"/>
    </xf>
    <xf numFmtId="0" fontId="20" fillId="0" borderId="6" xfId="4495" applyFont="1" applyBorder="1" applyAlignment="1">
      <alignment horizontal="right"/>
    </xf>
    <xf numFmtId="0" fontId="118" fillId="0" borderId="0" xfId="4496" applyFont="1" applyAlignment="1">
      <alignment wrapText="1"/>
    </xf>
    <xf numFmtId="0" fontId="12" fillId="0" borderId="0" xfId="4496" applyFont="1" applyAlignment="1">
      <alignment wrapText="1"/>
    </xf>
    <xf numFmtId="0" fontId="28" fillId="0" borderId="51" xfId="4495" applyFont="1" applyBorder="1" applyAlignment="1">
      <alignment vertical="top"/>
    </xf>
    <xf numFmtId="0" fontId="12" fillId="0" borderId="51" xfId="4496" applyFont="1" applyBorder="1" applyAlignment="1">
      <alignment wrapText="1"/>
    </xf>
    <xf numFmtId="0" fontId="19" fillId="0" borderId="51" xfId="4495" applyFont="1" applyBorder="1" applyAlignment="1">
      <alignment horizontal="right"/>
    </xf>
    <xf numFmtId="0" fontId="12" fillId="0" borderId="52" xfId="4495" applyFont="1" applyBorder="1" applyAlignment="1">
      <alignment horizontal="center"/>
    </xf>
    <xf numFmtId="0" fontId="12" fillId="0" borderId="53" xfId="4495" applyFont="1" applyBorder="1" applyAlignment="1">
      <alignment horizontal="left" vertical="top"/>
    </xf>
    <xf numFmtId="0" fontId="12" fillId="0" borderId="54" xfId="4495" applyFont="1" applyBorder="1" applyAlignment="1">
      <alignment horizontal="left" vertical="top"/>
    </xf>
    <xf numFmtId="0" fontId="12" fillId="0" borderId="54" xfId="4495" applyFont="1" applyBorder="1" applyAlignment="1">
      <alignment horizontal="center"/>
    </xf>
    <xf numFmtId="0" fontId="12" fillId="0" borderId="59" xfId="4495" applyFont="1" applyBorder="1" applyAlignment="1">
      <alignment horizontal="center"/>
    </xf>
    <xf numFmtId="9" fontId="12" fillId="0" borderId="0" xfId="4496" applyNumberFormat="1" applyFont="1" applyAlignment="1">
      <alignment horizontal="center"/>
    </xf>
    <xf numFmtId="1" fontId="12" fillId="0" borderId="0" xfId="543" applyNumberFormat="1"/>
    <xf numFmtId="0" fontId="20" fillId="0" borderId="1" xfId="4495" applyFont="1" applyBorder="1"/>
    <xf numFmtId="0" fontId="19" fillId="0" borderId="0" xfId="4495" applyFont="1" applyAlignment="1">
      <alignment horizontal="center" wrapText="1"/>
    </xf>
    <xf numFmtId="0" fontId="19" fillId="0" borderId="9" xfId="4495" applyFont="1" applyBorder="1" applyAlignment="1">
      <alignment horizontal="left"/>
    </xf>
    <xf numFmtId="0" fontId="19" fillId="0" borderId="3" xfId="4495" applyFont="1" applyBorder="1" applyAlignment="1">
      <alignment horizontal="left"/>
    </xf>
    <xf numFmtId="0" fontId="19" fillId="0" borderId="4" xfId="4495" applyFont="1" applyBorder="1" applyAlignment="1">
      <alignment horizontal="left"/>
    </xf>
    <xf numFmtId="0" fontId="12" fillId="0" borderId="2" xfId="4495" applyFont="1" applyBorder="1" applyAlignment="1">
      <alignment horizontal="left"/>
    </xf>
    <xf numFmtId="0" fontId="19" fillId="0" borderId="2" xfId="4495" applyFont="1" applyBorder="1" applyAlignment="1">
      <alignment horizontal="left"/>
    </xf>
    <xf numFmtId="0" fontId="19" fillId="0" borderId="5" xfId="4495" applyFont="1" applyBorder="1" applyAlignment="1">
      <alignment horizontal="left"/>
    </xf>
    <xf numFmtId="180" fontId="60" fillId="0" borderId="0" xfId="4495" applyNumberFormat="1" applyFont="1" applyAlignment="1">
      <alignment horizontal="center" vertical="center"/>
    </xf>
    <xf numFmtId="0" fontId="12" fillId="0" borderId="12" xfId="4495" applyFont="1" applyBorder="1" applyAlignment="1">
      <alignment vertical="top"/>
    </xf>
    <xf numFmtId="0" fontId="42" fillId="0" borderId="0" xfId="4495" applyFont="1" applyAlignment="1">
      <alignment vertical="top" wrapText="1"/>
    </xf>
    <xf numFmtId="0" fontId="12" fillId="0" borderId="51" xfId="4495" applyFont="1" applyBorder="1" applyAlignment="1">
      <alignment horizontal="left" vertical="top" wrapText="1"/>
    </xf>
    <xf numFmtId="0" fontId="12" fillId="0" borderId="51" xfId="4495" applyFont="1" applyBorder="1" applyAlignment="1">
      <alignment horizontal="right"/>
    </xf>
    <xf numFmtId="0" fontId="12" fillId="0" borderId="52" xfId="4495" applyFont="1" applyBorder="1" applyAlignment="1">
      <alignment horizontal="right"/>
    </xf>
    <xf numFmtId="0" fontId="12" fillId="0" borderId="54" xfId="4495" applyFont="1" applyBorder="1" applyAlignment="1">
      <alignment horizontal="right"/>
    </xf>
    <xf numFmtId="0" fontId="12" fillId="0" borderId="58" xfId="4495" applyFont="1" applyBorder="1" applyAlignment="1">
      <alignment horizontal="left" vertical="top" wrapText="1"/>
    </xf>
    <xf numFmtId="0" fontId="12" fillId="0" borderId="58" xfId="4495" applyFont="1" applyBorder="1" applyAlignment="1">
      <alignment horizontal="right"/>
    </xf>
    <xf numFmtId="0" fontId="12" fillId="0" borderId="59" xfId="4495" applyFont="1" applyBorder="1" applyAlignment="1">
      <alignment horizontal="right"/>
    </xf>
    <xf numFmtId="0" fontId="42" fillId="0" borderId="0" xfId="4495" applyFont="1" applyAlignment="1">
      <alignment horizontal="left" vertical="top" wrapText="1"/>
    </xf>
    <xf numFmtId="0" fontId="12" fillId="0" borderId="0" xfId="1192" applyAlignment="1">
      <alignment horizontal="left" vertical="top"/>
    </xf>
    <xf numFmtId="0" fontId="30" fillId="0" borderId="0" xfId="1192" applyFont="1" applyAlignment="1">
      <alignment horizontal="left" vertical="top"/>
    </xf>
    <xf numFmtId="0" fontId="12" fillId="0" borderId="0" xfId="1192" applyAlignment="1">
      <alignment vertical="top"/>
    </xf>
    <xf numFmtId="168" fontId="12" fillId="0" borderId="0" xfId="1192" applyNumberFormat="1"/>
    <xf numFmtId="165" fontId="12" fillId="0" borderId="0" xfId="1192" applyNumberFormat="1"/>
    <xf numFmtId="165" fontId="12" fillId="0" borderId="0" xfId="1192" applyNumberFormat="1" applyAlignment="1">
      <alignment horizontal="right"/>
    </xf>
    <xf numFmtId="2" fontId="12" fillId="0" borderId="0" xfId="1192" applyNumberFormat="1"/>
    <xf numFmtId="6" fontId="12" fillId="0" borderId="0" xfId="1192" applyNumberFormat="1"/>
    <xf numFmtId="0" fontId="19" fillId="0" borderId="0" xfId="1192" applyFont="1"/>
    <xf numFmtId="0" fontId="42" fillId="0" borderId="0" xfId="1192" applyFont="1"/>
    <xf numFmtId="168" fontId="12" fillId="0" borderId="0" xfId="4495" applyNumberFormat="1" applyFont="1"/>
    <xf numFmtId="0" fontId="19" fillId="0" borderId="0" xfId="1192" applyFont="1" applyAlignment="1">
      <alignment vertical="center"/>
    </xf>
    <xf numFmtId="0" fontId="114" fillId="0" borderId="0" xfId="1192" applyFont="1" applyAlignment="1">
      <alignment horizontal="left"/>
    </xf>
    <xf numFmtId="0" fontId="111" fillId="0" borderId="0" xfId="1192" applyFont="1" applyAlignment="1">
      <alignment horizontal="left"/>
    </xf>
    <xf numFmtId="0" fontId="111" fillId="0" borderId="0" xfId="1192" applyFont="1" applyAlignment="1">
      <alignment horizontal="center"/>
    </xf>
    <xf numFmtId="168" fontId="12" fillId="0" borderId="0" xfId="1192" applyNumberFormat="1" applyAlignment="1">
      <alignment horizontal="center"/>
    </xf>
    <xf numFmtId="9" fontId="12" fillId="0" borderId="0" xfId="1192" applyNumberFormat="1"/>
    <xf numFmtId="0" fontId="12" fillId="0" borderId="0" xfId="1192" applyAlignment="1">
      <alignment horizontal="right"/>
    </xf>
    <xf numFmtId="0" fontId="12" fillId="0" borderId="53" xfId="4495" applyFont="1" applyBorder="1" applyAlignment="1">
      <alignment horizontal="left"/>
    </xf>
    <xf numFmtId="6" fontId="19" fillId="0" borderId="0" xfId="1192" applyNumberFormat="1" applyFont="1" applyAlignment="1">
      <alignment horizontal="right"/>
    </xf>
    <xf numFmtId="165" fontId="12" fillId="0" borderId="0" xfId="4495" applyNumberFormat="1" applyFont="1"/>
    <xf numFmtId="0" fontId="50" fillId="0" borderId="4" xfId="4495" applyFont="1" applyBorder="1"/>
    <xf numFmtId="0" fontId="32" fillId="0" borderId="0" xfId="543" applyFont="1" applyAlignment="1">
      <alignment vertical="center" wrapText="1"/>
    </xf>
    <xf numFmtId="1" fontId="19" fillId="0" borderId="13" xfId="271" applyNumberFormat="1" applyFont="1" applyBorder="1"/>
    <xf numFmtId="1" fontId="21" fillId="0" borderId="13" xfId="271" applyNumberFormat="1" applyBorder="1"/>
    <xf numFmtId="0" fontId="12" fillId="0" borderId="11" xfId="0" applyFont="1" applyBorder="1"/>
    <xf numFmtId="9" fontId="12" fillId="0" borderId="0" xfId="4495" applyNumberFormat="1" applyFont="1"/>
    <xf numFmtId="165" fontId="118" fillId="0" borderId="0" xfId="4496" applyNumberFormat="1" applyFont="1" applyAlignment="1">
      <alignment horizontal="center" vertical="top" wrapText="1"/>
    </xf>
    <xf numFmtId="168" fontId="118" fillId="0" borderId="0" xfId="4496" applyNumberFormat="1" applyFont="1" applyAlignment="1">
      <alignment vertical="top" wrapText="1"/>
    </xf>
    <xf numFmtId="165" fontId="118" fillId="0" borderId="65" xfId="4496" applyNumberFormat="1" applyFont="1" applyBorder="1" applyAlignment="1">
      <alignment horizontal="center" vertical="top" wrapText="1"/>
    </xf>
    <xf numFmtId="165" fontId="118" fillId="0" borderId="53" xfId="4496" applyNumberFormat="1" applyFont="1" applyBorder="1" applyAlignment="1">
      <alignment horizontal="left" vertical="top"/>
    </xf>
    <xf numFmtId="165" fontId="118" fillId="0" borderId="53" xfId="4496" applyNumberFormat="1" applyFont="1" applyBorder="1" applyAlignment="1">
      <alignment horizontal="center" vertical="top" wrapText="1"/>
    </xf>
    <xf numFmtId="168" fontId="118" fillId="0" borderId="0" xfId="4496" applyNumberFormat="1" applyFont="1" applyAlignment="1">
      <alignment vertical="top"/>
    </xf>
    <xf numFmtId="1" fontId="118" fillId="0" borderId="0" xfId="4496" applyNumberFormat="1" applyFont="1" applyAlignment="1">
      <alignment vertical="top" wrapText="1"/>
    </xf>
    <xf numFmtId="164" fontId="20" fillId="0" borderId="0" xfId="4495" applyNumberFormat="1" applyFont="1"/>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7" fillId="0" borderId="50" xfId="1192" applyFont="1" applyBorder="1" applyAlignment="1">
      <alignment horizontal="left"/>
    </xf>
    <xf numFmtId="0" fontId="138" fillId="0" borderId="51" xfId="4495" applyFont="1" applyBorder="1" applyAlignment="1">
      <alignment vertical="top"/>
    </xf>
    <xf numFmtId="0" fontId="137" fillId="0" borderId="51" xfId="4495" applyFont="1" applyBorder="1" applyAlignment="1">
      <alignment vertical="top" wrapText="1"/>
    </xf>
    <xf numFmtId="0" fontId="138" fillId="0" borderId="51" xfId="4495" applyFont="1" applyBorder="1"/>
    <xf numFmtId="0" fontId="138" fillId="0" borderId="53" xfId="1192" applyFont="1" applyBorder="1" applyAlignment="1">
      <alignment horizontal="left"/>
    </xf>
    <xf numFmtId="0" fontId="138" fillId="0" borderId="0" xfId="4495" applyFont="1" applyAlignment="1">
      <alignment vertical="top"/>
    </xf>
    <xf numFmtId="0" fontId="137" fillId="0" borderId="0" xfId="4495" applyFont="1" applyAlignment="1">
      <alignment vertical="top" wrapText="1"/>
    </xf>
    <xf numFmtId="0" fontId="138" fillId="0" borderId="0" xfId="4495" applyFont="1"/>
    <xf numFmtId="0" fontId="137" fillId="0" borderId="53" xfId="1192" applyFont="1" applyBorder="1" applyAlignment="1">
      <alignment horizontal="left"/>
    </xf>
    <xf numFmtId="0" fontId="137" fillId="0" borderId="57" xfId="1192" applyFont="1" applyBorder="1" applyAlignment="1">
      <alignment horizontal="left"/>
    </xf>
    <xf numFmtId="0" fontId="138" fillId="0" borderId="58" xfId="4495" applyFont="1" applyBorder="1" applyAlignment="1">
      <alignment vertical="top"/>
    </xf>
    <xf numFmtId="0" fontId="137" fillId="0" borderId="58" xfId="4495" applyFont="1" applyBorder="1" applyAlignment="1">
      <alignment vertical="top" wrapText="1"/>
    </xf>
    <xf numFmtId="0" fontId="138" fillId="0" borderId="58" xfId="4495" applyFont="1" applyBorder="1"/>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19" fillId="0" borderId="7" xfId="0" applyFont="1" applyBorder="1" applyAlignment="1">
      <alignment horizontal="right"/>
    </xf>
    <xf numFmtId="0" fontId="0" fillId="0" borderId="0" xfId="0" applyAlignment="1" applyProtection="1">
      <alignment horizontal="left" vertical="top" wrapText="1"/>
      <protection locked="0"/>
    </xf>
    <xf numFmtId="2" fontId="12" fillId="0" borderId="0" xfId="0" applyNumberFormat="1" applyFont="1"/>
    <xf numFmtId="0" fontId="12" fillId="0" borderId="9" xfId="0" applyFont="1" applyBorder="1" applyAlignment="1">
      <alignment horizontal="left"/>
    </xf>
    <xf numFmtId="0" fontId="12" fillId="0" borderId="6" xfId="0" applyFont="1" applyBorder="1"/>
    <xf numFmtId="0" fontId="12" fillId="0" borderId="9" xfId="0" applyFont="1" applyBorder="1"/>
    <xf numFmtId="0" fontId="45" fillId="0" borderId="0" xfId="0" applyFont="1" applyAlignment="1">
      <alignment horizontal="center"/>
    </xf>
    <xf numFmtId="0" fontId="18" fillId="0" borderId="0" xfId="0" applyFont="1" applyAlignment="1">
      <alignment horizontal="center" vertical="center" wrapText="1"/>
    </xf>
    <xf numFmtId="0" fontId="27" fillId="0" borderId="0" xfId="0" applyFont="1" applyAlignment="1">
      <alignment horizontal="center"/>
    </xf>
    <xf numFmtId="0" fontId="20" fillId="0" borderId="0" xfId="0" applyFont="1" applyAlignment="1">
      <alignment horizontal="center"/>
    </xf>
    <xf numFmtId="0" fontId="19" fillId="0" borderId="3" xfId="0" applyFont="1" applyBorder="1"/>
    <xf numFmtId="0" fontId="19" fillId="0" borderId="4" xfId="271" applyFont="1" applyBorder="1"/>
    <xf numFmtId="0" fontId="19" fillId="0" borderId="3" xfId="271" applyFont="1" applyBorder="1"/>
    <xf numFmtId="0" fontId="19" fillId="0" borderId="5" xfId="271" applyFont="1" applyBorder="1"/>
    <xf numFmtId="0" fontId="12" fillId="0" borderId="58" xfId="4495" applyFont="1" applyBorder="1" applyAlignment="1">
      <alignment vertical="center" wrapText="1"/>
    </xf>
    <xf numFmtId="0" fontId="12" fillId="0" borderId="59" xfId="4495" applyFont="1" applyBorder="1" applyAlignment="1">
      <alignment vertical="center" wrapText="1"/>
    </xf>
    <xf numFmtId="0" fontId="12" fillId="0" borderId="0" xfId="4495" applyFont="1" applyAlignment="1">
      <alignment horizontal="left" vertical="center" wrapText="1"/>
    </xf>
    <xf numFmtId="0" fontId="19" fillId="0" borderId="5" xfId="0" applyFont="1" applyBorder="1"/>
    <xf numFmtId="168" fontId="17" fillId="43" borderId="0" xfId="0" applyNumberFormat="1" applyFont="1" applyFill="1"/>
    <xf numFmtId="9" fontId="20" fillId="0" borderId="0" xfId="543" applyNumberFormat="1" applyFont="1" applyAlignment="1">
      <alignment horizontal="center"/>
    </xf>
    <xf numFmtId="171" fontId="12" fillId="0" borderId="0" xfId="543" applyNumberFormat="1"/>
    <xf numFmtId="171" fontId="12" fillId="0" borderId="11" xfId="543" applyNumberFormat="1" applyBorder="1"/>
    <xf numFmtId="1" fontId="12" fillId="0" borderId="11" xfId="543" applyNumberFormat="1" applyBorder="1" applyAlignment="1">
      <alignment horizontal="center"/>
    </xf>
    <xf numFmtId="0" fontId="38" fillId="0" borderId="8" xfId="543" applyFont="1" applyBorder="1" applyAlignment="1">
      <alignment vertical="center" wrapText="1"/>
    </xf>
    <xf numFmtId="0" fontId="38" fillId="0" borderId="0" xfId="543" applyFont="1" applyAlignment="1">
      <alignment vertical="center" wrapText="1"/>
    </xf>
    <xf numFmtId="0" fontId="38" fillId="0" borderId="12" xfId="543" applyFont="1" applyBorder="1" applyAlignment="1">
      <alignment vertical="center" wrapText="1"/>
    </xf>
    <xf numFmtId="0" fontId="38" fillId="0" borderId="9" xfId="543" applyFont="1" applyBorder="1" applyAlignment="1">
      <alignment vertical="center" wrapText="1"/>
    </xf>
    <xf numFmtId="0" fontId="38" fillId="0" borderId="6" xfId="543" applyFont="1" applyBorder="1" applyAlignment="1">
      <alignment vertical="center" wrapText="1"/>
    </xf>
    <xf numFmtId="0" fontId="38" fillId="0" borderId="10" xfId="543" applyFont="1" applyBorder="1" applyAlignment="1">
      <alignment vertical="center" wrapText="1"/>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32" fillId="0" borderId="12" xfId="543" applyFont="1" applyBorder="1" applyAlignment="1">
      <alignment horizontal="center" vertical="top"/>
    </xf>
    <xf numFmtId="0" fontId="33" fillId="0" borderId="7" xfId="543" applyFont="1" applyBorder="1"/>
    <xf numFmtId="0" fontId="12" fillId="0" borderId="12" xfId="543" quotePrefix="1" applyBorder="1"/>
    <xf numFmtId="0" fontId="49" fillId="0" borderId="2" xfId="569" applyFont="1" applyBorder="1" applyAlignment="1">
      <alignment vertical="top"/>
    </xf>
    <xf numFmtId="0" fontId="22" fillId="0" borderId="0" xfId="4495" applyFont="1"/>
    <xf numFmtId="0" fontId="12" fillId="0" borderId="0" xfId="4495" applyFont="1" applyAlignment="1">
      <alignment vertical="top" wrapText="1" shrinkToFit="1"/>
    </xf>
    <xf numFmtId="0" fontId="153" fillId="0" borderId="0" xfId="4495" applyFont="1"/>
    <xf numFmtId="164" fontId="12" fillId="0" borderId="0" xfId="1192" applyNumberFormat="1" applyAlignment="1">
      <alignment horizontal="right"/>
    </xf>
    <xf numFmtId="164" fontId="12" fillId="0" borderId="0" xfId="4495" applyNumberFormat="1" applyFont="1" applyAlignment="1">
      <alignment horizontal="right"/>
    </xf>
    <xf numFmtId="0" fontId="12" fillId="0" borderId="0" xfId="4495" applyFont="1" applyAlignment="1">
      <alignment horizontal="left" vertical="top" wrapText="1" shrinkToFit="1"/>
    </xf>
    <xf numFmtId="0" fontId="12" fillId="0" borderId="6" xfId="4495" applyFont="1" applyBorder="1" applyAlignment="1">
      <alignment vertical="top" wrapText="1"/>
    </xf>
    <xf numFmtId="0" fontId="153" fillId="0" borderId="4" xfId="4495" applyFont="1" applyBorder="1"/>
    <xf numFmtId="0" fontId="12" fillId="0" borderId="4" xfId="4495" applyFont="1" applyBorder="1" applyAlignment="1">
      <alignment horizontal="left" vertical="top" wrapText="1" shrinkToFit="1"/>
    </xf>
    <xf numFmtId="0" fontId="22" fillId="0" borderId="0" xfId="4495" applyFont="1" applyAlignment="1">
      <alignment horizontal="left" vertical="top"/>
    </xf>
    <xf numFmtId="0" fontId="12" fillId="0" borderId="0" xfId="4495" applyFont="1" applyAlignment="1">
      <alignment vertical="center" wrapText="1" shrinkToFit="1"/>
    </xf>
    <xf numFmtId="0" fontId="12" fillId="0" borderId="0" xfId="4495" applyFont="1" applyAlignment="1">
      <alignment horizontal="left" vertical="top" shrinkToFit="1"/>
    </xf>
    <xf numFmtId="0" fontId="12" fillId="0" borderId="0" xfId="4495" applyFont="1" applyAlignment="1">
      <alignment horizontal="left" vertical="center" shrinkToFit="1"/>
    </xf>
    <xf numFmtId="0" fontId="22" fillId="0" borderId="4" xfId="4495" applyFont="1" applyBorder="1"/>
    <xf numFmtId="0" fontId="12" fillId="0" borderId="4" xfId="4495" applyFont="1" applyBorder="1" applyAlignment="1">
      <alignment horizontal="left" vertical="top" shrinkToFit="1"/>
    </xf>
    <xf numFmtId="0" fontId="12" fillId="0" borderId="0" xfId="4495" applyFont="1" applyAlignment="1">
      <alignment vertical="center"/>
    </xf>
    <xf numFmtId="0" fontId="18" fillId="0" borderId="0" xfId="4495" applyFont="1"/>
    <xf numFmtId="0" fontId="22" fillId="0" borderId="0" xfId="4495" applyFont="1" applyAlignment="1">
      <alignment horizontal="center"/>
    </xf>
    <xf numFmtId="0" fontId="12" fillId="0" borderId="4" xfId="4495" applyFont="1" applyBorder="1" applyAlignment="1">
      <alignment horizontal="left" vertical="top" wrapText="1"/>
    </xf>
    <xf numFmtId="44" fontId="12" fillId="0" borderId="0" xfId="707" applyFont="1" applyFill="1" applyBorder="1" applyAlignment="1" applyProtection="1">
      <alignment horizontal="left" vertical="top" wrapText="1"/>
    </xf>
    <xf numFmtId="44" fontId="12" fillId="0" borderId="4" xfId="707" applyFont="1" applyFill="1" applyBorder="1" applyAlignment="1" applyProtection="1">
      <alignment horizontal="left" vertical="top" wrapText="1"/>
    </xf>
    <xf numFmtId="164" fontId="30" fillId="0" borderId="0" xfId="4495" applyNumberFormat="1" applyFont="1" applyAlignment="1">
      <alignment horizontal="left"/>
    </xf>
    <xf numFmtId="0" fontId="22" fillId="0" borderId="0" xfId="4495" applyFont="1" applyAlignment="1">
      <alignment horizontal="left"/>
    </xf>
    <xf numFmtId="0" fontId="12" fillId="0" borderId="4" xfId="4495" applyFont="1" applyBorder="1" applyAlignment="1">
      <alignment vertical="top" wrapText="1"/>
    </xf>
    <xf numFmtId="0" fontId="22" fillId="0" borderId="4" xfId="4495" applyFont="1" applyBorder="1" applyAlignment="1">
      <alignment horizontal="left" vertical="top"/>
    </xf>
    <xf numFmtId="0" fontId="12" fillId="0" borderId="0" xfId="4495" applyFont="1" applyAlignment="1">
      <alignment horizontal="left" vertical="center" wrapText="1" shrinkToFit="1"/>
    </xf>
    <xf numFmtId="0" fontId="12" fillId="0" borderId="6" xfId="4495" applyFont="1" applyBorder="1" applyAlignment="1">
      <alignment horizontal="left" vertical="top" wrapText="1"/>
    </xf>
    <xf numFmtId="2" fontId="114" fillId="0" borderId="0" xfId="0" applyNumberFormat="1" applyFont="1" applyAlignment="1">
      <alignment horizontal="center"/>
    </xf>
    <xf numFmtId="9" fontId="12" fillId="0" borderId="0" xfId="4494" applyFont="1" applyAlignment="1">
      <alignment horizontal="center"/>
    </xf>
    <xf numFmtId="3" fontId="12" fillId="0" borderId="0" xfId="0" applyNumberFormat="1" applyFont="1"/>
    <xf numFmtId="10" fontId="12" fillId="0" borderId="0" xfId="0" applyNumberFormat="1" applyFont="1" applyAlignment="1">
      <alignment horizontal="center"/>
    </xf>
    <xf numFmtId="168" fontId="12" fillId="0" borderId="0" xfId="0" applyNumberFormat="1" applyFont="1"/>
    <xf numFmtId="172" fontId="12" fillId="0" borderId="11" xfId="0" applyNumberFormat="1" applyFont="1" applyBorder="1" applyAlignment="1">
      <alignment horizontal="center"/>
    </xf>
    <xf numFmtId="168" fontId="12" fillId="5" borderId="0" xfId="0" applyNumberFormat="1" applyFont="1" applyFill="1"/>
    <xf numFmtId="3" fontId="12" fillId="5" borderId="0" xfId="0" applyNumberFormat="1" applyFont="1" applyFill="1"/>
    <xf numFmtId="0" fontId="12" fillId="5" borderId="0" xfId="0" applyFont="1" applyFill="1"/>
    <xf numFmtId="3" fontId="12" fillId="5" borderId="6" xfId="0" applyNumberFormat="1" applyFont="1" applyFill="1" applyBorder="1"/>
    <xf numFmtId="3" fontId="12" fillId="0" borderId="6" xfId="0" applyNumberFormat="1" applyFont="1" applyBorder="1"/>
    <xf numFmtId="168" fontId="12" fillId="0" borderId="0" xfId="0" applyNumberFormat="1" applyFont="1" applyAlignment="1">
      <alignment horizontal="center"/>
    </xf>
    <xf numFmtId="3" fontId="12" fillId="0" borderId="0" xfId="0" applyNumberFormat="1" applyFont="1" applyAlignment="1">
      <alignment horizontal="center"/>
    </xf>
    <xf numFmtId="0" fontId="12" fillId="0" borderId="50" xfId="4495" applyFont="1" applyBorder="1" applyAlignment="1">
      <alignment vertical="center"/>
    </xf>
    <xf numFmtId="0" fontId="12" fillId="0" borderId="51" xfId="4495" applyFont="1" applyBorder="1" applyAlignment="1">
      <alignment vertical="center"/>
    </xf>
    <xf numFmtId="0" fontId="12" fillId="0" borderId="52" xfId="4495" applyFont="1" applyBorder="1" applyAlignment="1">
      <alignment vertical="center"/>
    </xf>
    <xf numFmtId="0" fontId="12" fillId="0" borderId="54" xfId="4495" applyFont="1" applyBorder="1" applyAlignment="1">
      <alignment vertical="center" wrapText="1"/>
    </xf>
    <xf numFmtId="0" fontId="12" fillId="0" borderId="53" xfId="4495" applyFont="1" applyBorder="1" applyAlignment="1">
      <alignment vertical="top" wrapText="1"/>
    </xf>
    <xf numFmtId="0" fontId="12" fillId="0" borderId="58" xfId="0" applyFont="1" applyBorder="1" applyAlignment="1">
      <alignment horizontal="left"/>
    </xf>
    <xf numFmtId="9" fontId="12" fillId="0" borderId="0" xfId="543" applyNumberFormat="1" applyAlignment="1">
      <alignment horizontal="center"/>
    </xf>
    <xf numFmtId="0" fontId="44" fillId="0" borderId="0" xfId="4496" applyFont="1"/>
    <xf numFmtId="168" fontId="49" fillId="5" borderId="11" xfId="0" applyNumberFormat="1" applyFont="1" applyFill="1" applyBorder="1" applyAlignment="1" applyProtection="1">
      <alignment vertical="top" wrapText="1"/>
      <protection locked="0"/>
    </xf>
    <xf numFmtId="0" fontId="12" fillId="0" borderId="0" xfId="0" applyFont="1" applyAlignment="1">
      <alignment horizontal="left" wrapText="1"/>
    </xf>
    <xf numFmtId="4" fontId="30" fillId="0" borderId="0" xfId="0" applyNumberFormat="1" applyFont="1" applyAlignment="1">
      <alignment horizontal="left"/>
    </xf>
    <xf numFmtId="4" fontId="12" fillId="0" borderId="0" xfId="0" applyNumberFormat="1" applyFont="1" applyAlignment="1">
      <alignment horizontal="left" vertical="top" wrapText="1"/>
    </xf>
    <xf numFmtId="0" fontId="19" fillId="0" borderId="4" xfId="0" applyFont="1" applyBorder="1" applyAlignment="1">
      <alignment horizontal="left"/>
    </xf>
    <xf numFmtId="4" fontId="12" fillId="0" borderId="0" xfId="0" applyNumberFormat="1" applyFont="1" applyAlignment="1">
      <alignment horizontal="left"/>
    </xf>
    <xf numFmtId="43" fontId="47" fillId="0" borderId="0" xfId="4504" applyFont="1" applyAlignment="1" applyProtection="1">
      <alignment horizontal="center"/>
    </xf>
    <xf numFmtId="43" fontId="12" fillId="0" borderId="0" xfId="4504" applyFont="1" applyAlignment="1" applyProtection="1">
      <alignment horizontal="center"/>
    </xf>
    <xf numFmtId="43" fontId="12" fillId="0" borderId="0" xfId="4504" applyFont="1" applyProtection="1"/>
    <xf numFmtId="49" fontId="12" fillId="0" borderId="0" xfId="0" applyNumberFormat="1" applyFont="1"/>
    <xf numFmtId="49" fontId="12" fillId="0" borderId="0" xfId="0" applyNumberFormat="1" applyFont="1" applyAlignment="1">
      <alignment horizontal="center"/>
    </xf>
    <xf numFmtId="4" fontId="12" fillId="0" borderId="0" xfId="0" applyNumberFormat="1" applyFont="1" applyAlignment="1">
      <alignment vertical="top" wrapText="1"/>
    </xf>
    <xf numFmtId="0" fontId="12" fillId="0" borderId="0" xfId="0" quotePrefix="1" applyFont="1"/>
    <xf numFmtId="0" fontId="42" fillId="0" borderId="0" xfId="0" applyFont="1" applyAlignment="1">
      <alignment horizontal="left"/>
    </xf>
    <xf numFmtId="0" fontId="12" fillId="0" borderId="4" xfId="0" applyFont="1" applyBorder="1" applyAlignment="1">
      <alignment horizontal="left"/>
    </xf>
    <xf numFmtId="0" fontId="12" fillId="0" borderId="0" xfId="0" quotePrefix="1" applyFont="1" applyAlignment="1">
      <alignment horizontal="left"/>
    </xf>
    <xf numFmtId="0" fontId="12" fillId="0" borderId="0" xfId="0" quotePrefix="1" applyFont="1" applyAlignment="1">
      <alignment horizontal="left" vertical="top"/>
    </xf>
    <xf numFmtId="0" fontId="42" fillId="0" borderId="0" xfId="1192" applyFont="1" applyAlignment="1">
      <alignment horizontal="left"/>
    </xf>
    <xf numFmtId="0" fontId="47" fillId="0" borderId="0" xfId="0" applyFont="1" applyAlignment="1">
      <alignment horizontal="center" vertical="center"/>
    </xf>
    <xf numFmtId="49" fontId="19" fillId="0" borderId="0" xfId="0" applyNumberFormat="1" applyFont="1" applyAlignment="1">
      <alignment horizontal="center" vertical="center"/>
    </xf>
    <xf numFmtId="49" fontId="12" fillId="0" borderId="0" xfId="0" applyNumberFormat="1" applyFont="1" applyAlignment="1">
      <alignment vertical="center"/>
    </xf>
    <xf numFmtId="4" fontId="12" fillId="0" borderId="0" xfId="0" applyNumberFormat="1" applyFont="1" applyAlignment="1">
      <alignment horizontal="center"/>
    </xf>
    <xf numFmtId="4" fontId="12" fillId="0" borderId="0" xfId="0" applyNumberFormat="1" applyFont="1"/>
    <xf numFmtId="10" fontId="12" fillId="0" borderId="0" xfId="4495" applyNumberFormat="1" applyFont="1"/>
    <xf numFmtId="10" fontId="118" fillId="0" borderId="0" xfId="4496" applyNumberFormat="1" applyFont="1" applyAlignment="1">
      <alignment horizontal="center" vertical="top" wrapText="1"/>
    </xf>
    <xf numFmtId="10" fontId="118" fillId="0" borderId="65" xfId="4496" applyNumberFormat="1" applyFont="1" applyBorder="1" applyAlignment="1">
      <alignment horizontal="center" vertical="top" wrapText="1"/>
    </xf>
    <xf numFmtId="10" fontId="118"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2" fillId="0" borderId="0" xfId="1192" quotePrefix="1" applyNumberFormat="1" applyAlignment="1">
      <alignment horizontal="center"/>
    </xf>
    <xf numFmtId="0" fontId="118" fillId="0" borderId="0" xfId="4495" applyFont="1"/>
    <xf numFmtId="10" fontId="118" fillId="0" borderId="0" xfId="4495" applyNumberFormat="1" applyFont="1"/>
    <xf numFmtId="172" fontId="12" fillId="0" borderId="0" xfId="4495" applyNumberFormat="1" applyFont="1"/>
    <xf numFmtId="0" fontId="35" fillId="0" borderId="0" xfId="0" applyFont="1" applyAlignment="1">
      <alignment horizontal="center"/>
    </xf>
    <xf numFmtId="0" fontId="31" fillId="0" borderId="0" xfId="0" applyFont="1" applyAlignment="1">
      <alignment horizontal="left"/>
    </xf>
    <xf numFmtId="0" fontId="0" fillId="0" borderId="10" xfId="0" applyBorder="1" applyAlignment="1">
      <alignment horizontal="left"/>
    </xf>
    <xf numFmtId="1" fontId="12" fillId="0" borderId="0" xfId="1192" applyNumberFormat="1" applyAlignment="1">
      <alignment horizontal="center"/>
    </xf>
    <xf numFmtId="0" fontId="116" fillId="0" borderId="64" xfId="4495" applyBorder="1"/>
    <xf numFmtId="0" fontId="49" fillId="0" borderId="0" xfId="271" applyFont="1" applyAlignment="1">
      <alignment vertical="top"/>
    </xf>
    <xf numFmtId="0" fontId="19" fillId="0" borderId="11" xfId="0" applyFont="1" applyBorder="1" applyAlignment="1">
      <alignment horizontal="right" vertical="top" wrapText="1"/>
    </xf>
    <xf numFmtId="0" fontId="21" fillId="0" borderId="11" xfId="271" applyBorder="1" applyAlignment="1" applyProtection="1">
      <alignment horizontal="right" vertical="top" wrapText="1"/>
      <protection locked="0"/>
    </xf>
    <xf numFmtId="0" fontId="12" fillId="0" borderId="54" xfId="4495" applyFont="1" applyBorder="1" applyAlignment="1">
      <alignment vertical="top"/>
    </xf>
    <xf numFmtId="9" fontId="21" fillId="0" borderId="0" xfId="0" applyNumberFormat="1" applyFont="1"/>
    <xf numFmtId="0" fontId="12" fillId="0" borderId="16" xfId="569" applyBorder="1" applyAlignment="1">
      <alignment horizontal="center"/>
    </xf>
    <xf numFmtId="164" fontId="12" fillId="0" borderId="57" xfId="4495" applyNumberFormat="1" applyFont="1" applyBorder="1" applyAlignment="1">
      <alignment vertical="top" wrapText="1"/>
    </xf>
    <xf numFmtId="164" fontId="12" fillId="0" borderId="58" xfId="4495" applyNumberFormat="1" applyFont="1" applyBorder="1" applyAlignment="1">
      <alignment vertical="top" wrapText="1"/>
    </xf>
    <xf numFmtId="164" fontId="12" fillId="0" borderId="59" xfId="4495" applyNumberFormat="1" applyFont="1" applyBorder="1" applyAlignment="1">
      <alignment vertical="top" wrapText="1"/>
    </xf>
    <xf numFmtId="43" fontId="19" fillId="0" borderId="0" xfId="4504" applyFont="1" applyProtection="1"/>
    <xf numFmtId="0" fontId="19" fillId="0" borderId="0" xfId="569" applyFont="1" applyAlignment="1">
      <alignment vertical="center"/>
    </xf>
    <xf numFmtId="49" fontId="19" fillId="0" borderId="0" xfId="569" applyNumberFormat="1" applyFont="1"/>
    <xf numFmtId="4" fontId="19" fillId="0" borderId="0" xfId="569" applyNumberFormat="1" applyFont="1"/>
    <xf numFmtId="0" fontId="19" fillId="0" borderId="0" xfId="1192" applyFont="1" applyAlignment="1">
      <alignment horizontal="left" vertical="top" wrapText="1"/>
    </xf>
    <xf numFmtId="0" fontId="19" fillId="0" borderId="0" xfId="569" quotePrefix="1" applyFont="1"/>
    <xf numFmtId="0" fontId="12" fillId="0" borderId="16" xfId="569" applyBorder="1"/>
    <xf numFmtId="0" fontId="19" fillId="0" borderId="16" xfId="569" applyFont="1" applyBorder="1"/>
    <xf numFmtId="0" fontId="12" fillId="0" borderId="4" xfId="569" applyBorder="1"/>
    <xf numFmtId="0" fontId="19" fillId="0" borderId="4" xfId="569" applyFont="1" applyBorder="1"/>
    <xf numFmtId="49" fontId="12" fillId="0" borderId="4" xfId="569" applyNumberFormat="1" applyBorder="1"/>
    <xf numFmtId="49" fontId="19" fillId="0" borderId="4" xfId="569" applyNumberFormat="1" applyFont="1" applyBorder="1"/>
    <xf numFmtId="0" fontId="159" fillId="0" borderId="0" xfId="0" applyFont="1"/>
    <xf numFmtId="0" fontId="12" fillId="0" borderId="0" xfId="0" applyFont="1" applyAlignment="1">
      <alignment horizontal="right"/>
    </xf>
    <xf numFmtId="1" fontId="12" fillId="0" borderId="0" xfId="0" applyNumberFormat="1" applyFont="1" applyAlignment="1">
      <alignment horizontal="center"/>
    </xf>
    <xf numFmtId="0" fontId="19" fillId="0" borderId="0" xfId="0" applyFont="1" applyAlignment="1">
      <alignment horizontal="left" vertical="center"/>
    </xf>
    <xf numFmtId="0" fontId="12" fillId="0" borderId="0" xfId="0" applyFont="1" applyAlignment="1">
      <alignment horizontal="left" vertical="center"/>
    </xf>
    <xf numFmtId="0" fontId="19" fillId="0" borderId="0" xfId="569" applyFont="1" applyAlignment="1">
      <alignment vertical="top"/>
    </xf>
    <xf numFmtId="0" fontId="13" fillId="0" borderId="0" xfId="244" applyAlignment="1"/>
    <xf numFmtId="0" fontId="19" fillId="0" borderId="0" xfId="0" applyFont="1" applyAlignment="1">
      <alignment vertical="top" wrapText="1"/>
    </xf>
    <xf numFmtId="49" fontId="19" fillId="0" borderId="0" xfId="0" applyNumberFormat="1" applyFont="1"/>
    <xf numFmtId="49" fontId="19" fillId="0" borderId="0" xfId="0" applyNumberFormat="1" applyFont="1" applyAlignment="1">
      <alignment vertical="top"/>
    </xf>
    <xf numFmtId="0" fontId="35" fillId="0" borderId="11" xfId="0" applyFont="1" applyBorder="1"/>
    <xf numFmtId="175" fontId="12" fillId="0" borderId="0" xfId="543" applyNumberFormat="1" applyAlignment="1">
      <alignment vertical="center"/>
    </xf>
    <xf numFmtId="0" fontId="94" fillId="43" borderId="6" xfId="4496" applyFont="1" applyFill="1" applyBorder="1" applyAlignment="1" applyProtection="1">
      <alignment horizontal="center"/>
      <protection locked="0"/>
    </xf>
    <xf numFmtId="0" fontId="94" fillId="0" borderId="0" xfId="4496" applyFont="1"/>
    <xf numFmtId="0" fontId="94" fillId="0" borderId="0" xfId="4496" applyFont="1" applyAlignment="1">
      <alignment wrapText="1"/>
    </xf>
    <xf numFmtId="0" fontId="133" fillId="0" borderId="0" xfId="4496" applyFont="1"/>
    <xf numFmtId="181" fontId="134" fillId="0" borderId="0" xfId="4498" applyNumberFormat="1" applyFont="1" applyBorder="1" applyProtection="1"/>
    <xf numFmtId="0" fontId="135" fillId="0" borderId="0" xfId="4496" applyFont="1" applyAlignment="1">
      <alignment vertical="center" wrapText="1"/>
    </xf>
    <xf numFmtId="49" fontId="94" fillId="0" borderId="0" xfId="4496" applyNumberFormat="1" applyFont="1" applyAlignment="1">
      <alignment horizontal="center"/>
    </xf>
    <xf numFmtId="182" fontId="94" fillId="0" borderId="6" xfId="4496" applyNumberFormat="1" applyFont="1" applyBorder="1"/>
    <xf numFmtId="0" fontId="94" fillId="0" borderId="0" xfId="4496" applyFont="1" applyAlignment="1">
      <alignment vertical="center"/>
    </xf>
    <xf numFmtId="182" fontId="94" fillId="0" borderId="0" xfId="4496" applyNumberFormat="1" applyFont="1" applyAlignment="1">
      <alignment vertical="center"/>
    </xf>
    <xf numFmtId="175" fontId="94" fillId="0" borderId="0" xfId="4499" applyNumberFormat="1" applyFont="1" applyFill="1" applyBorder="1" applyAlignment="1" applyProtection="1">
      <alignment horizontal="left" vertical="center"/>
    </xf>
    <xf numFmtId="9" fontId="94" fillId="0" borderId="0" xfId="4499" applyFont="1" applyFill="1" applyBorder="1" applyAlignment="1" applyProtection="1">
      <alignment vertical="center"/>
    </xf>
    <xf numFmtId="183" fontId="94" fillId="0" borderId="0" xfId="4496" applyNumberFormat="1" applyFont="1" applyAlignment="1">
      <alignment vertical="center" wrapText="1"/>
    </xf>
    <xf numFmtId="9" fontId="94" fillId="0" borderId="0" xfId="4499" applyFont="1" applyBorder="1" applyAlignment="1" applyProtection="1">
      <alignment vertical="center"/>
    </xf>
    <xf numFmtId="164" fontId="94" fillId="0" borderId="0" xfId="4496" applyNumberFormat="1" applyFont="1" applyAlignment="1">
      <alignment vertical="center" wrapText="1"/>
    </xf>
    <xf numFmtId="0" fontId="94" fillId="0" borderId="0" xfId="4496" applyFont="1" applyAlignment="1">
      <alignment horizontal="center" vertical="center"/>
    </xf>
    <xf numFmtId="182" fontId="94" fillId="0" borderId="11" xfId="8722" applyNumberFormat="1" applyFont="1" applyBorder="1" applyProtection="1"/>
    <xf numFmtId="182" fontId="94" fillId="0" borderId="11" xfId="4496" applyNumberFormat="1" applyFont="1" applyBorder="1"/>
    <xf numFmtId="164" fontId="94" fillId="0" borderId="0" xfId="4496" applyNumberFormat="1" applyFont="1" applyAlignment="1">
      <alignment wrapText="1"/>
    </xf>
    <xf numFmtId="49" fontId="94" fillId="0" borderId="0" xfId="4496" applyNumberFormat="1" applyFont="1" applyAlignment="1">
      <alignment horizontal="left"/>
    </xf>
    <xf numFmtId="0" fontId="136" fillId="0" borderId="0" xfId="4496" applyFont="1"/>
    <xf numFmtId="9" fontId="94" fillId="0" borderId="11" xfId="4494" applyFont="1" applyFill="1" applyBorder="1" applyAlignment="1" applyProtection="1">
      <alignment horizontal="right"/>
    </xf>
    <xf numFmtId="182" fontId="94" fillId="0" borderId="11" xfId="4496" applyNumberFormat="1" applyFont="1" applyBorder="1" applyAlignment="1">
      <alignment horizontal="left"/>
    </xf>
    <xf numFmtId="1" fontId="94" fillId="0" borderId="0" xfId="4496" applyNumberFormat="1" applyFont="1"/>
    <xf numFmtId="2" fontId="94" fillId="0" borderId="0" xfId="4496" applyNumberFormat="1" applyFont="1" applyAlignment="1">
      <alignment horizontal="center"/>
    </xf>
    <xf numFmtId="2" fontId="94" fillId="0" borderId="0" xfId="4496" applyNumberFormat="1" applyFont="1"/>
    <xf numFmtId="0" fontId="133" fillId="45" borderId="3" xfId="4496" applyFont="1" applyFill="1" applyBorder="1" applyAlignment="1">
      <alignment horizontal="left" indent="1"/>
    </xf>
    <xf numFmtId="0" fontId="94" fillId="45" borderId="4" xfId="4496" applyFont="1" applyFill="1" applyBorder="1"/>
    <xf numFmtId="2" fontId="94" fillId="45" borderId="5" xfId="4496" applyNumberFormat="1" applyFont="1" applyFill="1" applyBorder="1"/>
    <xf numFmtId="181" fontId="94" fillId="0" borderId="0" xfId="4496" applyNumberFormat="1" applyFont="1"/>
    <xf numFmtId="165" fontId="134" fillId="0" borderId="0" xfId="4499" applyNumberFormat="1" applyFont="1" applyFill="1" applyBorder="1" applyProtection="1"/>
    <xf numFmtId="9" fontId="94" fillId="0" borderId="0" xfId="4494" applyFont="1" applyFill="1" applyProtection="1"/>
    <xf numFmtId="0" fontId="94" fillId="0" borderId="11" xfId="4496" applyFont="1" applyBorder="1" applyAlignment="1">
      <alignment horizontal="center"/>
    </xf>
    <xf numFmtId="2" fontId="94" fillId="0" borderId="11" xfId="4496" applyNumberFormat="1" applyFont="1" applyBorder="1" applyAlignment="1">
      <alignment horizontal="center"/>
    </xf>
    <xf numFmtId="0" fontId="94" fillId="0" borderId="0" xfId="4496" applyFont="1" applyAlignment="1">
      <alignment vertical="top" wrapText="1"/>
    </xf>
    <xf numFmtId="0" fontId="94" fillId="0" borderId="11" xfId="4496" applyFont="1" applyBorder="1" applyAlignment="1">
      <alignment horizontal="center" vertical="top" wrapText="1"/>
    </xf>
    <xf numFmtId="182" fontId="94" fillId="0" borderId="0" xfId="8722" applyNumberFormat="1" applyFont="1" applyBorder="1" applyProtection="1"/>
    <xf numFmtId="0" fontId="94" fillId="0" borderId="0" xfId="4496" applyFont="1" applyAlignment="1">
      <alignment horizontal="left" indent="1"/>
    </xf>
    <xf numFmtId="182" fontId="94" fillId="0" borderId="0" xfId="4496" applyNumberFormat="1" applyFont="1"/>
    <xf numFmtId="184" fontId="94" fillId="0" borderId="0" xfId="4496" applyNumberFormat="1" applyFont="1"/>
    <xf numFmtId="0" fontId="94" fillId="0" borderId="0" xfId="4496" applyFont="1" applyAlignment="1">
      <alignment horizontal="left"/>
    </xf>
    <xf numFmtId="0" fontId="94" fillId="0" borderId="0" xfId="4496" applyFont="1" applyAlignment="1">
      <alignment horizontal="center"/>
    </xf>
    <xf numFmtId="9" fontId="94" fillId="0" borderId="0" xfId="4494" applyFont="1" applyFill="1" applyBorder="1" applyProtection="1"/>
    <xf numFmtId="3" fontId="17" fillId="0" borderId="11" xfId="271" applyNumberFormat="1" applyFont="1" applyBorder="1" applyAlignment="1">
      <alignment horizontal="center"/>
    </xf>
    <xf numFmtId="3" fontId="17" fillId="43" borderId="11" xfId="271" applyNumberFormat="1" applyFont="1" applyFill="1" applyBorder="1" applyAlignment="1" applyProtection="1">
      <alignment horizontal="center"/>
      <protection locked="0"/>
    </xf>
    <xf numFmtId="3" fontId="17" fillId="43" borderId="11" xfId="271" applyNumberFormat="1" applyFont="1" applyFill="1" applyBorder="1" applyProtection="1">
      <protection locked="0"/>
    </xf>
    <xf numFmtId="0" fontId="94" fillId="0" borderId="0" xfId="4496" applyFont="1" applyAlignment="1">
      <alignment horizontal="right"/>
    </xf>
    <xf numFmtId="168" fontId="21" fillId="0" borderId="0" xfId="0" applyNumberFormat="1" applyFont="1"/>
    <xf numFmtId="0" fontId="94" fillId="0" borderId="15" xfId="4496" applyFont="1" applyBorder="1" applyAlignment="1">
      <alignment horizontal="center" vertical="top" wrapText="1"/>
    </xf>
    <xf numFmtId="2" fontId="94" fillId="0" borderId="15" xfId="4496" applyNumberFormat="1" applyFont="1" applyBorder="1" applyAlignment="1">
      <alignment horizontal="center"/>
    </xf>
    <xf numFmtId="0" fontId="94" fillId="0" borderId="15" xfId="4496" applyFont="1" applyBorder="1" applyAlignment="1">
      <alignment horizontal="center"/>
    </xf>
    <xf numFmtId="0" fontId="133" fillId="0" borderId="72" xfId="4496" applyFont="1" applyBorder="1" applyAlignment="1">
      <alignment horizontal="center" vertical="top" wrapText="1"/>
    </xf>
    <xf numFmtId="0" fontId="133" fillId="0" borderId="72" xfId="4496" applyFont="1" applyBorder="1" applyAlignment="1">
      <alignment horizontal="center"/>
    </xf>
    <xf numFmtId="0" fontId="164" fillId="0" borderId="0" xfId="4496" applyFont="1" applyAlignment="1">
      <alignment horizontal="right" vertical="center"/>
    </xf>
    <xf numFmtId="175" fontId="94" fillId="0" borderId="0" xfId="4499" applyNumberFormat="1" applyFont="1" applyFill="1" applyBorder="1" applyAlignment="1" applyProtection="1">
      <alignment horizontal="right" vertical="center"/>
    </xf>
    <xf numFmtId="5" fontId="94" fillId="0" borderId="6" xfId="4496" applyNumberFormat="1" applyFont="1" applyBorder="1" applyAlignment="1">
      <alignment vertical="center"/>
    </xf>
    <xf numFmtId="0" fontId="94" fillId="0" borderId="67" xfId="4496" applyFont="1" applyBorder="1" applyAlignment="1">
      <alignment vertical="center"/>
    </xf>
    <xf numFmtId="0" fontId="94" fillId="0" borderId="41" xfId="4496" applyFont="1" applyBorder="1" applyAlignment="1">
      <alignment vertical="center"/>
    </xf>
    <xf numFmtId="182" fontId="94" fillId="0" borderId="87" xfId="4496" applyNumberFormat="1" applyFont="1" applyBorder="1" applyAlignment="1">
      <alignment vertical="center"/>
    </xf>
    <xf numFmtId="175" fontId="94" fillId="0" borderId="42" xfId="4499" applyNumberFormat="1" applyFont="1" applyFill="1" applyBorder="1" applyAlignment="1" applyProtection="1">
      <alignment horizontal="left" vertical="center"/>
    </xf>
    <xf numFmtId="0" fontId="94" fillId="0" borderId="42" xfId="4496" applyFont="1" applyBorder="1" applyAlignment="1">
      <alignment vertical="center"/>
    </xf>
    <xf numFmtId="0" fontId="94" fillId="0" borderId="44" xfId="4496" applyFont="1" applyBorder="1" applyAlignment="1">
      <alignment vertical="center"/>
    </xf>
    <xf numFmtId="49" fontId="94" fillId="0" borderId="0" xfId="4496" applyNumberFormat="1" applyFont="1" applyAlignment="1">
      <alignment horizontal="center" vertical="center"/>
    </xf>
    <xf numFmtId="0" fontId="94" fillId="0" borderId="66" xfId="4496" applyFont="1" applyBorder="1" applyAlignment="1">
      <alignment vertical="center"/>
    </xf>
    <xf numFmtId="0" fontId="94" fillId="0" borderId="29" xfId="4496" applyFont="1" applyBorder="1" applyAlignment="1">
      <alignment vertical="center"/>
    </xf>
    <xf numFmtId="0" fontId="94" fillId="0" borderId="29" xfId="4496" applyFont="1" applyBorder="1" applyAlignment="1">
      <alignment horizontal="right" vertical="center"/>
    </xf>
    <xf numFmtId="5" fontId="94" fillId="0" borderId="29" xfId="4496" applyNumberFormat="1" applyFont="1" applyBorder="1" applyAlignment="1">
      <alignment vertical="center"/>
    </xf>
    <xf numFmtId="0" fontId="94" fillId="0" borderId="31" xfId="4496" applyFont="1" applyBorder="1" applyAlignment="1">
      <alignment vertical="center"/>
    </xf>
    <xf numFmtId="175" fontId="133" fillId="0" borderId="42" xfId="4494" applyNumberFormat="1" applyFont="1" applyFill="1" applyBorder="1" applyAlignment="1" applyProtection="1">
      <alignment horizontal="center" vertical="center"/>
    </xf>
    <xf numFmtId="0" fontId="133" fillId="0" borderId="29" xfId="4496" applyFont="1" applyBorder="1" applyAlignment="1">
      <alignment vertical="center"/>
    </xf>
    <xf numFmtId="0" fontId="133" fillId="0" borderId="0" xfId="4496" applyFont="1" applyAlignment="1">
      <alignment vertical="center"/>
    </xf>
    <xf numFmtId="0" fontId="133" fillId="0" borderId="42" xfId="4496" applyFont="1" applyBorder="1" applyAlignment="1">
      <alignment vertical="center"/>
    </xf>
    <xf numFmtId="9" fontId="133" fillId="0" borderId="42" xfId="4499" applyFont="1" applyFill="1" applyBorder="1" applyAlignment="1" applyProtection="1">
      <alignment vertical="center"/>
    </xf>
    <xf numFmtId="182" fontId="94" fillId="0" borderId="15" xfId="4496" applyNumberFormat="1" applyFont="1" applyBorder="1"/>
    <xf numFmtId="182" fontId="133" fillId="0" borderId="72" xfId="8722" applyNumberFormat="1" applyFont="1" applyBorder="1" applyProtection="1"/>
    <xf numFmtId="9" fontId="94" fillId="0" borderId="15" xfId="4494" applyFont="1" applyFill="1" applyBorder="1" applyAlignment="1" applyProtection="1">
      <alignment horizontal="right"/>
    </xf>
    <xf numFmtId="182" fontId="133" fillId="0" borderId="72" xfId="4496" applyNumberFormat="1" applyFont="1" applyBorder="1"/>
    <xf numFmtId="0" fontId="164" fillId="0" borderId="0" xfId="4496" applyFont="1" applyAlignment="1">
      <alignment horizontal="right"/>
    </xf>
    <xf numFmtId="0" fontId="94" fillId="0" borderId="0" xfId="4496" applyFont="1" applyAlignment="1">
      <alignment horizontal="right" vertical="top" wrapText="1" indent="1"/>
    </xf>
    <xf numFmtId="182" fontId="94" fillId="0" borderId="6" xfId="8722" applyNumberFormat="1" applyFont="1" applyBorder="1" applyAlignment="1" applyProtection="1">
      <alignment horizontal="center"/>
    </xf>
    <xf numFmtId="0" fontId="94" fillId="0" borderId="0" xfId="4496" applyFont="1" applyAlignment="1">
      <alignment horizontal="right" indent="1"/>
    </xf>
    <xf numFmtId="0" fontId="94" fillId="0" borderId="0" xfId="4496" applyFont="1" applyAlignment="1">
      <alignment horizontal="right" vertical="top"/>
    </xf>
    <xf numFmtId="0" fontId="133" fillId="0" borderId="0" xfId="4496" applyFont="1" applyAlignment="1">
      <alignment horizontal="right"/>
    </xf>
    <xf numFmtId="182" fontId="133" fillId="0" borderId="0" xfId="8722" applyNumberFormat="1" applyFont="1" applyBorder="1" applyAlignment="1" applyProtection="1">
      <alignment horizontal="center"/>
    </xf>
    <xf numFmtId="10" fontId="94" fillId="0" borderId="0" xfId="4494" applyNumberFormat="1" applyFont="1" applyBorder="1" applyAlignment="1" applyProtection="1">
      <alignment horizontal="center"/>
    </xf>
    <xf numFmtId="184" fontId="94" fillId="0" borderId="6" xfId="4496" applyNumberFormat="1" applyFont="1" applyBorder="1"/>
    <xf numFmtId="0" fontId="133" fillId="0" borderId="0" xfId="4496" applyFont="1" applyAlignment="1">
      <alignment horizontal="right" vertical="top"/>
    </xf>
    <xf numFmtId="182" fontId="133" fillId="0" borderId="0" xfId="4496" applyNumberFormat="1" applyFont="1"/>
    <xf numFmtId="182" fontId="94" fillId="0" borderId="6" xfId="8722" applyNumberFormat="1" applyFont="1" applyBorder="1" applyProtection="1"/>
    <xf numFmtId="184" fontId="94" fillId="0" borderId="0" xfId="4496" applyNumberFormat="1" applyFont="1" applyAlignment="1">
      <alignment horizontal="center"/>
    </xf>
    <xf numFmtId="0" fontId="94" fillId="0" borderId="6" xfId="4496" applyFont="1" applyBorder="1" applyAlignment="1">
      <alignment horizontal="right" vertical="top" wrapText="1" indent="1"/>
    </xf>
    <xf numFmtId="0" fontId="94" fillId="0" borderId="71" xfId="4496" applyFont="1" applyBorder="1" applyAlignment="1">
      <alignment horizontal="right" indent="1"/>
    </xf>
    <xf numFmtId="0" fontId="94" fillId="0" borderId="81" xfId="4496" applyFont="1" applyBorder="1" applyAlignment="1">
      <alignment horizontal="right" indent="1"/>
    </xf>
    <xf numFmtId="0" fontId="94" fillId="0" borderId="81" xfId="4496" quotePrefix="1" applyFont="1" applyBorder="1" applyAlignment="1">
      <alignment horizontal="right" indent="1"/>
    </xf>
    <xf numFmtId="0" fontId="94" fillId="0" borderId="73" xfId="4496" applyFont="1" applyBorder="1" applyAlignment="1">
      <alignment horizontal="right" indent="1"/>
    </xf>
    <xf numFmtId="182" fontId="94" fillId="0" borderId="75" xfId="4496" applyNumberFormat="1" applyFont="1" applyBorder="1"/>
    <xf numFmtId="182" fontId="94" fillId="0" borderId="92" xfId="4496" applyNumberFormat="1" applyFont="1" applyBorder="1"/>
    <xf numFmtId="182" fontId="94" fillId="0" borderId="94" xfId="4496" applyNumberFormat="1" applyFont="1" applyBorder="1"/>
    <xf numFmtId="175" fontId="19" fillId="0" borderId="0" xfId="543" applyNumberFormat="1" applyFont="1" applyAlignment="1">
      <alignment vertical="center"/>
    </xf>
    <xf numFmtId="10" fontId="133" fillId="0" borderId="0" xfId="4494" applyNumberFormat="1" applyFont="1" applyProtection="1"/>
    <xf numFmtId="0" fontId="19" fillId="0" borderId="0" xfId="1192" applyFont="1" applyAlignment="1">
      <alignment horizontal="left" indent="1"/>
    </xf>
    <xf numFmtId="168" fontId="94" fillId="0" borderId="11" xfId="4499" applyNumberFormat="1" applyFont="1" applyFill="1" applyBorder="1" applyAlignment="1" applyProtection="1">
      <alignment horizontal="left" vertical="center" indent="1"/>
    </xf>
    <xf numFmtId="168" fontId="133" fillId="0" borderId="72" xfId="4499" applyNumberFormat="1" applyFont="1" applyFill="1" applyBorder="1" applyAlignment="1" applyProtection="1">
      <alignment horizontal="left" vertical="center" indent="1"/>
    </xf>
    <xf numFmtId="182" fontId="94" fillId="0" borderId="13" xfId="4496" applyNumberFormat="1" applyFont="1" applyBorder="1"/>
    <xf numFmtId="182" fontId="94" fillId="0" borderId="74" xfId="4496" applyNumberFormat="1" applyFont="1" applyBorder="1"/>
    <xf numFmtId="0" fontId="133" fillId="0" borderId="4" xfId="4496" applyFont="1" applyBorder="1" applyAlignment="1">
      <alignment horizontal="left" indent="1"/>
    </xf>
    <xf numFmtId="0" fontId="94" fillId="0" borderId="4" xfId="4496" applyFont="1" applyBorder="1"/>
    <xf numFmtId="0" fontId="30" fillId="0" borderId="0" xfId="4495" applyFont="1" applyAlignment="1">
      <alignment vertical="center"/>
    </xf>
    <xf numFmtId="0" fontId="118" fillId="0" borderId="0" xfId="4496" applyFont="1" applyAlignment="1">
      <alignment vertical="center" wrapText="1"/>
    </xf>
    <xf numFmtId="0" fontId="17" fillId="43" borderId="0" xfId="1192" applyFont="1" applyFill="1"/>
    <xf numFmtId="3" fontId="64" fillId="43" borderId="6" xfId="1192" applyNumberFormat="1" applyFont="1" applyFill="1" applyBorder="1"/>
    <xf numFmtId="0" fontId="166" fillId="0" borderId="0" xfId="0" applyFont="1"/>
    <xf numFmtId="0" fontId="17"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49" fillId="5" borderId="11" xfId="0" applyFont="1" applyFill="1" applyBorder="1" applyAlignment="1" applyProtection="1">
      <alignment horizontal="right" vertical="top" wrapText="1"/>
      <protection locked="0"/>
    </xf>
    <xf numFmtId="0" fontId="12" fillId="43" borderId="3" xfId="569" applyFill="1" applyBorder="1"/>
    <xf numFmtId="0" fontId="1" fillId="0" borderId="0" xfId="8723"/>
    <xf numFmtId="0" fontId="99" fillId="0" borderId="0" xfId="8723" applyFont="1"/>
    <xf numFmtId="0" fontId="1" fillId="48" borderId="67" xfId="8723" applyFill="1" applyBorder="1"/>
    <xf numFmtId="0" fontId="1" fillId="48" borderId="0" xfId="8723" applyFill="1"/>
    <xf numFmtId="0" fontId="98" fillId="48" borderId="41" xfId="8723" applyFont="1" applyFill="1" applyBorder="1" applyAlignment="1">
      <alignment horizontal="center"/>
    </xf>
    <xf numFmtId="0" fontId="98" fillId="48" borderId="0" xfId="8723" applyFont="1" applyFill="1"/>
    <xf numFmtId="182" fontId="162" fillId="48" borderId="0" xfId="8724" applyNumberFormat="1" applyFont="1" applyFill="1" applyBorder="1" applyAlignment="1"/>
    <xf numFmtId="182" fontId="99" fillId="48" borderId="0" xfId="8724" applyNumberFormat="1" applyFont="1" applyFill="1" applyBorder="1" applyAlignment="1"/>
    <xf numFmtId="182" fontId="144" fillId="48" borderId="0" xfId="8724" applyNumberFormat="1" applyFont="1" applyFill="1" applyBorder="1" applyAlignment="1"/>
    <xf numFmtId="0" fontId="1" fillId="48" borderId="41" xfId="8723" applyFill="1" applyBorder="1"/>
    <xf numFmtId="0" fontId="99" fillId="48" borderId="0" xfId="8723" applyFont="1" applyFill="1"/>
    <xf numFmtId="0" fontId="148" fillId="48" borderId="0" xfId="8723" applyFont="1" applyFill="1"/>
    <xf numFmtId="0" fontId="98" fillId="48" borderId="41" xfId="8723" applyFont="1" applyFill="1" applyBorder="1"/>
    <xf numFmtId="0" fontId="98" fillId="0" borderId="0" xfId="8723" applyFont="1"/>
    <xf numFmtId="0" fontId="98" fillId="50" borderId="102" xfId="8723" applyFont="1" applyFill="1" applyBorder="1"/>
    <xf numFmtId="0" fontId="1" fillId="51" borderId="103" xfId="8723" applyFill="1" applyBorder="1"/>
    <xf numFmtId="0" fontId="1" fillId="52" borderId="103" xfId="8723" applyFill="1" applyBorder="1"/>
    <xf numFmtId="0" fontId="98" fillId="44" borderId="0" xfId="8723" applyFont="1" applyFill="1"/>
    <xf numFmtId="0" fontId="1" fillId="44" borderId="0" xfId="8723" applyFill="1"/>
    <xf numFmtId="0" fontId="150" fillId="48" borderId="0" xfId="8723" applyFont="1" applyFill="1"/>
    <xf numFmtId="0" fontId="1" fillId="48" borderId="0" xfId="8723" applyFill="1" applyAlignment="1">
      <alignment horizontal="left"/>
    </xf>
    <xf numFmtId="0" fontId="160" fillId="47" borderId="11" xfId="8723" applyFont="1" applyFill="1" applyBorder="1"/>
    <xf numFmtId="0" fontId="160" fillId="47" borderId="92" xfId="8723" applyFont="1" applyFill="1" applyBorder="1"/>
    <xf numFmtId="0" fontId="146" fillId="45" borderId="76" xfId="8723" applyFont="1" applyFill="1" applyBorder="1" applyAlignment="1">
      <alignment horizontal="left"/>
    </xf>
    <xf numFmtId="0" fontId="146" fillId="45" borderId="77" xfId="8723" applyFont="1" applyFill="1" applyBorder="1" applyAlignment="1">
      <alignment horizontal="center"/>
    </xf>
    <xf numFmtId="0" fontId="146" fillId="45" borderId="90" xfId="8723" applyFont="1" applyFill="1" applyBorder="1" applyAlignment="1">
      <alignment horizontal="center"/>
    </xf>
    <xf numFmtId="168" fontId="156" fillId="49" borderId="91" xfId="8724" applyNumberFormat="1" applyFont="1" applyFill="1" applyBorder="1" applyAlignment="1" applyProtection="1">
      <alignment horizontal="left"/>
      <protection locked="0"/>
    </xf>
    <xf numFmtId="168" fontId="156" fillId="49" borderId="77" xfId="8724" applyNumberFormat="1" applyFont="1" applyFill="1" applyBorder="1" applyAlignment="1" applyProtection="1">
      <alignment horizontal="left"/>
      <protection locked="0"/>
    </xf>
    <xf numFmtId="168" fontId="156" fillId="49" borderId="78" xfId="8724" applyNumberFormat="1" applyFont="1" applyFill="1" applyBorder="1" applyAlignment="1" applyProtection="1">
      <alignment horizontal="left"/>
      <protection locked="0"/>
    </xf>
    <xf numFmtId="0" fontId="146" fillId="45" borderId="93" xfId="8723" applyFont="1" applyFill="1" applyBorder="1" applyAlignment="1">
      <alignment horizontal="left"/>
    </xf>
    <xf numFmtId="0" fontId="146" fillId="45" borderId="4" xfId="8723" applyFont="1" applyFill="1" applyBorder="1" applyAlignment="1">
      <alignment horizontal="center"/>
    </xf>
    <xf numFmtId="0" fontId="146" fillId="45" borderId="5" xfId="8723" applyFont="1" applyFill="1" applyBorder="1" applyAlignment="1">
      <alignment horizontal="center"/>
    </xf>
    <xf numFmtId="168" fontId="156" fillId="49" borderId="3" xfId="8724" applyNumberFormat="1" applyFont="1" applyFill="1" applyBorder="1" applyAlignment="1" applyProtection="1">
      <alignment horizontal="left"/>
      <protection locked="0"/>
    </xf>
    <xf numFmtId="168" fontId="156" fillId="49" borderId="4" xfId="8724" applyNumberFormat="1" applyFont="1" applyFill="1" applyBorder="1" applyAlignment="1" applyProtection="1">
      <alignment horizontal="left"/>
      <protection locked="0"/>
    </xf>
    <xf numFmtId="168" fontId="156" fillId="49" borderId="80" xfId="8724" applyNumberFormat="1" applyFont="1" applyFill="1" applyBorder="1" applyAlignment="1" applyProtection="1">
      <alignment horizontal="left"/>
      <protection locked="0"/>
    </xf>
    <xf numFmtId="0" fontId="146" fillId="47" borderId="11" xfId="8723" applyFont="1" applyFill="1" applyBorder="1" applyAlignment="1">
      <alignment horizontal="center"/>
    </xf>
    <xf numFmtId="0" fontId="146" fillId="47" borderId="92" xfId="8723" applyFont="1" applyFill="1" applyBorder="1" applyAlignment="1">
      <alignment horizontal="center"/>
    </xf>
    <xf numFmtId="0" fontId="146" fillId="47" borderId="93" xfId="8723" applyFont="1" applyFill="1" applyBorder="1" applyAlignment="1">
      <alignment horizontal="center"/>
    </xf>
    <xf numFmtId="0" fontId="146" fillId="47" borderId="4" xfId="8723" applyFont="1" applyFill="1" applyBorder="1" applyAlignment="1">
      <alignment horizontal="center"/>
    </xf>
    <xf numFmtId="0" fontId="146" fillId="47" borderId="5" xfId="8723" applyFont="1" applyFill="1" applyBorder="1" applyAlignment="1">
      <alignment horizontal="center"/>
    </xf>
    <xf numFmtId="168" fontId="145" fillId="47" borderId="3" xfId="8724" applyNumberFormat="1" applyFont="1" applyFill="1" applyBorder="1" applyAlignment="1">
      <alignment horizontal="left"/>
    </xf>
    <xf numFmtId="168" fontId="145" fillId="47" borderId="4" xfId="8724" applyNumberFormat="1" applyFont="1" applyFill="1" applyBorder="1" applyAlignment="1">
      <alignment horizontal="left"/>
    </xf>
    <xf numFmtId="168" fontId="145" fillId="47" borderId="80" xfId="8724" applyNumberFormat="1" applyFont="1" applyFill="1" applyBorder="1" applyAlignment="1">
      <alignment horizontal="left"/>
    </xf>
    <xf numFmtId="0" fontId="161" fillId="48" borderId="0" xfId="8723" applyFont="1" applyFill="1"/>
    <xf numFmtId="0" fontId="98" fillId="48" borderId="67" xfId="8723" applyFont="1" applyFill="1" applyBorder="1"/>
    <xf numFmtId="49" fontId="98" fillId="48" borderId="67" xfId="8723" applyNumberFormat="1" applyFont="1" applyFill="1" applyBorder="1" applyAlignment="1">
      <alignment horizontal="right" vertical="top"/>
    </xf>
    <xf numFmtId="0" fontId="1" fillId="48" borderId="87" xfId="8723" applyFill="1" applyBorder="1"/>
    <xf numFmtId="0" fontId="1" fillId="48" borderId="42" xfId="8723" applyFill="1" applyBorder="1"/>
    <xf numFmtId="0" fontId="1" fillId="48" borderId="44" xfId="8723" applyFill="1" applyBorder="1"/>
    <xf numFmtId="0" fontId="1" fillId="44" borderId="67" xfId="8723" applyFill="1" applyBorder="1"/>
    <xf numFmtId="0" fontId="1" fillId="44" borderId="41" xfId="8723" applyFill="1" applyBorder="1"/>
    <xf numFmtId="0" fontId="1" fillId="44" borderId="0" xfId="8723" applyFill="1" applyAlignment="1">
      <alignment horizontal="left"/>
    </xf>
    <xf numFmtId="0" fontId="1" fillId="44" borderId="87" xfId="8723" applyFill="1" applyBorder="1"/>
    <xf numFmtId="0" fontId="1" fillId="44" borderId="42" xfId="8723" applyFill="1" applyBorder="1"/>
    <xf numFmtId="0" fontId="1" fillId="44" borderId="44" xfId="8723" applyFill="1" applyBorder="1"/>
    <xf numFmtId="0" fontId="152" fillId="0" borderId="0" xfId="8723" applyFont="1"/>
    <xf numFmtId="0" fontId="18" fillId="3" borderId="0" xfId="0" applyFont="1" applyFill="1" applyAlignment="1">
      <alignment horizontal="center" vertical="center" wrapText="1"/>
    </xf>
    <xf numFmtId="0" fontId="18" fillId="3" borderId="16" xfId="0" applyFont="1" applyFill="1" applyBorder="1" applyAlignment="1">
      <alignment horizontal="center" vertical="center" wrapText="1"/>
    </xf>
    <xf numFmtId="0" fontId="12" fillId="0" borderId="0" xfId="0" applyFont="1" applyAlignment="1">
      <alignment horizontal="left" vertical="top" wrapText="1"/>
    </xf>
    <xf numFmtId="0" fontId="101" fillId="0" borderId="0" xfId="0" applyFont="1" applyAlignment="1">
      <alignment horizontal="left" vertical="top" wrapText="1"/>
    </xf>
    <xf numFmtId="0" fontId="41" fillId="0" borderId="0" xfId="0" applyFont="1" applyAlignment="1">
      <alignment horizontal="left" vertical="top" wrapText="1"/>
    </xf>
    <xf numFmtId="0" fontId="109" fillId="0" borderId="0" xfId="0" applyFont="1" applyAlignment="1">
      <alignment horizontal="left" wrapText="1"/>
    </xf>
    <xf numFmtId="0" fontId="12" fillId="0" borderId="0" xfId="0" applyFont="1" applyAlignment="1">
      <alignment horizontal="left" wrapText="1"/>
    </xf>
    <xf numFmtId="0" fontId="21" fillId="0" borderId="0" xfId="0" applyFont="1" applyAlignment="1">
      <alignment horizontal="left" wrapText="1"/>
    </xf>
    <xf numFmtId="0" fontId="13" fillId="0" borderId="0" xfId="244" applyAlignment="1" applyProtection="1">
      <alignment horizontal="left"/>
    </xf>
    <xf numFmtId="0" fontId="13" fillId="0" borderId="0" xfId="244"/>
    <xf numFmtId="0" fontId="0" fillId="0" borderId="0" xfId="0"/>
    <xf numFmtId="0" fontId="12" fillId="0" borderId="0" xfId="1192" applyAlignment="1">
      <alignment horizontal="left" vertical="top" wrapText="1"/>
    </xf>
    <xf numFmtId="0" fontId="19" fillId="0" borderId="0" xfId="0" applyFont="1" applyAlignment="1">
      <alignment horizontal="left" vertical="top" wrapText="1"/>
    </xf>
    <xf numFmtId="0" fontId="12" fillId="0" borderId="0" xfId="0" applyFont="1" applyAlignment="1">
      <alignment horizontal="left"/>
    </xf>
    <xf numFmtId="0" fontId="30" fillId="0" borderId="0" xfId="1192" applyFont="1" applyAlignment="1">
      <alignment horizontal="left"/>
    </xf>
    <xf numFmtId="0" fontId="12" fillId="0" borderId="0" xfId="1192" applyAlignment="1">
      <alignment horizontal="left"/>
    </xf>
    <xf numFmtId="4" fontId="12" fillId="0" borderId="0" xfId="1192" applyNumberFormat="1" applyAlignment="1">
      <alignment horizontal="left" vertical="top" wrapText="1"/>
    </xf>
    <xf numFmtId="0" fontId="19" fillId="0" borderId="4" xfId="569" applyFont="1" applyBorder="1" applyAlignment="1">
      <alignment horizontal="left"/>
    </xf>
    <xf numFmtId="0" fontId="30" fillId="0" borderId="0" xfId="0" applyFont="1" applyAlignment="1">
      <alignment horizontal="left"/>
    </xf>
    <xf numFmtId="0" fontId="19" fillId="0" borderId="0" xfId="271" applyFont="1" applyAlignment="1">
      <alignment horizontal="left" vertical="top" wrapText="1"/>
    </xf>
    <xf numFmtId="0" fontId="0" fillId="0" borderId="0" xfId="0" applyAlignment="1">
      <alignment horizontal="left" vertical="top" wrapText="1"/>
    </xf>
    <xf numFmtId="0" fontId="21" fillId="0" borderId="0" xfId="0" applyFont="1" applyAlignment="1">
      <alignment horizontal="left"/>
    </xf>
    <xf numFmtId="0" fontId="12" fillId="0" borderId="0" xfId="271" applyFont="1" applyAlignment="1" applyProtection="1">
      <alignment horizontal="left" vertical="top" wrapText="1"/>
      <protection locked="0"/>
    </xf>
    <xf numFmtId="0" fontId="13" fillId="0" borderId="0" xfId="244" applyAlignment="1">
      <alignment horizontal="left"/>
    </xf>
    <xf numFmtId="0" fontId="19" fillId="0" borderId="0" xfId="0" applyFont="1" applyAlignment="1">
      <alignment horizontal="left"/>
    </xf>
    <xf numFmtId="0" fontId="19" fillId="0" borderId="16" xfId="0" applyFont="1" applyBorder="1" applyAlignment="1">
      <alignment horizontal="left"/>
    </xf>
    <xf numFmtId="0" fontId="12" fillId="0" borderId="27" xfId="0" applyFont="1" applyBorder="1" applyAlignment="1">
      <alignment horizontal="left"/>
    </xf>
    <xf numFmtId="4" fontId="12" fillId="0" borderId="0" xfId="569" applyNumberFormat="1" applyAlignment="1">
      <alignment horizontal="left" vertical="top" wrapText="1"/>
    </xf>
    <xf numFmtId="0" fontId="30" fillId="0" borderId="0" xfId="569" applyFont="1" applyAlignment="1">
      <alignment horizontal="left"/>
    </xf>
    <xf numFmtId="0" fontId="12" fillId="0" borderId="0" xfId="569" applyAlignment="1">
      <alignment horizontal="left" vertical="top" wrapText="1"/>
    </xf>
    <xf numFmtId="0" fontId="12" fillId="0" borderId="0" xfId="569" applyAlignment="1">
      <alignment horizontal="left"/>
    </xf>
    <xf numFmtId="0" fontId="30" fillId="0" borderId="0" xfId="569" applyFont="1" applyAlignment="1">
      <alignment horizontal="left" vertical="top" wrapText="1"/>
    </xf>
    <xf numFmtId="0" fontId="12" fillId="0" borderId="0" xfId="569" applyAlignment="1">
      <alignment horizontal="left" vertical="top"/>
    </xf>
    <xf numFmtId="0" fontId="12" fillId="0" borderId="0" xfId="271" applyFont="1" applyAlignment="1">
      <alignment horizontal="left" vertical="top" wrapText="1"/>
    </xf>
    <xf numFmtId="0" fontId="21" fillId="0" borderId="0" xfId="0" applyFont="1" applyAlignment="1">
      <alignment horizontal="left" vertical="top"/>
    </xf>
    <xf numFmtId="0" fontId="30" fillId="0" borderId="0" xfId="0" applyFont="1" applyAlignment="1">
      <alignment horizontal="left" vertical="top" wrapText="1"/>
    </xf>
    <xf numFmtId="0" fontId="30" fillId="0" borderId="0" xfId="0" applyFont="1" applyAlignment="1">
      <alignment horizontal="center"/>
    </xf>
    <xf numFmtId="0" fontId="0" fillId="0" borderId="0" xfId="0" applyAlignment="1">
      <alignment horizontal="center"/>
    </xf>
    <xf numFmtId="0" fontId="19" fillId="0" borderId="0" xfId="0" applyFont="1" applyAlignment="1">
      <alignment horizontal="center"/>
    </xf>
    <xf numFmtId="49" fontId="12" fillId="0" borderId="0" xfId="0" applyNumberFormat="1" applyFont="1" applyAlignment="1">
      <alignment horizontal="left" vertical="top" wrapText="1"/>
    </xf>
    <xf numFmtId="49" fontId="12" fillId="0" borderId="0" xfId="1192" applyNumberFormat="1" applyAlignment="1">
      <alignment horizontal="left" vertical="top" wrapText="1"/>
    </xf>
    <xf numFmtId="4" fontId="30" fillId="0" borderId="0" xfId="0" applyNumberFormat="1" applyFont="1" applyAlignment="1">
      <alignment horizontal="left"/>
    </xf>
    <xf numFmtId="4" fontId="12" fillId="0" borderId="0" xfId="0" applyNumberFormat="1" applyFont="1" applyAlignment="1">
      <alignment horizontal="left" vertical="top" wrapText="1"/>
    </xf>
    <xf numFmtId="4" fontId="13" fillId="0" borderId="0" xfId="244" applyNumberFormat="1" applyFill="1" applyAlignment="1" applyProtection="1">
      <alignment horizontal="left"/>
    </xf>
    <xf numFmtId="0" fontId="19" fillId="0" borderId="0" xfId="569" applyFont="1" applyAlignment="1">
      <alignment horizontal="left" vertical="top"/>
    </xf>
    <xf numFmtId="0" fontId="12" fillId="0" borderId="0" xfId="0" applyFont="1" applyAlignment="1">
      <alignment horizontal="left" vertical="top"/>
    </xf>
    <xf numFmtId="0" fontId="13" fillId="0" borderId="0" xfId="244" quotePrefix="1" applyAlignment="1" applyProtection="1">
      <alignment horizontal="left"/>
    </xf>
    <xf numFmtId="0" fontId="19" fillId="0" borderId="4" xfId="0" applyFont="1" applyBorder="1" applyAlignment="1">
      <alignment horizontal="left"/>
    </xf>
    <xf numFmtId="0" fontId="19" fillId="0" borderId="4" xfId="569" applyFont="1" applyBorder="1" applyAlignment="1">
      <alignment horizontal="left" vertical="top"/>
    </xf>
    <xf numFmtId="0" fontId="30" fillId="0" borderId="0" xfId="569" applyFont="1" applyAlignment="1">
      <alignment horizontal="left" vertical="top"/>
    </xf>
    <xf numFmtId="0" fontId="30" fillId="0" borderId="0" xfId="0" applyFont="1" applyAlignment="1">
      <alignment horizontal="left" wrapText="1"/>
    </xf>
    <xf numFmtId="4" fontId="12" fillId="0" borderId="0" xfId="569" applyNumberFormat="1" applyAlignment="1">
      <alignment horizontal="left"/>
    </xf>
    <xf numFmtId="4" fontId="30" fillId="0" borderId="0" xfId="569" applyNumberFormat="1" applyFont="1" applyAlignment="1">
      <alignment horizontal="left" vertical="top" wrapText="1"/>
    </xf>
    <xf numFmtId="0" fontId="110" fillId="0" borderId="0" xfId="569" applyFont="1" applyAlignment="1">
      <alignment horizontal="center"/>
    </xf>
    <xf numFmtId="0" fontId="111" fillId="0" borderId="0" xfId="569" applyFont="1"/>
    <xf numFmtId="0" fontId="12" fillId="0" borderId="0" xfId="569" applyAlignment="1">
      <alignment wrapText="1"/>
    </xf>
    <xf numFmtId="0" fontId="19" fillId="0" borderId="0" xfId="569" applyFont="1" applyAlignment="1">
      <alignment wrapText="1"/>
    </xf>
    <xf numFmtId="0" fontId="27" fillId="0" borderId="0" xfId="569" applyFont="1" applyAlignment="1">
      <alignment horizontal="center"/>
    </xf>
    <xf numFmtId="0" fontId="12" fillId="0" borderId="0" xfId="569"/>
    <xf numFmtId="0" fontId="12" fillId="0" borderId="0" xfId="1192" applyAlignment="1">
      <alignment vertical="top" wrapText="1"/>
    </xf>
    <xf numFmtId="4" fontId="12" fillId="0" borderId="0" xfId="0" applyNumberFormat="1" applyFont="1" applyAlignment="1">
      <alignment horizontal="left"/>
    </xf>
    <xf numFmtId="0" fontId="30" fillId="0" borderId="0" xfId="0" applyFont="1" applyAlignment="1">
      <alignment horizontal="left" vertical="top"/>
    </xf>
    <xf numFmtId="0" fontId="12" fillId="0" borderId="0" xfId="0" applyFont="1" applyAlignment="1">
      <alignment horizontal="left" vertical="center" wrapText="1"/>
    </xf>
    <xf numFmtId="0" fontId="12" fillId="0" borderId="0" xfId="569" applyAlignment="1">
      <alignment horizontal="left" wrapText="1"/>
    </xf>
    <xf numFmtId="0" fontId="12" fillId="0" borderId="0" xfId="0" applyFont="1" applyAlignment="1">
      <alignment vertical="top" wrapText="1"/>
    </xf>
    <xf numFmtId="0" fontId="13" fillId="0" borderId="0" xfId="244" applyFill="1" applyBorder="1" applyAlignment="1">
      <alignment horizontal="left" vertical="top" wrapText="1"/>
    </xf>
    <xf numFmtId="0" fontId="19" fillId="0" borderId="0" xfId="0" applyFont="1" applyAlignment="1">
      <alignment vertical="top" wrapText="1"/>
    </xf>
    <xf numFmtId="0" fontId="30" fillId="0" borderId="0" xfId="1192" applyFont="1" applyAlignment="1">
      <alignment horizontal="left" vertical="top" wrapText="1"/>
    </xf>
    <xf numFmtId="0" fontId="19" fillId="0" borderId="0" xfId="1192" applyFont="1" applyAlignment="1">
      <alignment horizontal="left" vertical="top" wrapText="1"/>
    </xf>
    <xf numFmtId="0" fontId="12" fillId="0" borderId="0" xfId="0" quotePrefix="1" applyFont="1" applyAlignment="1">
      <alignment horizontal="left" vertical="top"/>
    </xf>
    <xf numFmtId="0" fontId="12" fillId="0" borderId="0" xfId="0" quotePrefix="1" applyFont="1" applyAlignment="1">
      <alignment horizontal="left" vertical="top" wrapText="1"/>
    </xf>
    <xf numFmtId="0" fontId="12" fillId="0" borderId="0" xfId="569" applyAlignment="1">
      <alignment vertical="top" wrapText="1"/>
    </xf>
    <xf numFmtId="0" fontId="19" fillId="0" borderId="16" xfId="569" applyFont="1" applyBorder="1" applyAlignment="1">
      <alignment horizontal="left"/>
    </xf>
    <xf numFmtId="0" fontId="19" fillId="0" borderId="0" xfId="569" applyFont="1" applyAlignment="1">
      <alignment horizontal="center"/>
    </xf>
    <xf numFmtId="0" fontId="13" fillId="0" borderId="0" xfId="244" applyNumberFormat="1" applyFill="1" applyAlignment="1" applyProtection="1">
      <alignment horizontal="left"/>
    </xf>
    <xf numFmtId="0" fontId="12" fillId="0" borderId="0" xfId="569" applyAlignment="1">
      <alignment horizontal="left" vertical="center" wrapText="1"/>
    </xf>
    <xf numFmtId="0" fontId="19" fillId="0" borderId="0" xfId="0" applyFont="1" applyAlignment="1">
      <alignment horizontal="left" vertical="top"/>
    </xf>
    <xf numFmtId="0" fontId="30" fillId="0" borderId="0" xfId="569" applyFont="1" applyAlignment="1">
      <alignment horizontal="center"/>
    </xf>
    <xf numFmtId="0" fontId="12" fillId="0" borderId="0" xfId="569" applyAlignment="1">
      <alignment horizontal="center"/>
    </xf>
    <xf numFmtId="0" fontId="30" fillId="0" borderId="0" xfId="569" applyFont="1" applyAlignment="1">
      <alignment horizontal="left" wrapText="1"/>
    </xf>
    <xf numFmtId="0" fontId="19" fillId="0" borderId="0" xfId="569" applyFont="1" applyAlignment="1">
      <alignment horizontal="left"/>
    </xf>
    <xf numFmtId="0" fontId="19" fillId="0" borderId="4" xfId="0" applyFont="1" applyBorder="1" applyAlignment="1">
      <alignment horizontal="left" vertical="top"/>
    </xf>
    <xf numFmtId="4" fontId="30" fillId="0" borderId="0" xfId="0" applyNumberFormat="1" applyFont="1" applyAlignment="1">
      <alignment horizontal="left" vertical="top" wrapText="1"/>
    </xf>
    <xf numFmtId="0" fontId="12" fillId="0" borderId="0" xfId="1192" applyAlignment="1" applyProtection="1">
      <alignment horizontal="left" vertical="top" wrapText="1"/>
      <protection locked="0"/>
    </xf>
    <xf numFmtId="0" fontId="12" fillId="0" borderId="27" xfId="569" applyBorder="1" applyAlignment="1">
      <alignment horizontal="left"/>
    </xf>
    <xf numFmtId="0" fontId="13" fillId="0" borderId="0" xfId="244" applyAlignment="1" applyProtection="1">
      <alignment horizontal="left" vertical="top" wrapText="1"/>
    </xf>
    <xf numFmtId="0" fontId="12" fillId="0" borderId="15" xfId="569" applyBorder="1" applyAlignment="1">
      <alignment horizontal="center" vertical="top" wrapText="1"/>
    </xf>
    <xf numFmtId="0" fontId="12" fillId="0" borderId="14" xfId="569" applyBorder="1" applyAlignment="1">
      <alignment horizontal="center" vertical="top" wrapText="1"/>
    </xf>
    <xf numFmtId="0" fontId="12" fillId="0" borderId="13" xfId="569" applyBorder="1" applyAlignment="1">
      <alignment horizontal="center" vertical="top" wrapText="1"/>
    </xf>
    <xf numFmtId="0" fontId="21" fillId="5" borderId="4" xfId="0" applyFont="1" applyFill="1" applyBorder="1" applyAlignment="1" applyProtection="1">
      <alignment wrapText="1"/>
      <protection locked="0"/>
    </xf>
    <xf numFmtId="0" fontId="21" fillId="5" borderId="4" xfId="0" applyFont="1" applyFill="1" applyBorder="1" applyAlignment="1" applyProtection="1">
      <alignment horizontal="left"/>
      <protection locked="0"/>
    </xf>
    <xf numFmtId="0" fontId="0" fillId="0" borderId="6" xfId="0" applyBorder="1" applyAlignment="1">
      <alignment horizontal="left"/>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166" fontId="21" fillId="5" borderId="4" xfId="0" applyNumberFormat="1" applyFont="1" applyFill="1" applyBorder="1" applyAlignment="1" applyProtection="1">
      <alignment horizontal="left"/>
      <protection locked="0"/>
    </xf>
    <xf numFmtId="175" fontId="12" fillId="43" borderId="3" xfId="0" applyNumberFormat="1" applyFont="1" applyFill="1" applyBorder="1" applyAlignment="1" applyProtection="1">
      <alignment horizontal="center"/>
      <protection locked="0"/>
    </xf>
    <xf numFmtId="175" fontId="12" fillId="43" borderId="4" xfId="0" applyNumberFormat="1" applyFont="1" applyFill="1" applyBorder="1" applyAlignment="1" applyProtection="1">
      <alignment horizontal="center"/>
      <protection locked="0"/>
    </xf>
    <xf numFmtId="175" fontId="12" fillId="43" borderId="5" xfId="0" applyNumberFormat="1" applyFont="1" applyFill="1" applyBorder="1" applyAlignment="1" applyProtection="1">
      <alignment horizontal="center"/>
      <protection locked="0"/>
    </xf>
    <xf numFmtId="0" fontId="12" fillId="5" borderId="11" xfId="0" applyFont="1" applyFill="1" applyBorder="1" applyAlignment="1" applyProtection="1">
      <alignment vertical="center" wrapText="1"/>
      <protection locked="0"/>
    </xf>
    <xf numFmtId="0" fontId="0" fillId="5" borderId="4"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2" fontId="19" fillId="0" borderId="11" xfId="0" applyNumberFormat="1" applyFont="1" applyBorder="1" applyAlignment="1">
      <alignment horizontal="center" vertical="center" wrapText="1"/>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2" fillId="5" borderId="4" xfId="0" applyFont="1" applyFill="1" applyBorder="1" applyAlignment="1" applyProtection="1">
      <alignment wrapText="1"/>
      <protection locked="0"/>
    </xf>
    <xf numFmtId="0" fontId="19" fillId="0" borderId="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20" fillId="5" borderId="3" xfId="0" applyFont="1" applyFill="1" applyBorder="1" applyAlignment="1" applyProtection="1">
      <alignment horizontal="center"/>
      <protection locked="0"/>
    </xf>
    <xf numFmtId="0" fontId="20" fillId="5" borderId="4" xfId="0" applyFont="1" applyFill="1" applyBorder="1" applyAlignment="1" applyProtection="1">
      <alignment horizontal="center"/>
      <protection locked="0"/>
    </xf>
    <xf numFmtId="0" fontId="20" fillId="5" borderId="5" xfId="0" applyFon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5" fontId="21" fillId="0" borderId="1" xfId="0" applyNumberFormat="1" applyFont="1" applyBorder="1" applyAlignment="1">
      <alignment horizontal="right"/>
    </xf>
    <xf numFmtId="165" fontId="21" fillId="0" borderId="2" xfId="0" applyNumberFormat="1" applyFont="1" applyBorder="1" applyAlignment="1">
      <alignment horizontal="right"/>
    </xf>
    <xf numFmtId="165" fontId="21" fillId="0" borderId="7" xfId="0" applyNumberFormat="1" applyFont="1" applyBorder="1" applyAlignment="1">
      <alignment horizontal="right"/>
    </xf>
    <xf numFmtId="0" fontId="12" fillId="5" borderId="11" xfId="0" applyFont="1" applyFill="1" applyBorder="1" applyAlignment="1" applyProtection="1">
      <alignment horizontal="left" wrapText="1"/>
      <protection locked="0"/>
    </xf>
    <xf numFmtId="168" fontId="21" fillId="0" borderId="3" xfId="0" applyNumberFormat="1" applyFont="1" applyBorder="1" applyAlignment="1">
      <alignment horizontal="center"/>
    </xf>
    <xf numFmtId="168" fontId="21" fillId="0" borderId="4" xfId="0" applyNumberFormat="1" applyFont="1" applyBorder="1" applyAlignment="1">
      <alignment horizontal="center"/>
    </xf>
    <xf numFmtId="168" fontId="21" fillId="0" borderId="5" xfId="0" applyNumberFormat="1" applyFont="1" applyBorder="1" applyAlignment="1">
      <alignment horizontal="center"/>
    </xf>
    <xf numFmtId="0" fontId="12" fillId="0" borderId="1" xfId="0" applyFont="1" applyBorder="1" applyAlignment="1">
      <alignment horizontal="center" vertical="top" wrapText="1"/>
    </xf>
    <xf numFmtId="0" fontId="21" fillId="0" borderId="2"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0" xfId="0" applyFont="1" applyAlignment="1">
      <alignment horizontal="center" vertical="top" wrapText="1"/>
    </xf>
    <xf numFmtId="0" fontId="21" fillId="0" borderId="12" xfId="0" applyFont="1" applyBorder="1" applyAlignment="1">
      <alignment horizontal="center" vertical="top" wrapText="1"/>
    </xf>
    <xf numFmtId="0" fontId="21" fillId="0" borderId="9" xfId="0" applyFont="1" applyBorder="1" applyAlignment="1">
      <alignment horizontal="center" vertical="top" wrapText="1"/>
    </xf>
    <xf numFmtId="0" fontId="21" fillId="0" borderId="6" xfId="0" applyFont="1" applyBorder="1" applyAlignment="1">
      <alignment horizontal="center" vertical="top" wrapText="1"/>
    </xf>
    <xf numFmtId="0" fontId="21" fillId="0" borderId="10" xfId="0" applyFont="1" applyBorder="1" applyAlignment="1">
      <alignment horizontal="center" vertical="top" wrapText="1"/>
    </xf>
    <xf numFmtId="9" fontId="21" fillId="5" borderId="3" xfId="0" applyNumberFormat="1" applyFont="1" applyFill="1" applyBorder="1" applyAlignment="1" applyProtection="1">
      <alignment horizontal="center"/>
      <protection locked="0"/>
    </xf>
    <xf numFmtId="9" fontId="21" fillId="5" borderId="4" xfId="0" applyNumberFormat="1" applyFont="1" applyFill="1" applyBorder="1" applyAlignment="1" applyProtection="1">
      <alignment horizontal="center"/>
      <protection locked="0"/>
    </xf>
    <xf numFmtId="9" fontId="21" fillId="5" borderId="5" xfId="0" applyNumberFormat="1" applyFont="1" applyFill="1" applyBorder="1" applyAlignment="1" applyProtection="1">
      <alignment horizontal="center"/>
      <protection locked="0"/>
    </xf>
    <xf numFmtId="0" fontId="21" fillId="0" borderId="1" xfId="0" applyFont="1" applyBorder="1" applyAlignment="1">
      <alignment horizontal="center" vertical="top" wrapText="1"/>
    </xf>
    <xf numFmtId="0" fontId="0" fillId="0" borderId="11" xfId="0" applyBorder="1" applyAlignment="1">
      <alignment horizontal="center"/>
    </xf>
    <xf numFmtId="0" fontId="21" fillId="0" borderId="11" xfId="0" applyFont="1" applyBorder="1" applyAlignment="1">
      <alignment horizontal="center"/>
    </xf>
    <xf numFmtId="0" fontId="21" fillId="45" borderId="3" xfId="0" applyFont="1" applyFill="1" applyBorder="1" applyAlignment="1">
      <alignment horizontal="center"/>
    </xf>
    <xf numFmtId="0" fontId="21" fillId="45" borderId="4" xfId="0" applyFont="1" applyFill="1" applyBorder="1" applyAlignment="1">
      <alignment horizontal="center"/>
    </xf>
    <xf numFmtId="0" fontId="21" fillId="45" borderId="5" xfId="0" applyFont="1" applyFill="1" applyBorder="1" applyAlignment="1">
      <alignment horizontal="center"/>
    </xf>
    <xf numFmtId="0" fontId="35" fillId="0" borderId="3" xfId="0" applyFont="1" applyBorder="1" applyAlignment="1">
      <alignment horizontal="center"/>
    </xf>
    <xf numFmtId="0" fontId="35" fillId="0" borderId="4" xfId="0" applyFont="1" applyBorder="1" applyAlignment="1">
      <alignment horizontal="center"/>
    </xf>
    <xf numFmtId="0" fontId="35" fillId="0" borderId="5"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5" xfId="0" applyFont="1" applyBorder="1" applyAlignment="1">
      <alignment horizontal="center"/>
    </xf>
    <xf numFmtId="0" fontId="21" fillId="45" borderId="11" xfId="0" applyFont="1" applyFill="1" applyBorder="1" applyAlignment="1">
      <alignment horizontal="center"/>
    </xf>
    <xf numFmtId="0" fontId="21" fillId="2" borderId="11" xfId="0" applyFont="1" applyFill="1" applyBorder="1" applyAlignment="1">
      <alignment horizontal="center"/>
    </xf>
    <xf numFmtId="0" fontId="12" fillId="0" borderId="11"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1" fillId="0" borderId="3" xfId="0" applyFont="1" applyBorder="1" applyAlignment="1">
      <alignment horizontal="center"/>
    </xf>
    <xf numFmtId="0" fontId="21" fillId="0" borderId="5" xfId="0" applyFont="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82" fontId="20" fillId="43" borderId="11" xfId="8722" applyNumberFormat="1" applyFont="1" applyFill="1" applyBorder="1" applyAlignment="1" applyProtection="1">
      <alignment horizontal="center" vertical="center" wrapText="1"/>
      <protection locked="0"/>
    </xf>
    <xf numFmtId="1" fontId="12" fillId="0" borderId="3" xfId="543" applyNumberFormat="1" applyBorder="1" applyAlignment="1">
      <alignment horizontal="center"/>
    </xf>
    <xf numFmtId="1" fontId="12" fillId="0" borderId="4" xfId="543" applyNumberFormat="1" applyBorder="1" applyAlignment="1">
      <alignment horizontal="center"/>
    </xf>
    <xf numFmtId="1" fontId="12" fillId="0" borderId="5" xfId="543" applyNumberFormat="1" applyBorder="1" applyAlignment="1">
      <alignment horizontal="center"/>
    </xf>
    <xf numFmtId="0" fontId="0" fillId="5" borderId="3" xfId="0" applyFill="1" applyBorder="1" applyAlignment="1" applyProtection="1">
      <alignment horizontal="right"/>
      <protection locked="0"/>
    </xf>
    <xf numFmtId="0" fontId="0" fillId="5" borderId="4" xfId="0" applyFill="1" applyBorder="1" applyAlignment="1" applyProtection="1">
      <alignment horizontal="right"/>
      <protection locked="0"/>
    </xf>
    <xf numFmtId="0" fontId="0" fillId="5" borderId="5" xfId="0" applyFill="1" applyBorder="1" applyAlignment="1" applyProtection="1">
      <alignment horizontal="right"/>
      <protection locked="0"/>
    </xf>
    <xf numFmtId="0" fontId="12" fillId="0" borderId="11" xfId="543" applyBorder="1" applyAlignment="1">
      <alignment horizontal="center"/>
    </xf>
    <xf numFmtId="0" fontId="12" fillId="0" borderId="8" xfId="543" applyBorder="1" applyAlignment="1">
      <alignment horizontal="left" vertical="top" wrapText="1"/>
    </xf>
    <xf numFmtId="0" fontId="12" fillId="0" borderId="0" xfId="543" applyAlignment="1">
      <alignment horizontal="left" vertical="top" wrapText="1"/>
    </xf>
    <xf numFmtId="0" fontId="12" fillId="0" borderId="12" xfId="543" applyBorder="1" applyAlignment="1">
      <alignment horizontal="left" vertical="top" wrapText="1"/>
    </xf>
    <xf numFmtId="0" fontId="20" fillId="5" borderId="3" xfId="543" applyFont="1" applyFill="1" applyBorder="1" applyAlignment="1" applyProtection="1">
      <alignment horizontal="left" vertical="top" wrapText="1"/>
      <protection locked="0"/>
    </xf>
    <xf numFmtId="0" fontId="20" fillId="5" borderId="4" xfId="543" applyFont="1" applyFill="1" applyBorder="1" applyAlignment="1" applyProtection="1">
      <alignment horizontal="left" vertical="top" wrapText="1"/>
      <protection locked="0"/>
    </xf>
    <xf numFmtId="0" fontId="20" fillId="5" borderId="5" xfId="543" applyFont="1" applyFill="1" applyBorder="1" applyAlignment="1" applyProtection="1">
      <alignment horizontal="left" vertical="top" wrapText="1"/>
      <protection locked="0"/>
    </xf>
    <xf numFmtId="168" fontId="12" fillId="10" borderId="3" xfId="543" applyNumberFormat="1" applyFill="1" applyBorder="1" applyAlignment="1">
      <alignment horizontal="center"/>
    </xf>
    <xf numFmtId="168" fontId="12" fillId="10" borderId="4" xfId="543" applyNumberFormat="1" applyFill="1" applyBorder="1" applyAlignment="1">
      <alignment horizontal="center"/>
    </xf>
    <xf numFmtId="168" fontId="12" fillId="10" borderId="5" xfId="543" applyNumberFormat="1" applyFill="1" applyBorder="1" applyAlignment="1">
      <alignment horizontal="center"/>
    </xf>
    <xf numFmtId="0" fontId="12" fillId="2" borderId="3" xfId="543" applyFill="1" applyBorder="1" applyAlignment="1">
      <alignment horizontal="center"/>
    </xf>
    <xf numFmtId="0" fontId="12" fillId="2" borderId="4" xfId="543" applyFill="1" applyBorder="1" applyAlignment="1">
      <alignment horizontal="center"/>
    </xf>
    <xf numFmtId="0" fontId="12" fillId="2" borderId="5" xfId="543" applyFill="1" applyBorder="1" applyAlignment="1">
      <alignment horizontal="center"/>
    </xf>
    <xf numFmtId="0" fontId="19" fillId="0" borderId="8" xfId="543" applyFont="1" applyBorder="1" applyAlignment="1">
      <alignment horizontal="left" vertical="center" wrapText="1"/>
    </xf>
    <xf numFmtId="0" fontId="19" fillId="0" borderId="0" xfId="543" applyFont="1" applyAlignment="1">
      <alignment horizontal="left" vertical="center" wrapText="1"/>
    </xf>
    <xf numFmtId="0" fontId="19" fillId="0" borderId="12" xfId="543" applyFont="1" applyBorder="1" applyAlignment="1">
      <alignment horizontal="left" vertical="center" wrapText="1"/>
    </xf>
    <xf numFmtId="0" fontId="19" fillId="10" borderId="3" xfId="543" applyFont="1" applyFill="1" applyBorder="1" applyAlignment="1">
      <alignment horizontal="center"/>
    </xf>
    <xf numFmtId="0" fontId="19" fillId="10" borderId="4" xfId="543" applyFont="1" applyFill="1" applyBorder="1" applyAlignment="1">
      <alignment horizontal="center"/>
    </xf>
    <xf numFmtId="0" fontId="19" fillId="10" borderId="5" xfId="543" applyFont="1" applyFill="1" applyBorder="1" applyAlignment="1">
      <alignment horizontal="center"/>
    </xf>
    <xf numFmtId="0" fontId="31" fillId="5" borderId="3" xfId="543" applyFont="1" applyFill="1" applyBorder="1" applyAlignment="1" applyProtection="1">
      <alignment horizontal="center" vertical="top"/>
      <protection locked="0"/>
    </xf>
    <xf numFmtId="0" fontId="31" fillId="5" borderId="5" xfId="543" applyFont="1" applyFill="1" applyBorder="1" applyAlignment="1" applyProtection="1">
      <alignment horizontal="center" vertical="top"/>
      <protection locked="0"/>
    </xf>
    <xf numFmtId="0" fontId="31" fillId="5" borderId="3" xfId="543" applyFont="1" applyFill="1" applyBorder="1" applyAlignment="1" applyProtection="1">
      <alignment horizontal="center"/>
      <protection locked="0"/>
    </xf>
    <xf numFmtId="0" fontId="31" fillId="5" borderId="5" xfId="543" applyFont="1" applyFill="1" applyBorder="1" applyAlignment="1" applyProtection="1">
      <alignment horizontal="center"/>
      <protection locked="0"/>
    </xf>
    <xf numFmtId="0" fontId="19" fillId="0" borderId="1" xfId="543" applyFont="1" applyBorder="1" applyAlignment="1">
      <alignment horizontal="left" vertical="center" wrapText="1"/>
    </xf>
    <xf numFmtId="0" fontId="19" fillId="0" borderId="2" xfId="543" applyFont="1" applyBorder="1" applyAlignment="1">
      <alignment horizontal="left" vertical="center" wrapText="1"/>
    </xf>
    <xf numFmtId="0" fontId="19" fillId="0" borderId="7" xfId="543" applyFont="1" applyBorder="1" applyAlignment="1">
      <alignment horizontal="left" vertical="center" wrapText="1"/>
    </xf>
    <xf numFmtId="0" fontId="12" fillId="0" borderId="9" xfId="543" applyBorder="1" applyAlignment="1">
      <alignment horizontal="left" vertical="top" wrapText="1"/>
    </xf>
    <xf numFmtId="0" fontId="12" fillId="0" borderId="6" xfId="543" applyBorder="1" applyAlignment="1">
      <alignment horizontal="left" vertical="top" wrapText="1"/>
    </xf>
    <xf numFmtId="0" fontId="12" fillId="0" borderId="10" xfId="543" applyBorder="1" applyAlignment="1">
      <alignment horizontal="left" vertical="top" wrapText="1"/>
    </xf>
    <xf numFmtId="0" fontId="39" fillId="0" borderId="8" xfId="543" applyFont="1" applyBorder="1" applyAlignment="1">
      <alignment horizontal="center" vertical="center" wrapText="1"/>
    </xf>
    <xf numFmtId="0" fontId="39" fillId="0" borderId="0" xfId="543" applyFont="1" applyAlignment="1">
      <alignment horizontal="center" vertical="center" wrapText="1"/>
    </xf>
    <xf numFmtId="0" fontId="39" fillId="0" borderId="12" xfId="543" applyFont="1" applyBorder="1" applyAlignment="1">
      <alignment horizontal="center" vertical="center"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12" fillId="0" borderId="3" xfId="543" applyBorder="1" applyAlignment="1">
      <alignment horizontal="center"/>
    </xf>
    <xf numFmtId="0" fontId="12" fillId="0" borderId="4" xfId="543" applyBorder="1" applyAlignment="1">
      <alignment horizontal="center"/>
    </xf>
    <xf numFmtId="0" fontId="12" fillId="0" borderId="5" xfId="543" applyBorder="1" applyAlignment="1">
      <alignment horizontal="center"/>
    </xf>
    <xf numFmtId="0" fontId="33" fillId="0" borderId="3" xfId="543" applyFont="1" applyBorder="1" applyAlignment="1">
      <alignment horizontal="center"/>
    </xf>
    <xf numFmtId="0" fontId="33" fillId="0" borderId="4" xfId="543" applyFont="1" applyBorder="1" applyAlignment="1">
      <alignment horizontal="center"/>
    </xf>
    <xf numFmtId="0" fontId="33" fillId="0" borderId="5" xfId="543" applyFont="1" applyBorder="1" applyAlignment="1">
      <alignment horizontal="center"/>
    </xf>
    <xf numFmtId="0" fontId="12" fillId="0" borderId="8" xfId="0" applyFont="1" applyBorder="1" applyAlignment="1">
      <alignment horizontal="left" wrapText="1"/>
    </xf>
    <xf numFmtId="0" fontId="12" fillId="0" borderId="12" xfId="0" applyFont="1" applyBorder="1" applyAlignment="1">
      <alignment horizontal="left" wrapText="1"/>
    </xf>
    <xf numFmtId="0" fontId="12" fillId="0" borderId="9" xfId="0" applyFont="1" applyBorder="1" applyAlignment="1">
      <alignment horizontal="left" wrapText="1"/>
    </xf>
    <xf numFmtId="0" fontId="12" fillId="0" borderId="6" xfId="0" applyFont="1" applyBorder="1" applyAlignment="1">
      <alignment horizontal="left" wrapText="1"/>
    </xf>
    <xf numFmtId="0" fontId="12" fillId="0" borderId="10" xfId="0" applyFont="1" applyBorder="1" applyAlignment="1">
      <alignment horizontal="left" wrapText="1"/>
    </xf>
    <xf numFmtId="168" fontId="12" fillId="0" borderId="1" xfId="543" applyNumberFormat="1" applyBorder="1" applyAlignment="1">
      <alignment horizontal="center" vertical="center"/>
    </xf>
    <xf numFmtId="168" fontId="12" fillId="0" borderId="2" xfId="543" applyNumberFormat="1" applyBorder="1" applyAlignment="1">
      <alignment horizontal="center" vertical="center"/>
    </xf>
    <xf numFmtId="168" fontId="12" fillId="0" borderId="7" xfId="543" applyNumberFormat="1" applyBorder="1" applyAlignment="1">
      <alignment horizontal="center" vertical="center"/>
    </xf>
    <xf numFmtId="168" fontId="12" fillId="0" borderId="8" xfId="543" applyNumberFormat="1" applyBorder="1" applyAlignment="1">
      <alignment horizontal="center" vertical="center"/>
    </xf>
    <xf numFmtId="168" fontId="12" fillId="0" borderId="0" xfId="543" applyNumberFormat="1" applyAlignment="1">
      <alignment horizontal="center" vertical="center"/>
    </xf>
    <xf numFmtId="168" fontId="12" fillId="0" borderId="12" xfId="543" applyNumberFormat="1" applyBorder="1" applyAlignment="1">
      <alignment horizontal="center" vertical="center"/>
    </xf>
    <xf numFmtId="168" fontId="12" fillId="0" borderId="9" xfId="543" applyNumberFormat="1" applyBorder="1" applyAlignment="1">
      <alignment horizontal="center" vertical="center"/>
    </xf>
    <xf numFmtId="168" fontId="12" fillId="0" borderId="6" xfId="543" applyNumberFormat="1" applyBorder="1" applyAlignment="1">
      <alignment horizontal="center" vertical="center"/>
    </xf>
    <xf numFmtId="168" fontId="12" fillId="0" borderId="10" xfId="543" applyNumberFormat="1" applyBorder="1" applyAlignment="1">
      <alignment horizontal="center" vertical="center"/>
    </xf>
    <xf numFmtId="0" fontId="19" fillId="0" borderId="3" xfId="543" applyFont="1" applyBorder="1" applyAlignment="1">
      <alignment horizontal="right"/>
    </xf>
    <xf numFmtId="0" fontId="19" fillId="0" borderId="4" xfId="543" applyFont="1" applyBorder="1" applyAlignment="1">
      <alignment horizontal="right"/>
    </xf>
    <xf numFmtId="0" fontId="19" fillId="0" borderId="5" xfId="543" applyFont="1" applyBorder="1" applyAlignment="1">
      <alignment horizontal="right"/>
    </xf>
    <xf numFmtId="0" fontId="12" fillId="0" borderId="8" xfId="543" applyBorder="1" applyAlignment="1">
      <alignment horizontal="left" vertical="center" wrapText="1"/>
    </xf>
    <xf numFmtId="0" fontId="12" fillId="0" borderId="0" xfId="543" applyAlignment="1">
      <alignment horizontal="left" vertical="center" wrapText="1"/>
    </xf>
    <xf numFmtId="0" fontId="12" fillId="0" borderId="12" xfId="543" applyBorder="1" applyAlignment="1">
      <alignment horizontal="left" vertical="center" wrapText="1"/>
    </xf>
    <xf numFmtId="0" fontId="12" fillId="5" borderId="3" xfId="543"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2" fillId="0" borderId="9" xfId="543" applyBorder="1" applyAlignment="1">
      <alignment horizontal="left" vertical="center" wrapText="1"/>
    </xf>
    <xf numFmtId="0" fontId="12" fillId="0" borderId="6" xfId="543" applyBorder="1" applyAlignment="1">
      <alignment horizontal="left" vertical="center" wrapText="1"/>
    </xf>
    <xf numFmtId="0" fontId="12" fillId="0" borderId="10" xfId="543" applyBorder="1" applyAlignment="1">
      <alignment horizontal="left" vertical="center" wrapText="1"/>
    </xf>
    <xf numFmtId="0" fontId="19" fillId="0" borderId="1" xfId="543" applyFont="1" applyBorder="1" applyAlignment="1">
      <alignment horizontal="left" vertical="top" wrapText="1"/>
    </xf>
    <xf numFmtId="0" fontId="19" fillId="0" borderId="2" xfId="543" applyFont="1" applyBorder="1" applyAlignment="1">
      <alignment horizontal="left" vertical="top" wrapText="1"/>
    </xf>
    <xf numFmtId="0" fontId="19" fillId="0" borderId="7" xfId="543" applyFont="1" applyBorder="1" applyAlignment="1">
      <alignment horizontal="left" vertical="top" wrapText="1"/>
    </xf>
    <xf numFmtId="0" fontId="19" fillId="0" borderId="8" xfId="543" applyFont="1" applyBorder="1" applyAlignment="1">
      <alignment horizontal="left" vertical="top" wrapText="1"/>
    </xf>
    <xf numFmtId="0" fontId="19" fillId="0" borderId="0" xfId="543" applyFont="1" applyAlignment="1">
      <alignment horizontal="left" vertical="top" wrapText="1"/>
    </xf>
    <xf numFmtId="0" fontId="19" fillId="0" borderId="12" xfId="543" applyFont="1" applyBorder="1" applyAlignment="1">
      <alignment horizontal="left" vertical="top" wrapText="1"/>
    </xf>
    <xf numFmtId="0" fontId="32" fillId="0" borderId="1" xfId="543" applyFont="1" applyBorder="1" applyAlignment="1">
      <alignment horizontal="right"/>
    </xf>
    <xf numFmtId="0" fontId="32" fillId="0" borderId="2" xfId="543" applyFont="1" applyBorder="1" applyAlignment="1">
      <alignment horizontal="right"/>
    </xf>
    <xf numFmtId="0" fontId="32" fillId="0" borderId="7" xfId="543" applyFont="1" applyBorder="1" applyAlignment="1">
      <alignment horizontal="right"/>
    </xf>
    <xf numFmtId="168" fontId="12" fillId="0" borderId="11" xfId="543" applyNumberFormat="1" applyBorder="1" applyAlignment="1">
      <alignment horizont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9" fillId="0" borderId="1" xfId="0" applyFont="1" applyBorder="1" applyAlignment="1">
      <alignment horizontal="center" wrapText="1"/>
    </xf>
    <xf numFmtId="0" fontId="19" fillId="0" borderId="2" xfId="0" applyFont="1" applyBorder="1" applyAlignment="1">
      <alignment horizontal="center" wrapText="1"/>
    </xf>
    <xf numFmtId="0" fontId="19" fillId="0" borderId="8" xfId="0" applyFont="1" applyBorder="1" applyAlignment="1">
      <alignment horizontal="center" wrapText="1"/>
    </xf>
    <xf numFmtId="0" fontId="19" fillId="0" borderId="0" xfId="0" applyFont="1" applyAlignment="1">
      <alignment horizontal="center" wrapText="1"/>
    </xf>
    <xf numFmtId="0" fontId="19" fillId="0" borderId="9" xfId="0" applyFont="1" applyBorder="1" applyAlignment="1">
      <alignment horizontal="center" wrapText="1"/>
    </xf>
    <xf numFmtId="0" fontId="19" fillId="0" borderId="6" xfId="0" applyFont="1" applyBorder="1" applyAlignment="1">
      <alignment horizontal="center" wrapText="1"/>
    </xf>
    <xf numFmtId="168" fontId="12"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0" fillId="5" borderId="3" xfId="0" applyNumberFormat="1" applyFont="1" applyFill="1" applyBorder="1" applyAlignment="1" applyProtection="1">
      <alignment horizontal="left"/>
      <protection locked="0"/>
    </xf>
    <xf numFmtId="164" fontId="20" fillId="5" borderId="4" xfId="0" applyNumberFormat="1" applyFont="1" applyFill="1" applyBorder="1" applyAlignment="1" applyProtection="1">
      <alignment horizontal="left"/>
      <protection locked="0"/>
    </xf>
    <xf numFmtId="164" fontId="20" fillId="5" borderId="5" xfId="0" applyNumberFormat="1" applyFont="1" applyFill="1" applyBorder="1" applyAlignment="1" applyProtection="1">
      <alignment horizontal="left"/>
      <protection locked="0"/>
    </xf>
    <xf numFmtId="168" fontId="12" fillId="5" borderId="3" xfId="0" applyNumberFormat="1" applyFont="1" applyFill="1" applyBorder="1" applyAlignment="1" applyProtection="1">
      <alignment horizontal="right"/>
      <protection locked="0"/>
    </xf>
    <xf numFmtId="168" fontId="12" fillId="5" borderId="4" xfId="0" applyNumberFormat="1" applyFont="1" applyFill="1" applyBorder="1" applyAlignment="1" applyProtection="1">
      <alignment horizontal="right"/>
      <protection locked="0"/>
    </xf>
    <xf numFmtId="168" fontId="12" fillId="5" borderId="5" xfId="0" applyNumberFormat="1" applyFont="1" applyFill="1" applyBorder="1" applyAlignment="1" applyProtection="1">
      <alignment horizontal="right"/>
      <protection locked="0"/>
    </xf>
    <xf numFmtId="0" fontId="19" fillId="0" borderId="1" xfId="0" applyFont="1" applyBorder="1" applyAlignment="1">
      <alignment horizontal="center"/>
    </xf>
    <xf numFmtId="0" fontId="19" fillId="0" borderId="2" xfId="0" applyFont="1" applyBorder="1" applyAlignment="1">
      <alignment horizontal="center"/>
    </xf>
    <xf numFmtId="0" fontId="19" fillId="0" borderId="7" xfId="0" applyFont="1" applyBorder="1" applyAlignment="1">
      <alignment horizontal="center"/>
    </xf>
    <xf numFmtId="164" fontId="31" fillId="5" borderId="3" xfId="0" applyNumberFormat="1" applyFont="1" applyFill="1" applyBorder="1" applyAlignment="1" applyProtection="1">
      <alignment horizontal="left"/>
      <protection locked="0"/>
    </xf>
    <xf numFmtId="164" fontId="31" fillId="5" borderId="4" xfId="0" applyNumberFormat="1" applyFont="1" applyFill="1" applyBorder="1" applyAlignment="1" applyProtection="1">
      <alignment horizontal="left"/>
      <protection locked="0"/>
    </xf>
    <xf numFmtId="164" fontId="31" fillId="5" borderId="5" xfId="0" applyNumberFormat="1" applyFont="1" applyFill="1" applyBorder="1" applyAlignment="1" applyProtection="1">
      <alignment horizontal="left"/>
      <protection locked="0"/>
    </xf>
    <xf numFmtId="0" fontId="19" fillId="0" borderId="6" xfId="0" applyFont="1" applyBorder="1" applyAlignment="1">
      <alignment horizontal="center"/>
    </xf>
    <xf numFmtId="0" fontId="18" fillId="3" borderId="0" xfId="0" applyFont="1" applyFill="1" applyAlignment="1">
      <alignment horizontal="center" vertical="center"/>
    </xf>
    <xf numFmtId="9" fontId="12"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32" fillId="0" borderId="4" xfId="543" applyFont="1" applyBorder="1" applyAlignment="1">
      <alignment horizontal="right" vertical="top" wrapText="1"/>
    </xf>
    <xf numFmtId="0" fontId="32" fillId="0" borderId="5" xfId="543" applyFont="1" applyBorder="1" applyAlignment="1">
      <alignment horizontal="right" vertical="top" wrapText="1"/>
    </xf>
    <xf numFmtId="0" fontId="20" fillId="0" borderId="3" xfId="543" applyFont="1" applyBorder="1" applyAlignment="1">
      <alignment horizontal="center"/>
    </xf>
    <xf numFmtId="0" fontId="20" fillId="0" borderId="5" xfId="543" applyFont="1" applyBorder="1" applyAlignment="1">
      <alignment horizontal="center"/>
    </xf>
    <xf numFmtId="1" fontId="20" fillId="0" borderId="3" xfId="543" applyNumberFormat="1" applyFont="1" applyBorder="1" applyAlignment="1">
      <alignment horizontal="center"/>
    </xf>
    <xf numFmtId="1" fontId="20" fillId="0" borderId="5" xfId="543" applyNumberFormat="1" applyFont="1" applyBorder="1" applyAlignment="1">
      <alignment horizontal="center"/>
    </xf>
    <xf numFmtId="0" fontId="31" fillId="0" borderId="3" xfId="543" applyFont="1" applyBorder="1" applyAlignment="1">
      <alignment horizontal="center"/>
    </xf>
    <xf numFmtId="0" fontId="31" fillId="0" borderId="5" xfId="543" applyFont="1" applyBorder="1" applyAlignment="1">
      <alignment horizontal="center"/>
    </xf>
    <xf numFmtId="0" fontId="31" fillId="5" borderId="9" xfId="543" applyFont="1" applyFill="1" applyBorder="1" applyAlignment="1" applyProtection="1">
      <alignment horizontal="center"/>
      <protection locked="0"/>
    </xf>
    <xf numFmtId="0" fontId="31" fillId="5" borderId="10" xfId="543" applyFont="1" applyFill="1" applyBorder="1" applyAlignment="1" applyProtection="1">
      <alignment horizontal="center"/>
      <protection locked="0"/>
    </xf>
    <xf numFmtId="168" fontId="19" fillId="0" borderId="3" xfId="543" applyNumberFormat="1" applyFont="1" applyBorder="1" applyAlignment="1">
      <alignment horizontal="center" vertical="center"/>
    </xf>
    <xf numFmtId="168" fontId="19" fillId="0" borderId="4" xfId="543" applyNumberFormat="1" applyFont="1" applyBorder="1" applyAlignment="1">
      <alignment horizontal="center" vertical="center"/>
    </xf>
    <xf numFmtId="168" fontId="19" fillId="0" borderId="5" xfId="543" applyNumberFormat="1" applyFont="1" applyBorder="1" applyAlignment="1">
      <alignment horizontal="center" vertical="center"/>
    </xf>
    <xf numFmtId="168" fontId="21" fillId="5" borderId="3" xfId="0" applyNumberFormat="1" applyFont="1" applyFill="1" applyBorder="1" applyAlignment="1" applyProtection="1">
      <alignment horizontal="center"/>
      <protection locked="0"/>
    </xf>
    <xf numFmtId="168" fontId="21" fillId="5" borderId="4" xfId="0" applyNumberFormat="1" applyFont="1" applyFill="1" applyBorder="1" applyAlignment="1" applyProtection="1">
      <alignment horizontal="center"/>
      <protection locked="0"/>
    </xf>
    <xf numFmtId="168" fontId="21"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1" fillId="5" borderId="3" xfId="0" applyNumberFormat="1" applyFont="1" applyFill="1" applyBorder="1" applyAlignment="1" applyProtection="1">
      <alignment horizontal="center"/>
      <protection locked="0"/>
    </xf>
    <xf numFmtId="1" fontId="21" fillId="5" borderId="4" xfId="0" applyNumberFormat="1" applyFont="1" applyFill="1" applyBorder="1" applyAlignment="1" applyProtection="1">
      <alignment horizontal="center"/>
      <protection locked="0"/>
    </xf>
    <xf numFmtId="1" fontId="21" fillId="5" borderId="5" xfId="0" applyNumberFormat="1"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 fontId="21" fillId="0" borderId="3" xfId="0" applyNumberFormat="1" applyFont="1" applyBorder="1" applyAlignment="1">
      <alignment horizontal="center"/>
    </xf>
    <xf numFmtId="1" fontId="21" fillId="0" borderId="4" xfId="0" applyNumberFormat="1" applyFont="1" applyBorder="1" applyAlignment="1">
      <alignment horizontal="center"/>
    </xf>
    <xf numFmtId="1" fontId="21" fillId="0" borderId="5" xfId="0" applyNumberFormat="1" applyFont="1" applyBorder="1" applyAlignment="1">
      <alignment horizontal="center"/>
    </xf>
    <xf numFmtId="0" fontId="19" fillId="0" borderId="3" xfId="0" applyFont="1" applyBorder="1" applyAlignment="1">
      <alignment horizontal="right"/>
    </xf>
    <xf numFmtId="0" fontId="19" fillId="0" borderId="4" xfId="0" applyFont="1" applyBorder="1" applyAlignment="1">
      <alignment horizontal="right"/>
    </xf>
    <xf numFmtId="0" fontId="19" fillId="0" borderId="5" xfId="0" applyFont="1" applyBorder="1" applyAlignment="1">
      <alignment horizontal="right"/>
    </xf>
    <xf numFmtId="165" fontId="19" fillId="0" borderId="3" xfId="271" applyNumberFormat="1" applyFont="1" applyBorder="1" applyAlignment="1">
      <alignment horizontal="center"/>
    </xf>
    <xf numFmtId="165" fontId="19" fillId="0" borderId="4" xfId="271" applyNumberFormat="1" applyFont="1" applyBorder="1" applyAlignment="1">
      <alignment horizontal="center"/>
    </xf>
    <xf numFmtId="165" fontId="19" fillId="0" borderId="5" xfId="271" applyNumberFormat="1" applyFont="1" applyBorder="1" applyAlignment="1">
      <alignment horizontal="center"/>
    </xf>
    <xf numFmtId="0" fontId="19"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1" fillId="0" borderId="4" xfId="0" applyFont="1" applyBorder="1" applyAlignment="1">
      <alignment horizontal="center"/>
    </xf>
    <xf numFmtId="0" fontId="45" fillId="0" borderId="0" xfId="0" applyFont="1" applyAlignment="1">
      <alignment horizontal="center"/>
    </xf>
    <xf numFmtId="0" fontId="12"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2" fillId="5" borderId="6" xfId="0" applyFont="1" applyFill="1" applyBorder="1" applyAlignment="1" applyProtection="1">
      <alignment horizontal="left"/>
      <protection locked="0"/>
    </xf>
    <xf numFmtId="0" fontId="0" fillId="5" borderId="6" xfId="0" applyFill="1" applyBorder="1" applyAlignment="1" applyProtection="1">
      <alignment horizontal="right"/>
      <protection locked="0"/>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0" xfId="0" applyFont="1" applyAlignment="1">
      <alignment horizontal="center" vertical="center" wrapText="1"/>
    </xf>
    <xf numFmtId="0" fontId="28" fillId="0" borderId="12"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0" xfId="0" applyFont="1" applyBorder="1" applyAlignment="1">
      <alignment horizontal="center" vertical="center" wrapText="1"/>
    </xf>
    <xf numFmtId="180" fontId="0" fillId="0" borderId="6" xfId="0" applyNumberFormat="1" applyBorder="1" applyAlignment="1">
      <alignment horizontal="center"/>
    </xf>
    <xf numFmtId="0" fontId="50" fillId="0" borderId="1"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0" xfId="0" applyFont="1" applyAlignment="1">
      <alignment horizontal="center" vertical="center" wrapText="1"/>
    </xf>
    <xf numFmtId="0" fontId="50" fillId="0" borderId="12"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10" xfId="0" applyFont="1" applyBorder="1" applyAlignment="1">
      <alignment horizontal="center" vertical="center" wrapText="1"/>
    </xf>
    <xf numFmtId="14" fontId="21" fillId="5" borderId="4" xfId="0" applyNumberFormat="1" applyFont="1" applyFill="1" applyBorder="1" applyAlignment="1" applyProtection="1">
      <alignment horizontal="right"/>
      <protection locked="0"/>
    </xf>
    <xf numFmtId="175" fontId="12" fillId="43" borderId="3" xfId="0" applyNumberFormat="1" applyFont="1" applyFill="1" applyBorder="1" applyAlignment="1" applyProtection="1">
      <alignment horizontal="center" vertical="center"/>
      <protection locked="0"/>
    </xf>
    <xf numFmtId="175" fontId="12" fillId="43" borderId="4" xfId="0" applyNumberFormat="1" applyFont="1" applyFill="1" applyBorder="1" applyAlignment="1" applyProtection="1">
      <alignment horizontal="center" vertical="center"/>
      <protection locked="0"/>
    </xf>
    <xf numFmtId="175" fontId="12" fillId="43" borderId="5" xfId="0" applyNumberFormat="1" applyFont="1" applyFill="1" applyBorder="1" applyAlignment="1" applyProtection="1">
      <alignment horizontal="center" vertical="center"/>
      <protection locked="0"/>
    </xf>
    <xf numFmtId="1" fontId="21" fillId="5" borderId="11" xfId="0" applyNumberFormat="1" applyFont="1" applyFill="1" applyBorder="1" applyAlignment="1" applyProtection="1">
      <alignment horizontal="center"/>
      <protection locked="0"/>
    </xf>
    <xf numFmtId="9" fontId="159" fillId="44" borderId="8" xfId="0" applyNumberFormat="1" applyFont="1" applyFill="1" applyBorder="1" applyAlignment="1">
      <alignment horizontal="center"/>
    </xf>
    <xf numFmtId="9" fontId="159" fillId="44" borderId="0" xfId="0" applyNumberFormat="1" applyFont="1" applyFill="1" applyAlignment="1">
      <alignment horizontal="center"/>
    </xf>
    <xf numFmtId="0" fontId="12" fillId="5" borderId="3" xfId="0" applyFont="1" applyFill="1" applyBorder="1" applyAlignment="1" applyProtection="1">
      <alignment horizontal="left"/>
      <protection locked="0"/>
    </xf>
    <xf numFmtId="0" fontId="12" fillId="5" borderId="4" xfId="0" applyFont="1" applyFill="1" applyBorder="1" applyAlignment="1" applyProtection="1">
      <alignment horizontal="left"/>
      <protection locked="0"/>
    </xf>
    <xf numFmtId="0" fontId="12" fillId="5" borderId="5" xfId="0" applyFont="1" applyFill="1" applyBorder="1" applyAlignment="1" applyProtection="1">
      <alignment horizontal="left"/>
      <protection locked="0"/>
    </xf>
    <xf numFmtId="0" fontId="12"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4" fontId="0" fillId="5" borderId="6" xfId="0" applyNumberFormat="1" applyFill="1" applyBorder="1" applyAlignment="1" applyProtection="1">
      <alignment horizontal="center"/>
      <protection locked="0"/>
    </xf>
    <xf numFmtId="171" fontId="12" fillId="0" borderId="0" xfId="543" applyNumberFormat="1" applyAlignment="1">
      <alignment horizontal="center"/>
    </xf>
    <xf numFmtId="14" fontId="0" fillId="5" borderId="4"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3" fontId="40" fillId="10" borderId="6" xfId="543" applyNumberFormat="1" applyFont="1" applyFill="1" applyBorder="1" applyAlignment="1">
      <alignment horizontal="left" vertical="center" wrapText="1"/>
    </xf>
    <xf numFmtId="0" fontId="18" fillId="3" borderId="2" xfId="0" applyFont="1" applyFill="1" applyBorder="1" applyAlignment="1">
      <alignment horizontal="center" vertical="center"/>
    </xf>
    <xf numFmtId="0" fontId="18" fillId="3" borderId="16" xfId="0" applyFont="1" applyFill="1" applyBorder="1" applyAlignment="1">
      <alignment horizontal="center" vertic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2" fillId="0" borderId="0" xfId="543" applyAlignment="1">
      <alignment horizontal="center"/>
    </xf>
    <xf numFmtId="0" fontId="21" fillId="5" borderId="6" xfId="0" applyFont="1" applyFill="1" applyBorder="1" applyAlignment="1" applyProtection="1">
      <alignment horizontal="left"/>
      <protection locked="0"/>
    </xf>
    <xf numFmtId="166" fontId="21" fillId="5" borderId="6" xfId="0" applyNumberFormat="1" applyFont="1" applyFill="1" applyBorder="1" applyAlignment="1" applyProtection="1">
      <alignment horizontal="left"/>
      <protection locked="0"/>
    </xf>
    <xf numFmtId="0" fontId="21" fillId="5" borderId="3" xfId="0" applyFont="1" applyFill="1" applyBorder="1" applyAlignment="1" applyProtection="1">
      <alignment horizontal="right" vertical="top"/>
      <protection locked="0"/>
    </xf>
    <xf numFmtId="0" fontId="21" fillId="5" borderId="4" xfId="0" applyFont="1" applyFill="1" applyBorder="1" applyAlignment="1" applyProtection="1">
      <alignment horizontal="right" vertical="top"/>
      <protection locked="0"/>
    </xf>
    <xf numFmtId="0" fontId="21" fillId="5" borderId="5" xfId="0" applyFont="1" applyFill="1" applyBorder="1" applyAlignment="1" applyProtection="1">
      <alignment horizontal="right" vertical="top"/>
      <protection locked="0"/>
    </xf>
    <xf numFmtId="49" fontId="0" fillId="5" borderId="6" xfId="0" applyNumberForma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5" xfId="0" applyFont="1" applyBorder="1" applyAlignment="1">
      <alignment horizontal="left"/>
    </xf>
    <xf numFmtId="0" fontId="12" fillId="5" borderId="11" xfId="0" applyFont="1" applyFill="1" applyBorder="1" applyAlignment="1" applyProtection="1">
      <alignment horizontal="left" vertical="center" wrapText="1"/>
      <protection locked="0"/>
    </xf>
    <xf numFmtId="172" fontId="0" fillId="5" borderId="6"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20"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0" fontId="21" fillId="5" borderId="4" xfId="0" applyNumberFormat="1" applyFont="1" applyFill="1" applyBorder="1" applyAlignment="1" applyProtection="1">
      <alignment horizontal="right"/>
      <protection locked="0"/>
    </xf>
    <xf numFmtId="168" fontId="21" fillId="5" borderId="6" xfId="0" applyNumberFormat="1" applyFon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0" fontId="31" fillId="5" borderId="3" xfId="543" applyFont="1" applyFill="1" applyBorder="1" applyAlignment="1">
      <alignment horizontal="center"/>
    </xf>
    <xf numFmtId="0" fontId="31" fillId="5" borderId="4" xfId="543" applyFont="1" applyFill="1" applyBorder="1" applyAlignment="1">
      <alignment horizontal="center"/>
    </xf>
    <xf numFmtId="0" fontId="31" fillId="5" borderId="5" xfId="543" applyFont="1" applyFill="1" applyBorder="1" applyAlignment="1">
      <alignment horizontal="center"/>
    </xf>
    <xf numFmtId="49" fontId="12" fillId="5" borderId="3" xfId="543" applyNumberFormat="1" applyFill="1" applyBorder="1" applyAlignment="1">
      <alignment horizontal="center"/>
    </xf>
    <xf numFmtId="49" fontId="12" fillId="5" borderId="5" xfId="543" applyNumberFormat="1" applyFill="1" applyBorder="1" applyAlignment="1">
      <alignment horizontal="center"/>
    </xf>
    <xf numFmtId="0" fontId="21" fillId="0" borderId="11" xfId="0" applyFont="1" applyBorder="1" applyAlignment="1">
      <alignment horizontal="center" vertical="top" wrapText="1"/>
    </xf>
    <xf numFmtId="168" fontId="0" fillId="0" borderId="11" xfId="0" applyNumberFormat="1" applyBorder="1" applyAlignment="1">
      <alignment horizontal="right"/>
    </xf>
    <xf numFmtId="0" fontId="19" fillId="0" borderId="17" xfId="0" applyFont="1" applyBorder="1" applyAlignment="1">
      <alignment horizontal="center"/>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0" borderId="9" xfId="0" applyBorder="1" applyAlignment="1">
      <alignment horizontal="left"/>
    </xf>
    <xf numFmtId="168" fontId="12" fillId="5" borderId="3" xfId="0" applyNumberFormat="1" applyFont="1" applyFill="1" applyBorder="1" applyAlignment="1" applyProtection="1">
      <alignment horizontal="left"/>
      <protection locked="0"/>
    </xf>
    <xf numFmtId="168" fontId="12" fillId="5" borderId="4" xfId="0" applyNumberFormat="1" applyFont="1" applyFill="1" applyBorder="1" applyAlignment="1" applyProtection="1">
      <alignment horizontal="left"/>
      <protection locked="0"/>
    </xf>
    <xf numFmtId="168" fontId="12" fillId="5" borderId="5" xfId="0" applyNumberFormat="1" applyFont="1" applyFill="1" applyBorder="1" applyAlignment="1" applyProtection="1">
      <alignment horizontal="left"/>
      <protection locked="0"/>
    </xf>
    <xf numFmtId="0" fontId="12" fillId="43" borderId="11" xfId="0" applyFont="1"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20" fillId="5" borderId="3" xfId="0" applyFont="1" applyFill="1" applyBorder="1" applyAlignment="1" applyProtection="1">
      <alignment horizontal="left"/>
      <protection locked="0"/>
    </xf>
    <xf numFmtId="0" fontId="20" fillId="5" borderId="4" xfId="0" applyFont="1" applyFill="1" applyBorder="1" applyAlignment="1" applyProtection="1">
      <alignment horizontal="left"/>
      <protection locked="0"/>
    </xf>
    <xf numFmtId="0" fontId="20" fillId="5" borderId="5" xfId="0" applyFont="1" applyFill="1" applyBorder="1" applyAlignment="1" applyProtection="1">
      <alignment horizontal="left"/>
      <protection locked="0"/>
    </xf>
    <xf numFmtId="0" fontId="49" fillId="5" borderId="3" xfId="0" applyFont="1" applyFill="1" applyBorder="1" applyAlignment="1" applyProtection="1">
      <alignment horizontal="center"/>
      <protection locked="0"/>
    </xf>
    <xf numFmtId="0" fontId="49" fillId="5" borderId="4" xfId="0" applyFont="1" applyFill="1" applyBorder="1" applyAlignment="1" applyProtection="1">
      <alignment horizontal="center"/>
      <protection locked="0"/>
    </xf>
    <xf numFmtId="0" fontId="49" fillId="5" borderId="5" xfId="0" applyFont="1" applyFill="1" applyBorder="1" applyAlignment="1" applyProtection="1">
      <alignment horizontal="center"/>
      <protection locked="0"/>
    </xf>
    <xf numFmtId="0" fontId="12" fillId="5" borderId="3" xfId="0" applyFont="1" applyFill="1" applyBorder="1" applyProtection="1">
      <protection locked="0"/>
    </xf>
    <xf numFmtId="0" fontId="21" fillId="0" borderId="4" xfId="0" applyFont="1" applyBorder="1" applyProtection="1">
      <protection locked="0"/>
    </xf>
    <xf numFmtId="0" fontId="21" fillId="0" borderId="5" xfId="0" applyFont="1" applyBorder="1" applyProtection="1">
      <protection locked="0"/>
    </xf>
    <xf numFmtId="0" fontId="19" fillId="0" borderId="2" xfId="0" applyFont="1" applyBorder="1" applyAlignment="1">
      <alignment horizontal="right"/>
    </xf>
    <xf numFmtId="0" fontId="19" fillId="0" borderId="7" xfId="0" applyFon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Protection="1">
      <protection locked="0"/>
    </xf>
    <xf numFmtId="2" fontId="12" fillId="0" borderId="0" xfId="543" applyNumberFormat="1" applyAlignment="1">
      <alignment horizontal="center"/>
    </xf>
    <xf numFmtId="0" fontId="49" fillId="5" borderId="3" xfId="0" applyFont="1" applyFill="1" applyBorder="1" applyAlignment="1" applyProtection="1">
      <alignment horizontal="right"/>
      <protection locked="0"/>
    </xf>
    <xf numFmtId="0" fontId="49" fillId="5" borderId="4" xfId="0" applyFont="1" applyFill="1" applyBorder="1" applyAlignment="1" applyProtection="1">
      <alignment horizontal="right"/>
      <protection locked="0"/>
    </xf>
    <xf numFmtId="0" fontId="49" fillId="5" borderId="5" xfId="0" applyFont="1" applyFill="1" applyBorder="1" applyAlignment="1" applyProtection="1">
      <alignment horizontal="right"/>
      <protection locked="0"/>
    </xf>
    <xf numFmtId="0" fontId="19" fillId="0" borderId="12" xfId="0" applyFont="1" applyBorder="1" applyAlignment="1">
      <alignment horizontal="center" wrapText="1"/>
    </xf>
    <xf numFmtId="0" fontId="19" fillId="0" borderId="10" xfId="0" applyFont="1" applyBorder="1" applyAlignment="1">
      <alignment horizontal="center" wrapText="1"/>
    </xf>
    <xf numFmtId="168" fontId="0" fillId="0" borderId="11" xfId="0" applyNumberFormat="1" applyBorder="1" applyAlignment="1">
      <alignment horizontal="center"/>
    </xf>
    <xf numFmtId="0" fontId="19" fillId="5" borderId="3" xfId="0" applyFont="1" applyFill="1" applyBorder="1" applyAlignment="1" applyProtection="1">
      <alignment horizontal="right"/>
      <protection locked="0"/>
    </xf>
    <xf numFmtId="0" fontId="19" fillId="5" borderId="4" xfId="0" applyFont="1" applyFill="1" applyBorder="1" applyAlignment="1" applyProtection="1">
      <alignment horizontal="right"/>
      <protection locked="0"/>
    </xf>
    <xf numFmtId="0" fontId="19" fillId="5" borderId="5" xfId="0" applyFont="1" applyFill="1" applyBorder="1" applyAlignment="1" applyProtection="1">
      <alignment horizontal="right"/>
      <protection locked="0"/>
    </xf>
    <xf numFmtId="9" fontId="12" fillId="0" borderId="0" xfId="543" applyNumberFormat="1" applyAlignment="1">
      <alignment horizontal="center" vertical="center"/>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xf numFmtId="0" fontId="19" fillId="5" borderId="11" xfId="0" applyFont="1" applyFill="1" applyBorder="1" applyAlignment="1" applyProtection="1">
      <alignment horizontal="center"/>
      <protection locked="0"/>
    </xf>
    <xf numFmtId="0" fontId="21" fillId="0" borderId="3" xfId="0" applyFont="1" applyBorder="1" applyAlignment="1">
      <alignment horizontal="left"/>
    </xf>
    <xf numFmtId="0" fontId="0" fillId="5" borderId="3" xfId="0" quotePrefix="1" applyFill="1" applyBorder="1" applyAlignment="1" applyProtection="1">
      <alignment horizontal="right"/>
      <protection locked="0"/>
    </xf>
    <xf numFmtId="171" fontId="12" fillId="0" borderId="0" xfId="543" applyNumberFormat="1" applyAlignment="1">
      <alignment horizontal="right"/>
    </xf>
    <xf numFmtId="168" fontId="12" fillId="5" borderId="10" xfId="0" applyNumberFormat="1" applyFont="1" applyFill="1" applyBorder="1" applyAlignment="1" applyProtection="1">
      <alignment horizontal="right"/>
      <protection locked="0"/>
    </xf>
    <xf numFmtId="168" fontId="12" fillId="5" borderId="13" xfId="0" applyNumberFormat="1" applyFont="1" applyFill="1" applyBorder="1" applyAlignment="1" applyProtection="1">
      <alignment horizontal="right"/>
      <protection locked="0"/>
    </xf>
    <xf numFmtId="0" fontId="159" fillId="44" borderId="8" xfId="0" applyFont="1" applyFill="1" applyBorder="1" applyAlignment="1">
      <alignment horizontal="center" vertical="top" wrapText="1"/>
    </xf>
    <xf numFmtId="0" fontId="159" fillId="44" borderId="0" xfId="0" applyFont="1" applyFill="1" applyAlignment="1">
      <alignment horizontal="center" vertical="top" wrapText="1"/>
    </xf>
    <xf numFmtId="14" fontId="0" fillId="5" borderId="3" xfId="0" quotePrefix="1"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21"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21" fillId="5" borderId="6" xfId="0" applyFont="1" applyFill="1" applyBorder="1" applyAlignment="1" applyProtection="1">
      <alignment horizontal="center"/>
      <protection locked="0"/>
    </xf>
    <xf numFmtId="0" fontId="21" fillId="0" borderId="0" xfId="0" applyFont="1" applyAlignment="1">
      <alignment horizontal="left" vertical="top" wrapText="1"/>
    </xf>
    <xf numFmtId="0" fontId="19" fillId="0" borderId="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2" fontId="0" fillId="5" borderId="6" xfId="0" applyNumberFormat="1" applyFill="1" applyBorder="1" applyAlignment="1" applyProtection="1">
      <alignment horizontal="center"/>
      <protection locked="0"/>
    </xf>
    <xf numFmtId="0" fontId="21" fillId="5" borderId="4" xfId="0" applyFont="1" applyFill="1" applyBorder="1" applyAlignment="1" applyProtection="1">
      <alignment horizontal="right"/>
      <protection locked="0"/>
    </xf>
    <xf numFmtId="0" fontId="19" fillId="0" borderId="9" xfId="0" applyFont="1" applyBorder="1" applyAlignment="1">
      <alignment horizontal="right"/>
    </xf>
    <xf numFmtId="0" fontId="19" fillId="0" borderId="6" xfId="0" applyFont="1" applyBorder="1" applyAlignment="1">
      <alignment horizontal="right"/>
    </xf>
    <xf numFmtId="0" fontId="19" fillId="0" borderId="10" xfId="0" applyFont="1" applyBorder="1" applyAlignment="1">
      <alignment horizontal="right"/>
    </xf>
    <xf numFmtId="0" fontId="19" fillId="0" borderId="7" xfId="0" applyFont="1" applyBorder="1" applyAlignment="1">
      <alignment horizontal="center" wrapText="1"/>
    </xf>
    <xf numFmtId="0" fontId="0" fillId="0" borderId="6" xfId="0" applyBorder="1" applyAlignment="1" applyProtection="1">
      <alignment horizontal="center"/>
      <protection locked="0"/>
    </xf>
    <xf numFmtId="0" fontId="21" fillId="5" borderId="6" xfId="271" applyFill="1" applyBorder="1" applyProtection="1">
      <protection locked="0"/>
    </xf>
    <xf numFmtId="0" fontId="0" fillId="43" borderId="6" xfId="0" applyFill="1" applyBorder="1" applyAlignment="1" applyProtection="1">
      <alignment horizontal="center"/>
      <protection locked="0"/>
    </xf>
    <xf numFmtId="166" fontId="21" fillId="5" borderId="4" xfId="271" applyNumberFormat="1" applyFill="1" applyBorder="1" applyAlignment="1" applyProtection="1">
      <alignment horizontal="left"/>
      <protection locked="0"/>
    </xf>
    <xf numFmtId="0" fontId="12" fillId="5" borderId="6" xfId="244" applyFont="1" applyFill="1" applyBorder="1" applyAlignment="1" applyProtection="1">
      <alignment horizontal="left"/>
      <protection locked="0"/>
    </xf>
    <xf numFmtId="173" fontId="0" fillId="5" borderId="6" xfId="0" applyNumberFormat="1" applyFill="1" applyBorder="1" applyAlignment="1" applyProtection="1">
      <alignment horizontal="center"/>
      <protection locked="0"/>
    </xf>
    <xf numFmtId="166" fontId="12" fillId="5" borderId="6" xfId="271" applyNumberFormat="1" applyFont="1" applyFill="1" applyBorder="1" applyAlignment="1" applyProtection="1">
      <alignment horizontal="left"/>
      <protection locked="0"/>
    </xf>
    <xf numFmtId="166" fontId="21" fillId="5" borderId="6" xfId="271" applyNumberFormat="1" applyFill="1" applyBorder="1" applyAlignment="1" applyProtection="1">
      <alignment horizontal="left"/>
      <protection locked="0"/>
    </xf>
    <xf numFmtId="9" fontId="20" fillId="0" borderId="3" xfId="4494" applyFont="1" applyBorder="1" applyAlignment="1" applyProtection="1">
      <alignment horizontal="center"/>
    </xf>
    <xf numFmtId="9" fontId="20" fillId="0" borderId="5" xfId="4494" applyFont="1" applyBorder="1" applyAlignment="1" applyProtection="1">
      <alignment horizontal="center"/>
    </xf>
    <xf numFmtId="0" fontId="21" fillId="5" borderId="6" xfId="0" applyFont="1" applyFill="1" applyBorder="1" applyAlignment="1" applyProtection="1">
      <alignment horizontal="left" wrapText="1"/>
      <protection locked="0"/>
    </xf>
    <xf numFmtId="0" fontId="0" fillId="43" borderId="6" xfId="0" applyFill="1" applyBorder="1" applyAlignment="1" applyProtection="1">
      <alignment horizontal="left" vertical="top" wrapText="1"/>
      <protection locked="0"/>
    </xf>
    <xf numFmtId="0" fontId="12" fillId="0" borderId="6" xfId="0" applyFont="1" applyBorder="1" applyAlignment="1">
      <alignment horizontal="left"/>
    </xf>
    <xf numFmtId="0" fontId="12" fillId="43" borderId="0" xfId="0" applyFont="1" applyFill="1" applyAlignment="1" applyProtection="1">
      <alignment horizontal="left" vertical="center" wrapText="1"/>
      <protection locked="0"/>
    </xf>
    <xf numFmtId="0" fontId="12"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168" fontId="21" fillId="0" borderId="6" xfId="0" applyNumberFormat="1" applyFont="1" applyBorder="1" applyAlignment="1">
      <alignment horizontal="center"/>
    </xf>
    <xf numFmtId="0" fontId="12" fillId="5" borderId="6" xfId="0" applyFont="1" applyFill="1" applyBorder="1" applyAlignment="1" applyProtection="1">
      <alignment horizontal="left" wrapText="1"/>
      <protection locked="0"/>
    </xf>
    <xf numFmtId="0" fontId="20" fillId="0" borderId="0" xfId="0" applyFont="1" applyAlignment="1">
      <alignment horizontal="center"/>
    </xf>
    <xf numFmtId="0" fontId="0" fillId="5" borderId="6" xfId="0" applyFill="1" applyBorder="1" applyProtection="1">
      <protection locked="0"/>
    </xf>
    <xf numFmtId="0" fontId="21"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2" fillId="0" borderId="0" xfId="0" applyFont="1" applyAlignment="1" applyProtection="1">
      <alignment horizontal="left"/>
      <protection locked="0"/>
    </xf>
    <xf numFmtId="0" fontId="12" fillId="0" borderId="6" xfId="0" applyFont="1" applyBorder="1" applyAlignment="1" applyProtection="1">
      <alignment horizontal="center"/>
      <protection locked="0"/>
    </xf>
    <xf numFmtId="168" fontId="12" fillId="0" borderId="6" xfId="0" applyNumberFormat="1" applyFont="1" applyBorder="1" applyAlignment="1">
      <alignment horizontal="center"/>
    </xf>
    <xf numFmtId="0" fontId="27" fillId="0" borderId="0" xfId="0" applyFont="1" applyAlignment="1">
      <alignment horizontal="center"/>
    </xf>
    <xf numFmtId="174" fontId="0" fillId="5" borderId="4" xfId="0" applyNumberFormat="1" applyFill="1" applyBorder="1" applyAlignment="1" applyProtection="1">
      <alignment horizontal="left"/>
      <protection locked="0"/>
    </xf>
    <xf numFmtId="0" fontId="21"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12" fillId="0" borderId="0" xfId="0" applyFont="1" applyAlignment="1">
      <alignment horizontal="center"/>
    </xf>
    <xf numFmtId="0" fontId="21" fillId="0" borderId="0" xfId="0" applyFont="1" applyAlignment="1">
      <alignment horizontal="center"/>
    </xf>
    <xf numFmtId="166" fontId="12" fillId="5" borderId="4" xfId="0" applyNumberFormat="1" applyFont="1" applyFill="1" applyBorder="1" applyAlignment="1" applyProtection="1">
      <alignment horizontal="left"/>
      <protection locked="0"/>
    </xf>
    <xf numFmtId="0" fontId="21" fillId="0" borderId="6" xfId="0" applyFont="1" applyBorder="1" applyAlignment="1">
      <alignment horizontal="left"/>
    </xf>
    <xf numFmtId="0" fontId="12" fillId="5" borderId="0" xfId="244" applyFont="1" applyFill="1" applyBorder="1" applyAlignment="1" applyProtection="1">
      <alignment horizontal="left"/>
      <protection locked="0"/>
    </xf>
    <xf numFmtId="168" fontId="21" fillId="0" borderId="3" xfId="0" applyNumberFormat="1" applyFont="1" applyBorder="1" applyAlignment="1">
      <alignment horizontal="left" vertical="top"/>
    </xf>
    <xf numFmtId="168" fontId="21" fillId="0" borderId="4" xfId="0" applyNumberFormat="1" applyFont="1" applyBorder="1" applyAlignment="1">
      <alignment horizontal="left" vertical="top"/>
    </xf>
    <xf numFmtId="168" fontId="21" fillId="0" borderId="5" xfId="0" applyNumberFormat="1" applyFont="1" applyBorder="1" applyAlignment="1">
      <alignment horizontal="left" vertical="top"/>
    </xf>
    <xf numFmtId="0" fontId="12" fillId="43" borderId="4" xfId="0" applyFont="1" applyFill="1" applyBorder="1" applyAlignment="1" applyProtection="1">
      <alignment horizontal="left" wrapText="1"/>
      <protection locked="0"/>
    </xf>
    <xf numFmtId="0" fontId="21" fillId="5" borderId="9" xfId="0" applyFont="1" applyFill="1" applyBorder="1" applyAlignment="1" applyProtection="1">
      <alignment horizontal="center"/>
      <protection locked="0"/>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0" fontId="12"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2" fillId="0" borderId="3" xfId="271" applyFont="1" applyBorder="1" applyAlignment="1">
      <alignment horizontal="left"/>
    </xf>
    <xf numFmtId="0" fontId="12" fillId="0" borderId="4" xfId="271" applyFont="1" applyBorder="1" applyAlignment="1">
      <alignment horizontal="left"/>
    </xf>
    <xf numFmtId="0" fontId="12" fillId="0" borderId="5" xfId="271" applyFont="1" applyBorder="1" applyAlignment="1">
      <alignment horizontal="left"/>
    </xf>
    <xf numFmtId="168" fontId="49" fillId="0" borderId="2" xfId="0" applyNumberFormat="1" applyFont="1" applyBorder="1" applyAlignment="1">
      <alignment horizontal="left" vertical="top" wrapText="1"/>
    </xf>
    <xf numFmtId="168" fontId="49" fillId="0" borderId="0" xfId="0" applyNumberFormat="1" applyFont="1" applyAlignment="1">
      <alignment horizontal="left" vertical="top" wrapText="1"/>
    </xf>
    <xf numFmtId="0" fontId="31" fillId="5" borderId="6" xfId="0" applyFont="1" applyFill="1" applyBorder="1" applyAlignment="1" applyProtection="1">
      <alignment horizontal="left"/>
      <protection locked="0"/>
    </xf>
    <xf numFmtId="168" fontId="169" fillId="0" borderId="0" xfId="0" applyNumberFormat="1" applyFont="1" applyAlignment="1">
      <alignment horizontal="center" vertical="center" wrapText="1"/>
    </xf>
    <xf numFmtId="2" fontId="0" fillId="0" borderId="6" xfId="0" applyNumberFormat="1" applyBorder="1" applyAlignment="1">
      <alignment horizontal="center"/>
    </xf>
    <xf numFmtId="168" fontId="21" fillId="0" borderId="11" xfId="0" applyNumberFormat="1" applyFont="1" applyBorder="1" applyAlignment="1">
      <alignment horizontal="center"/>
    </xf>
    <xf numFmtId="180" fontId="20" fillId="43" borderId="3" xfId="0" applyNumberFormat="1" applyFont="1" applyFill="1" applyBorder="1" applyAlignment="1" applyProtection="1">
      <alignment horizontal="center" vertical="center"/>
      <protection locked="0"/>
    </xf>
    <xf numFmtId="180" fontId="20" fillId="43" borderId="4" xfId="0" applyNumberFormat="1" applyFont="1" applyFill="1" applyBorder="1" applyAlignment="1" applyProtection="1">
      <alignment horizontal="center" vertical="center"/>
      <protection locked="0"/>
    </xf>
    <xf numFmtId="180" fontId="20"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2" fillId="43" borderId="3" xfId="0" applyNumberFormat="1" applyFont="1" applyFill="1" applyBorder="1" applyAlignment="1" applyProtection="1">
      <alignment horizontal="center" vertical="center"/>
      <protection locked="0"/>
    </xf>
    <xf numFmtId="168" fontId="12" fillId="43" borderId="4" xfId="0" applyNumberFormat="1" applyFont="1" applyFill="1" applyBorder="1" applyAlignment="1" applyProtection="1">
      <alignment horizontal="center" vertical="center"/>
      <protection locked="0"/>
    </xf>
    <xf numFmtId="168" fontId="12" fillId="43" borderId="5" xfId="0" applyNumberFormat="1" applyFont="1" applyFill="1" applyBorder="1" applyAlignment="1" applyProtection="1">
      <alignment horizontal="center" vertical="center"/>
      <protection locked="0"/>
    </xf>
    <xf numFmtId="0" fontId="19" fillId="0" borderId="0" xfId="0" applyFont="1" applyAlignment="1">
      <alignment horizontal="center" vertical="center"/>
    </xf>
    <xf numFmtId="168" fontId="0" fillId="43" borderId="6" xfId="0" applyNumberFormat="1" applyFill="1" applyBorder="1" applyAlignment="1" applyProtection="1">
      <alignment horizontal="right"/>
      <protection locked="0"/>
    </xf>
    <xf numFmtId="168" fontId="12" fillId="0" borderId="3" xfId="0" applyNumberFormat="1" applyFont="1" applyBorder="1" applyAlignment="1">
      <alignment horizontal="left" vertical="top"/>
    </xf>
    <xf numFmtId="0" fontId="20"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168" fontId="21" fillId="5" borderId="3" xfId="0" applyNumberFormat="1" applyFont="1" applyFill="1" applyBorder="1" applyAlignment="1" applyProtection="1">
      <alignment horizontal="left" vertical="top"/>
      <protection locked="0"/>
    </xf>
    <xf numFmtId="168" fontId="21" fillId="5" borderId="4" xfId="0" applyNumberFormat="1" applyFont="1" applyFill="1" applyBorder="1" applyAlignment="1" applyProtection="1">
      <alignment horizontal="left" vertical="top"/>
      <protection locked="0"/>
    </xf>
    <xf numFmtId="168" fontId="21" fillId="5" borderId="5" xfId="0" applyNumberFormat="1" applyFont="1" applyFill="1" applyBorder="1" applyAlignment="1" applyProtection="1">
      <alignment horizontal="left" vertical="top"/>
      <protection locked="0"/>
    </xf>
    <xf numFmtId="0" fontId="21" fillId="5" borderId="11" xfId="0" applyFont="1" applyFill="1" applyBorder="1" applyAlignment="1" applyProtection="1">
      <alignment horizontal="center"/>
      <protection locked="0"/>
    </xf>
    <xf numFmtId="3" fontId="21" fillId="0" borderId="11" xfId="0" applyNumberFormat="1" applyFont="1" applyBorder="1" applyAlignment="1">
      <alignment horizontal="center"/>
    </xf>
    <xf numFmtId="3" fontId="21" fillId="5" borderId="11" xfId="0" applyNumberFormat="1" applyFont="1" applyFill="1" applyBorder="1" applyAlignment="1" applyProtection="1">
      <alignment horizontal="center"/>
      <protection locked="0"/>
    </xf>
    <xf numFmtId="0" fontId="12" fillId="0" borderId="6" xfId="0" applyFont="1" applyBorder="1" applyAlignment="1" applyProtection="1">
      <alignment horizontal="left"/>
      <protection locked="0"/>
    </xf>
    <xf numFmtId="0" fontId="13" fillId="0" borderId="0" xfId="244" applyFill="1" applyAlignment="1" applyProtection="1">
      <alignment horizontal="left"/>
      <protection locked="0"/>
    </xf>
    <xf numFmtId="1" fontId="21" fillId="5" borderId="6" xfId="0" applyNumberFormat="1" applyFont="1" applyFill="1" applyBorder="1" applyAlignment="1" applyProtection="1">
      <alignment horizontal="right"/>
      <protection locked="0"/>
    </xf>
    <xf numFmtId="178" fontId="21" fillId="5" borderId="4" xfId="0" applyNumberFormat="1" applyFont="1" applyFill="1" applyBorder="1" applyAlignment="1" applyProtection="1">
      <alignment horizontal="right"/>
      <protection locked="0"/>
    </xf>
    <xf numFmtId="0" fontId="0" fillId="0" borderId="5" xfId="0" applyBorder="1" applyAlignment="1">
      <alignment horizontal="left"/>
    </xf>
    <xf numFmtId="0" fontId="19" fillId="0" borderId="9" xfId="0" applyFont="1" applyBorder="1" applyAlignment="1">
      <alignment horizontal="center"/>
    </xf>
    <xf numFmtId="0" fontId="19" fillId="0" borderId="10" xfId="0"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0" fontId="21"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21" fillId="5" borderId="6" xfId="0" applyFont="1" applyFill="1" applyBorder="1" applyAlignment="1" applyProtection="1">
      <alignment horizontal="left" vertical="top"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3" fontId="0" fillId="0" borderId="6" xfId="0" applyNumberFormat="1" applyBorder="1" applyAlignment="1">
      <alignment horizontal="right"/>
    </xf>
    <xf numFmtId="1" fontId="21" fillId="5" borderId="11" xfId="0" quotePrefix="1" applyNumberFormat="1" applyFont="1" applyFill="1" applyBorder="1" applyAlignment="1" applyProtection="1">
      <alignment horizontal="center"/>
      <protection locked="0"/>
    </xf>
    <xf numFmtId="165" fontId="21" fillId="5" borderId="3" xfId="0" applyNumberFormat="1" applyFont="1" applyFill="1" applyBorder="1" applyAlignment="1" applyProtection="1">
      <alignment horizontal="center"/>
      <protection locked="0"/>
    </xf>
    <xf numFmtId="165" fontId="21" fillId="5" borderId="4" xfId="0" applyNumberFormat="1" applyFont="1" applyFill="1" applyBorder="1" applyAlignment="1" applyProtection="1">
      <alignment horizontal="center"/>
      <protection locked="0"/>
    </xf>
    <xf numFmtId="165" fontId="21"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54" fillId="2" borderId="3" xfId="0" applyFont="1" applyFill="1" applyBorder="1" applyAlignment="1">
      <alignment horizontal="center" vertical="top"/>
    </xf>
    <xf numFmtId="0" fontId="54" fillId="2" borderId="4" xfId="0" applyFont="1" applyFill="1" applyBorder="1" applyAlignment="1">
      <alignment horizontal="center" vertical="top"/>
    </xf>
    <xf numFmtId="0" fontId="54" fillId="2" borderId="5" xfId="0" applyFont="1" applyFill="1" applyBorder="1" applyAlignment="1">
      <alignment horizontal="center" vertical="top"/>
    </xf>
    <xf numFmtId="0" fontId="21" fillId="0" borderId="6" xfId="0" applyFont="1" applyBorder="1" applyAlignment="1">
      <alignment vertical="top" wrapText="1"/>
    </xf>
    <xf numFmtId="177" fontId="21" fillId="5" borderId="6" xfId="0" applyNumberFormat="1" applyFont="1" applyFill="1" applyBorder="1" applyAlignment="1" applyProtection="1">
      <alignment horizontal="left" vertical="top" wrapText="1"/>
      <protection locked="0"/>
    </xf>
    <xf numFmtId="0" fontId="21" fillId="0" borderId="2" xfId="0" applyFont="1" applyBorder="1" applyAlignment="1">
      <alignment vertical="top" wrapText="1"/>
    </xf>
    <xf numFmtId="0" fontId="49" fillId="0" borderId="0" xfId="0" applyFont="1" applyAlignment="1">
      <alignment vertical="top" wrapText="1"/>
    </xf>
    <xf numFmtId="0" fontId="21" fillId="0" borderId="2" xfId="0" applyFont="1" applyBorder="1" applyAlignment="1">
      <alignment horizontal="left" vertical="top" wrapText="1"/>
    </xf>
    <xf numFmtId="0" fontId="50" fillId="0" borderId="0" xfId="0" applyFont="1" applyAlignment="1">
      <alignment vertical="top" wrapText="1"/>
    </xf>
    <xf numFmtId="0" fontId="0" fillId="0" borderId="0" xfId="0" applyAlignment="1">
      <alignment vertical="top" wrapText="1"/>
    </xf>
    <xf numFmtId="0" fontId="21" fillId="0" borderId="0" xfId="0" applyFont="1" applyAlignment="1">
      <alignment vertical="top" wrapText="1"/>
    </xf>
    <xf numFmtId="0" fontId="21" fillId="0" borderId="6" xfId="0" applyFont="1" applyBorder="1" applyAlignment="1">
      <alignment horizontal="right" vertical="top" wrapText="1"/>
    </xf>
    <xf numFmtId="0" fontId="50" fillId="0" borderId="0" xfId="569" applyFont="1" applyAlignment="1">
      <alignment vertical="top" wrapText="1"/>
    </xf>
    <xf numFmtId="0" fontId="12" fillId="0" borderId="0" xfId="569" applyAlignment="1">
      <alignment horizontal="right" vertical="top" wrapText="1"/>
    </xf>
    <xf numFmtId="0" fontId="18" fillId="3" borderId="3" xfId="0" applyFont="1" applyFill="1" applyBorder="1" applyAlignment="1">
      <alignment horizontal="left" vertical="top"/>
    </xf>
    <xf numFmtId="0" fontId="18" fillId="3" borderId="4" xfId="0" applyFont="1" applyFill="1" applyBorder="1" applyAlignment="1">
      <alignment horizontal="left" vertical="top"/>
    </xf>
    <xf numFmtId="0" fontId="18" fillId="3" borderId="5" xfId="0" applyFont="1" applyFill="1" applyBorder="1" applyAlignment="1">
      <alignment horizontal="left" vertical="top"/>
    </xf>
    <xf numFmtId="165" fontId="118" fillId="0" borderId="55" xfId="4496" applyNumberFormat="1" applyFont="1" applyBorder="1" applyAlignment="1">
      <alignment horizontal="center" vertical="top" wrapText="1"/>
    </xf>
    <xf numFmtId="165" fontId="118" fillId="0" borderId="6" xfId="4496" applyNumberFormat="1" applyFont="1" applyBorder="1" applyAlignment="1">
      <alignment horizontal="center" vertical="top" wrapText="1"/>
    </xf>
    <xf numFmtId="165" fontId="118" fillId="0" borderId="60" xfId="4496" applyNumberFormat="1" applyFont="1" applyBorder="1" applyAlignment="1">
      <alignment horizontal="center" vertical="top" wrapText="1"/>
    </xf>
    <xf numFmtId="165" fontId="118" fillId="0" borderId="4" xfId="4496" applyNumberFormat="1" applyFont="1" applyBorder="1" applyAlignment="1">
      <alignment horizontal="center" vertical="top" wrapText="1"/>
    </xf>
    <xf numFmtId="0" fontId="118" fillId="5" borderId="60" xfId="4496" applyFont="1" applyFill="1" applyBorder="1" applyAlignment="1" applyProtection="1">
      <alignment horizontal="center"/>
      <protection locked="0"/>
    </xf>
    <xf numFmtId="0" fontId="118" fillId="5" borderId="4" xfId="4496" applyFont="1" applyFill="1" applyBorder="1" applyAlignment="1" applyProtection="1">
      <alignment horizontal="center"/>
      <protection locked="0"/>
    </xf>
    <xf numFmtId="0" fontId="118" fillId="5" borderId="6" xfId="4496" applyFont="1" applyFill="1" applyBorder="1" applyAlignment="1" applyProtection="1">
      <alignment horizontal="center"/>
      <protection locked="0"/>
    </xf>
    <xf numFmtId="0" fontId="12" fillId="0" borderId="50" xfId="4495" applyFont="1" applyBorder="1" applyAlignment="1">
      <alignment horizontal="left" vertical="center" wrapText="1"/>
    </xf>
    <xf numFmtId="0" fontId="12" fillId="0" borderId="51" xfId="4495" applyFont="1" applyBorder="1" applyAlignment="1">
      <alignment horizontal="left" vertical="center" wrapText="1"/>
    </xf>
    <xf numFmtId="0" fontId="12" fillId="0" borderId="52" xfId="4495" applyFont="1" applyBorder="1" applyAlignment="1">
      <alignment horizontal="left" vertical="center" wrapText="1"/>
    </xf>
    <xf numFmtId="0" fontId="12" fillId="0" borderId="57" xfId="4495" applyFont="1" applyBorder="1" applyAlignment="1">
      <alignment horizontal="left" vertical="center" wrapText="1"/>
    </xf>
    <xf numFmtId="0" fontId="12" fillId="0" borderId="58" xfId="4495" applyFont="1" applyBorder="1" applyAlignment="1">
      <alignment horizontal="left" vertical="center" wrapText="1"/>
    </xf>
    <xf numFmtId="0" fontId="12" fillId="0" borderId="59" xfId="4495" applyFont="1" applyBorder="1" applyAlignment="1">
      <alignment horizontal="left" vertical="center" wrapText="1"/>
    </xf>
    <xf numFmtId="0" fontId="12" fillId="0" borderId="53" xfId="4495" applyFont="1" applyBorder="1" applyAlignment="1">
      <alignment horizontal="left" vertical="center" wrapText="1"/>
    </xf>
    <xf numFmtId="0" fontId="12" fillId="0" borderId="0" xfId="4495" applyFont="1" applyAlignment="1">
      <alignment horizontal="left" vertical="center" wrapText="1"/>
    </xf>
    <xf numFmtId="0" fontId="12" fillId="0" borderId="54" xfId="4495" applyFont="1" applyBorder="1" applyAlignment="1">
      <alignment horizontal="left" vertical="center" wrapText="1"/>
    </xf>
    <xf numFmtId="0" fontId="19" fillId="0" borderId="0" xfId="4495" applyFont="1" applyAlignment="1">
      <alignment horizontal="right"/>
    </xf>
    <xf numFmtId="0" fontId="118" fillId="0" borderId="50" xfId="4496" applyFont="1" applyBorder="1" applyAlignment="1">
      <alignment horizontal="left" vertical="top" wrapText="1"/>
    </xf>
    <xf numFmtId="0" fontId="118" fillId="0" borderId="51" xfId="4496" applyFont="1" applyBorder="1" applyAlignment="1">
      <alignment horizontal="left" vertical="top" wrapText="1"/>
    </xf>
    <xf numFmtId="0" fontId="118" fillId="0" borderId="52" xfId="4496" applyFont="1" applyBorder="1" applyAlignment="1">
      <alignment horizontal="left" vertical="top" wrapText="1"/>
    </xf>
    <xf numFmtId="0" fontId="118" fillId="0" borderId="53" xfId="4496" applyFont="1" applyBorder="1" applyAlignment="1">
      <alignment horizontal="left" vertical="top" wrapText="1"/>
    </xf>
    <xf numFmtId="0" fontId="118" fillId="0" borderId="0" xfId="4496" applyFont="1" applyAlignment="1">
      <alignment horizontal="left" vertical="top" wrapText="1"/>
    </xf>
    <xf numFmtId="0" fontId="118" fillId="0" borderId="54" xfId="4496" applyFont="1" applyBorder="1" applyAlignment="1">
      <alignment horizontal="left" vertical="top" wrapText="1"/>
    </xf>
    <xf numFmtId="0" fontId="118" fillId="0" borderId="57" xfId="4496" applyFont="1" applyBorder="1" applyAlignment="1">
      <alignment horizontal="left" vertical="top" wrapText="1"/>
    </xf>
    <xf numFmtId="0" fontId="118" fillId="0" borderId="58" xfId="4496" applyFont="1" applyBorder="1" applyAlignment="1">
      <alignment horizontal="left" vertical="top" wrapText="1"/>
    </xf>
    <xf numFmtId="0" fontId="118" fillId="0" borderId="59" xfId="4496" applyFont="1" applyBorder="1" applyAlignment="1">
      <alignment horizontal="left" vertical="top" wrapText="1"/>
    </xf>
    <xf numFmtId="0" fontId="118" fillId="5" borderId="55" xfId="4496" applyFont="1" applyFill="1" applyBorder="1" applyAlignment="1" applyProtection="1">
      <alignment horizontal="center"/>
      <protection locked="0"/>
    </xf>
    <xf numFmtId="0" fontId="118" fillId="0" borderId="47" xfId="4496" applyFont="1" applyBorder="1"/>
    <xf numFmtId="0" fontId="118" fillId="0" borderId="48" xfId="4496" applyFont="1" applyBorder="1"/>
    <xf numFmtId="0" fontId="118" fillId="0" borderId="49" xfId="4496" applyFont="1" applyBorder="1"/>
    <xf numFmtId="0" fontId="118" fillId="0" borderId="55" xfId="4496" applyFont="1" applyBorder="1" applyAlignment="1">
      <alignment horizontal="center" vertical="top" wrapText="1"/>
    </xf>
    <xf numFmtId="0" fontId="118" fillId="0" borderId="6" xfId="4496" applyFont="1" applyBorder="1" applyAlignment="1">
      <alignment horizontal="center" vertical="top" wrapText="1"/>
    </xf>
    <xf numFmtId="0" fontId="18" fillId="3" borderId="2" xfId="4495" applyFont="1" applyFill="1" applyBorder="1" applyAlignment="1">
      <alignment horizontal="center" vertical="center"/>
    </xf>
    <xf numFmtId="0" fontId="18" fillId="3" borderId="16" xfId="4495" applyFont="1" applyFill="1" applyBorder="1" applyAlignment="1">
      <alignment horizontal="center" vertical="center"/>
    </xf>
    <xf numFmtId="0" fontId="19" fillId="0" borderId="48" xfId="4495" applyFont="1" applyBorder="1" applyAlignment="1">
      <alignment horizontal="left" vertical="top"/>
    </xf>
    <xf numFmtId="0" fontId="19" fillId="0" borderId="49" xfId="4495" applyFont="1" applyBorder="1" applyAlignment="1">
      <alignment horizontal="left" vertical="top"/>
    </xf>
    <xf numFmtId="1" fontId="12" fillId="0" borderId="3" xfId="4495" applyNumberFormat="1" applyFont="1" applyBorder="1" applyAlignment="1">
      <alignment horizontal="center"/>
    </xf>
    <xf numFmtId="1" fontId="12" fillId="0" borderId="4" xfId="4495" applyNumberFormat="1" applyFont="1" applyBorder="1" applyAlignment="1">
      <alignment horizontal="center"/>
    </xf>
    <xf numFmtId="1" fontId="12" fillId="0" borderId="5" xfId="4495" applyNumberFormat="1" applyFont="1" applyBorder="1" applyAlignment="1">
      <alignment horizontal="center"/>
    </xf>
    <xf numFmtId="0" fontId="12" fillId="0" borderId="50" xfId="4495" applyFont="1" applyBorder="1" applyAlignment="1">
      <alignment vertical="center" wrapText="1"/>
    </xf>
    <xf numFmtId="0" fontId="12" fillId="0" borderId="51" xfId="4495" applyFont="1" applyBorder="1" applyAlignment="1">
      <alignment vertical="center" wrapText="1"/>
    </xf>
    <xf numFmtId="0" fontId="12" fillId="0" borderId="52" xfId="4495" applyFont="1" applyBorder="1" applyAlignment="1">
      <alignment vertical="center" wrapText="1"/>
    </xf>
    <xf numFmtId="0" fontId="12" fillId="0" borderId="57" xfId="4495" applyFont="1" applyBorder="1" applyAlignment="1">
      <alignment vertical="center" wrapText="1"/>
    </xf>
    <xf numFmtId="0" fontId="12" fillId="0" borderId="58" xfId="4495" applyFont="1" applyBorder="1" applyAlignment="1">
      <alignment vertical="center" wrapText="1"/>
    </xf>
    <xf numFmtId="0" fontId="12" fillId="0" borderId="59" xfId="4495" applyFont="1" applyBorder="1" applyAlignment="1">
      <alignment vertical="center" wrapText="1"/>
    </xf>
    <xf numFmtId="0" fontId="118" fillId="43" borderId="55" xfId="4496" applyFont="1" applyFill="1" applyBorder="1" applyAlignment="1" applyProtection="1">
      <alignment horizontal="left" vertical="top" wrapText="1"/>
      <protection locked="0"/>
    </xf>
    <xf numFmtId="0" fontId="118" fillId="43" borderId="6" xfId="4496" applyFont="1" applyFill="1" applyBorder="1" applyAlignment="1" applyProtection="1">
      <alignment horizontal="left" vertical="top" wrapText="1"/>
      <protection locked="0"/>
    </xf>
    <xf numFmtId="0" fontId="118" fillId="43" borderId="56" xfId="4496" applyFont="1" applyFill="1" applyBorder="1" applyAlignment="1" applyProtection="1">
      <alignment horizontal="left" vertical="top" wrapText="1"/>
      <protection locked="0"/>
    </xf>
    <xf numFmtId="0" fontId="19" fillId="0" borderId="0" xfId="4495" applyFont="1" applyAlignment="1">
      <alignment horizontal="center" vertical="top"/>
    </xf>
    <xf numFmtId="0" fontId="12" fillId="5" borderId="6" xfId="4495" applyFont="1" applyFill="1" applyBorder="1" applyAlignment="1" applyProtection="1">
      <alignment horizontal="left"/>
      <protection locked="0"/>
    </xf>
    <xf numFmtId="168" fontId="118" fillId="0" borderId="55" xfId="4496" applyNumberFormat="1" applyFont="1" applyBorder="1" applyAlignment="1">
      <alignment horizontal="center" vertical="top"/>
    </xf>
    <xf numFmtId="168" fontId="118" fillId="0" borderId="6" xfId="4496" applyNumberFormat="1" applyFont="1" applyBorder="1" applyAlignment="1">
      <alignment horizontal="center" vertical="top"/>
    </xf>
    <xf numFmtId="10" fontId="118" fillId="0" borderId="3" xfId="4496" applyNumberFormat="1" applyFont="1" applyBorder="1" applyAlignment="1">
      <alignment horizontal="center" vertical="top" wrapText="1"/>
    </xf>
    <xf numFmtId="10" fontId="118" fillId="0" borderId="4" xfId="4496" applyNumberFormat="1" applyFont="1" applyBorder="1" applyAlignment="1">
      <alignment horizontal="center" vertical="top" wrapText="1"/>
    </xf>
    <xf numFmtId="10" fontId="118" fillId="0" borderId="5" xfId="4496" applyNumberFormat="1" applyFont="1" applyBorder="1" applyAlignment="1">
      <alignment horizontal="center" vertical="top" wrapText="1"/>
    </xf>
    <xf numFmtId="1" fontId="118" fillId="0" borderId="55" xfId="4496" applyNumberFormat="1" applyFont="1" applyBorder="1" applyAlignment="1">
      <alignment horizontal="center" vertical="top" wrapText="1"/>
    </xf>
    <xf numFmtId="1" fontId="118" fillId="0" borderId="6" xfId="4496" applyNumberFormat="1" applyFont="1" applyBorder="1" applyAlignment="1">
      <alignment horizontal="center" vertical="top" wrapText="1"/>
    </xf>
    <xf numFmtId="168" fontId="118" fillId="43" borderId="55" xfId="4496" applyNumberFormat="1" applyFont="1" applyFill="1" applyBorder="1" applyAlignment="1" applyProtection="1">
      <alignment horizontal="center" vertical="top" wrapText="1"/>
      <protection locked="0"/>
    </xf>
    <xf numFmtId="168" fontId="118" fillId="43" borderId="6" xfId="4496" applyNumberFormat="1" applyFont="1" applyFill="1" applyBorder="1" applyAlignment="1" applyProtection="1">
      <alignment horizontal="center" vertical="top" wrapText="1"/>
      <protection locked="0"/>
    </xf>
    <xf numFmtId="0" fontId="12" fillId="0" borderId="0" xfId="1192" applyAlignment="1">
      <alignment horizontal="right"/>
    </xf>
    <xf numFmtId="0" fontId="12" fillId="5" borderId="6" xfId="1192" applyFill="1" applyBorder="1" applyAlignment="1" applyProtection="1">
      <alignment horizontal="left"/>
      <protection locked="0"/>
    </xf>
    <xf numFmtId="168" fontId="12" fillId="43" borderId="6" xfId="4495" applyNumberFormat="1" applyFont="1" applyFill="1" applyBorder="1" applyAlignment="1" applyProtection="1">
      <alignment horizontal="right"/>
      <protection locked="0"/>
    </xf>
    <xf numFmtId="9" fontId="12" fillId="0" borderId="6" xfId="1192" applyNumberFormat="1" applyBorder="1" applyAlignment="1">
      <alignment horizontal="center"/>
    </xf>
    <xf numFmtId="9" fontId="12" fillId="0" borderId="6" xfId="1192" quotePrefix="1" applyNumberFormat="1" applyBorder="1" applyAlignment="1">
      <alignment horizontal="center"/>
    </xf>
    <xf numFmtId="9" fontId="12" fillId="0" borderId="0" xfId="1192" quotePrefix="1" applyNumberFormat="1" applyAlignment="1">
      <alignment horizontal="center"/>
    </xf>
    <xf numFmtId="1" fontId="12" fillId="5" borderId="2" xfId="1192" applyNumberFormat="1" applyFill="1" applyBorder="1" applyAlignment="1" applyProtection="1">
      <alignment horizontal="center"/>
      <protection locked="0"/>
    </xf>
    <xf numFmtId="9" fontId="12" fillId="5" borderId="4" xfId="1192" applyNumberFormat="1" applyFill="1" applyBorder="1" applyAlignment="1" applyProtection="1">
      <alignment horizontal="left"/>
      <protection locked="0"/>
    </xf>
    <xf numFmtId="168" fontId="12" fillId="0" borderId="0" xfId="1192" applyNumberFormat="1" applyAlignment="1">
      <alignment horizontal="right"/>
    </xf>
    <xf numFmtId="1" fontId="12" fillId="5" borderId="4" xfId="1192" applyNumberFormat="1" applyFill="1" applyBorder="1" applyAlignment="1" applyProtection="1">
      <alignment horizontal="center"/>
      <protection locked="0"/>
    </xf>
    <xf numFmtId="0" fontId="138" fillId="0" borderId="6" xfId="1192" applyFont="1" applyBorder="1" applyAlignment="1">
      <alignment horizontal="center"/>
    </xf>
    <xf numFmtId="168" fontId="12" fillId="5" borderId="4" xfId="1192" applyNumberFormat="1" applyFill="1" applyBorder="1" applyAlignment="1" applyProtection="1">
      <alignment horizontal="center"/>
      <protection locked="0"/>
    </xf>
    <xf numFmtId="2" fontId="12" fillId="0" borderId="0" xfId="1192" applyNumberFormat="1" applyAlignment="1">
      <alignment horizontal="right"/>
    </xf>
    <xf numFmtId="0" fontId="20" fillId="5" borderId="6" xfId="4495" applyFont="1" applyFill="1" applyBorder="1" applyAlignment="1" applyProtection="1">
      <alignment horizontal="left"/>
      <protection locked="0"/>
    </xf>
    <xf numFmtId="0" fontId="12" fillId="0" borderId="0" xfId="4495" applyFont="1" applyAlignment="1">
      <alignment horizontal="left"/>
    </xf>
    <xf numFmtId="0" fontId="49" fillId="5" borderId="6" xfId="4495" applyFont="1" applyFill="1" applyBorder="1" applyAlignment="1" applyProtection="1">
      <alignment horizontal="left"/>
      <protection locked="0"/>
    </xf>
    <xf numFmtId="0" fontId="12" fillId="5" borderId="6" xfId="4495" applyFont="1" applyFill="1" applyBorder="1" applyAlignment="1" applyProtection="1">
      <alignment horizontal="center"/>
      <protection locked="0"/>
    </xf>
    <xf numFmtId="1" fontId="12" fillId="0" borderId="11" xfId="4495" applyNumberFormat="1" applyFont="1" applyBorder="1" applyAlignment="1">
      <alignment horizontal="center"/>
    </xf>
    <xf numFmtId="0" fontId="12" fillId="0" borderId="11" xfId="4495" applyFont="1" applyBorder="1" applyAlignment="1">
      <alignment horizontal="center"/>
    </xf>
    <xf numFmtId="0" fontId="116" fillId="5" borderId="6" xfId="4495" applyFill="1" applyBorder="1" applyAlignment="1" applyProtection="1">
      <alignment horizontal="center"/>
      <protection locked="0"/>
    </xf>
    <xf numFmtId="0" fontId="19" fillId="0" borderId="0" xfId="4495" applyFont="1" applyAlignment="1">
      <alignment horizontal="left" vertical="top"/>
    </xf>
    <xf numFmtId="0" fontId="116" fillId="0" borderId="0" xfId="4495" applyAlignment="1" applyProtection="1">
      <alignment horizontal="center"/>
      <protection locked="0"/>
    </xf>
    <xf numFmtId="0" fontId="12" fillId="0" borderId="3" xfId="4495" applyFont="1" applyBorder="1" applyAlignment="1">
      <alignment horizontal="center"/>
    </xf>
    <xf numFmtId="0" fontId="12" fillId="0" borderId="4" xfId="4495" applyFont="1" applyBorder="1" applyAlignment="1">
      <alignment horizontal="center"/>
    </xf>
    <xf numFmtId="0" fontId="12" fillId="0" borderId="5" xfId="4495" applyFont="1" applyBorder="1" applyAlignment="1">
      <alignment horizontal="center"/>
    </xf>
    <xf numFmtId="168" fontId="12" fillId="0" borderId="6" xfId="4496" applyNumberFormat="1" applyFont="1" applyBorder="1" applyAlignment="1">
      <alignment horizontal="center"/>
    </xf>
    <xf numFmtId="9" fontId="12" fillId="0" borderId="4" xfId="543" applyNumberFormat="1" applyBorder="1" applyAlignment="1">
      <alignment horizontal="center"/>
    </xf>
    <xf numFmtId="0" fontId="12" fillId="0" borderId="4" xfId="4496" applyFont="1" applyBorder="1" applyAlignment="1">
      <alignment horizontal="center"/>
    </xf>
    <xf numFmtId="0" fontId="12" fillId="0" borderId="5" xfId="4496" applyFont="1" applyBorder="1" applyAlignment="1">
      <alignment horizontal="center"/>
    </xf>
    <xf numFmtId="168" fontId="12" fillId="0" borderId="6" xfId="4495" applyNumberFormat="1" applyFont="1" applyBorder="1" applyAlignment="1">
      <alignment horizontal="right"/>
    </xf>
    <xf numFmtId="168" fontId="114" fillId="0" borderId="6" xfId="4495" applyNumberFormat="1" applyFont="1" applyBorder="1" applyAlignment="1">
      <alignment horizontal="right"/>
    </xf>
    <xf numFmtId="6" fontId="12" fillId="0" borderId="3" xfId="1192" applyNumberFormat="1" applyBorder="1" applyAlignment="1">
      <alignment horizontal="right"/>
    </xf>
    <xf numFmtId="6" fontId="12" fillId="0" borderId="4" xfId="1192" applyNumberFormat="1" applyBorder="1" applyAlignment="1">
      <alignment horizontal="right"/>
    </xf>
    <xf numFmtId="6" fontId="12" fillId="0" borderId="5" xfId="1192" applyNumberFormat="1" applyBorder="1" applyAlignment="1">
      <alignment horizontal="right"/>
    </xf>
    <xf numFmtId="168" fontId="12" fillId="0" borderId="4" xfId="4495" applyNumberFormat="1" applyFont="1" applyBorder="1" applyAlignment="1">
      <alignment horizontal="right"/>
    </xf>
    <xf numFmtId="165" fontId="12" fillId="43" borderId="3" xfId="4495" applyNumberFormat="1" applyFont="1" applyFill="1" applyBorder="1" applyAlignment="1" applyProtection="1">
      <alignment horizontal="center"/>
      <protection locked="0"/>
    </xf>
    <xf numFmtId="165" fontId="12" fillId="43" borderId="4" xfId="4495" applyNumberFormat="1" applyFont="1" applyFill="1" applyBorder="1" applyAlignment="1" applyProtection="1">
      <alignment horizontal="center"/>
      <protection locked="0"/>
    </xf>
    <xf numFmtId="165" fontId="12" fillId="43" borderId="5" xfId="4495" applyNumberFormat="1" applyFont="1" applyFill="1" applyBorder="1" applyAlignment="1" applyProtection="1">
      <alignment horizontal="center"/>
      <protection locked="0"/>
    </xf>
    <xf numFmtId="165" fontId="12" fillId="0" borderId="6" xfId="1192" applyNumberFormat="1" applyBorder="1" applyAlignment="1">
      <alignment horizontal="right"/>
    </xf>
    <xf numFmtId="168" fontId="12" fillId="0" borderId="2" xfId="1192" applyNumberFormat="1" applyBorder="1" applyAlignment="1">
      <alignment horizontal="right"/>
    </xf>
    <xf numFmtId="165" fontId="12" fillId="0" borderId="0" xfId="1192" applyNumberFormat="1" applyAlignment="1">
      <alignment horizontal="right"/>
    </xf>
    <xf numFmtId="0" fontId="12" fillId="0" borderId="53" xfId="4495" applyFont="1" applyBorder="1" applyAlignment="1">
      <alignment horizontal="left" vertical="top" wrapText="1"/>
    </xf>
    <xf numFmtId="0" fontId="12" fillId="0" borderId="0" xfId="4495" applyFont="1" applyAlignment="1">
      <alignment horizontal="left" vertical="top" wrapText="1"/>
    </xf>
    <xf numFmtId="0" fontId="12" fillId="0" borderId="54" xfId="4495" applyFont="1" applyBorder="1" applyAlignment="1">
      <alignment horizontal="left" vertical="top" wrapText="1"/>
    </xf>
    <xf numFmtId="0" fontId="12" fillId="0" borderId="57" xfId="4495" applyFont="1" applyBorder="1" applyAlignment="1">
      <alignment horizontal="left" vertical="top" wrapText="1"/>
    </xf>
    <xf numFmtId="0" fontId="12" fillId="0" borderId="58" xfId="4495" applyFont="1" applyBorder="1" applyAlignment="1">
      <alignment horizontal="left" vertical="top" wrapText="1"/>
    </xf>
    <xf numFmtId="0" fontId="12" fillId="0" borderId="59" xfId="4495" applyFont="1" applyBorder="1" applyAlignment="1">
      <alignment horizontal="left" vertical="top" wrapText="1"/>
    </xf>
    <xf numFmtId="0" fontId="12" fillId="0" borderId="50" xfId="4495" applyFont="1" applyBorder="1" applyAlignment="1">
      <alignment horizontal="left" vertical="top" wrapText="1"/>
    </xf>
    <xf numFmtId="0" fontId="12" fillId="0" borderId="51" xfId="4495" applyFont="1" applyBorder="1" applyAlignment="1">
      <alignment horizontal="left" vertical="top" wrapText="1"/>
    </xf>
    <xf numFmtId="0" fontId="12" fillId="0" borderId="52" xfId="4495" applyFont="1" applyBorder="1" applyAlignment="1">
      <alignment horizontal="left" vertical="top" wrapText="1"/>
    </xf>
    <xf numFmtId="0" fontId="19" fillId="0" borderId="0" xfId="4495" applyFont="1"/>
    <xf numFmtId="0" fontId="12" fillId="43" borderId="53" xfId="4495" applyFont="1" applyFill="1" applyBorder="1" applyAlignment="1" applyProtection="1">
      <alignment vertical="top" wrapText="1"/>
      <protection locked="0"/>
    </xf>
    <xf numFmtId="0" fontId="12" fillId="43" borderId="0" xfId="4495" applyFont="1" applyFill="1" applyAlignment="1" applyProtection="1">
      <alignment vertical="top" wrapText="1"/>
      <protection locked="0"/>
    </xf>
    <xf numFmtId="0" fontId="12" fillId="43" borderId="54" xfId="4495" applyFont="1" applyFill="1" applyBorder="1" applyAlignment="1" applyProtection="1">
      <alignment vertical="top" wrapText="1"/>
      <protection locked="0"/>
    </xf>
    <xf numFmtId="0" fontId="12" fillId="43" borderId="55" xfId="4495" applyFont="1" applyFill="1" applyBorder="1" applyAlignment="1" applyProtection="1">
      <alignment vertical="top" wrapText="1"/>
      <protection locked="0"/>
    </xf>
    <xf numFmtId="0" fontId="12" fillId="43" borderId="6" xfId="4495" applyFont="1" applyFill="1" applyBorder="1" applyAlignment="1" applyProtection="1">
      <alignment vertical="top" wrapText="1"/>
      <protection locked="0"/>
    </xf>
    <xf numFmtId="0" fontId="12" fillId="43" borderId="56" xfId="4495" applyFont="1" applyFill="1" applyBorder="1" applyAlignment="1" applyProtection="1">
      <alignment vertical="top" wrapText="1"/>
      <protection locked="0"/>
    </xf>
    <xf numFmtId="0" fontId="12" fillId="43" borderId="0" xfId="4495" applyFont="1" applyFill="1" applyAlignment="1" applyProtection="1">
      <alignment horizontal="left" vertical="center" wrapText="1"/>
      <protection locked="0"/>
    </xf>
    <xf numFmtId="0" fontId="12" fillId="43" borderId="54" xfId="4495" applyFont="1" applyFill="1" applyBorder="1" applyAlignment="1" applyProtection="1">
      <alignment horizontal="left" vertical="center" wrapText="1"/>
      <protection locked="0"/>
    </xf>
    <xf numFmtId="0" fontId="12" fillId="43" borderId="6" xfId="4495" applyFont="1" applyFill="1" applyBorder="1" applyAlignment="1" applyProtection="1">
      <alignment horizontal="left" vertical="center" wrapText="1"/>
      <protection locked="0"/>
    </xf>
    <xf numFmtId="0" fontId="12" fillId="43" borderId="56" xfId="4495" applyFont="1" applyFill="1" applyBorder="1" applyAlignment="1" applyProtection="1">
      <alignment horizontal="left" vertical="center" wrapText="1"/>
      <protection locked="0"/>
    </xf>
    <xf numFmtId="0" fontId="126" fillId="0" borderId="0" xfId="4495" applyFont="1" applyAlignment="1">
      <alignment horizontal="left" vertical="top" wrapText="1"/>
    </xf>
    <xf numFmtId="0" fontId="116" fillId="5" borderId="55" xfId="4495" applyFill="1" applyBorder="1" applyAlignment="1" applyProtection="1">
      <alignment horizontal="center"/>
      <protection locked="0"/>
    </xf>
    <xf numFmtId="0" fontId="19" fillId="0" borderId="0" xfId="4495" applyFont="1" applyAlignment="1">
      <alignment horizontal="center"/>
    </xf>
    <xf numFmtId="0" fontId="19" fillId="0" borderId="54" xfId="4495" applyFont="1" applyBorder="1" applyAlignment="1">
      <alignment horizontal="center"/>
    </xf>
    <xf numFmtId="0" fontId="20" fillId="0" borderId="51" xfId="4495" applyFont="1" applyBorder="1" applyAlignment="1">
      <alignment horizontal="left" vertical="top" wrapText="1"/>
    </xf>
    <xf numFmtId="0" fontId="20" fillId="0" borderId="0" xfId="4495" applyFont="1" applyAlignment="1">
      <alignment horizontal="left" vertical="top" wrapText="1"/>
    </xf>
    <xf numFmtId="0" fontId="19" fillId="0" borderId="54" xfId="4495" applyFont="1" applyBorder="1" applyAlignment="1">
      <alignment horizontal="center" vertical="top"/>
    </xf>
    <xf numFmtId="0" fontId="116" fillId="5" borderId="63" xfId="4495" applyFill="1" applyBorder="1" applyAlignment="1" applyProtection="1">
      <alignment horizontal="center"/>
      <protection locked="0"/>
    </xf>
    <xf numFmtId="0" fontId="116" fillId="5" borderId="64" xfId="4495" applyFill="1" applyBorder="1" applyAlignment="1" applyProtection="1">
      <alignment horizontal="center"/>
      <protection locked="0"/>
    </xf>
    <xf numFmtId="0" fontId="12" fillId="0" borderId="0" xfId="4495" applyFont="1" applyAlignment="1">
      <alignment horizontal="left" vertical="center" wrapText="1" shrinkToFit="1"/>
    </xf>
    <xf numFmtId="0" fontId="12" fillId="5" borderId="6" xfId="4495" applyFont="1" applyFill="1" applyBorder="1" applyAlignment="1" applyProtection="1">
      <alignment horizontal="center" vertical="center" wrapText="1" shrinkToFit="1"/>
      <protection locked="0"/>
    </xf>
    <xf numFmtId="0" fontId="12" fillId="5" borderId="6" xfId="4495" applyFont="1" applyFill="1" applyBorder="1" applyAlignment="1" applyProtection="1">
      <alignment horizontal="left" wrapText="1" shrinkToFit="1"/>
      <protection locked="0"/>
    </xf>
    <xf numFmtId="0" fontId="12" fillId="43" borderId="6" xfId="1192" applyFill="1" applyBorder="1" applyAlignment="1" applyProtection="1">
      <alignment horizontal="left" vertical="top"/>
      <protection locked="0"/>
    </xf>
    <xf numFmtId="0" fontId="20" fillId="0" borderId="0" xfId="4495" applyFont="1" applyAlignment="1">
      <alignment horizontal="center"/>
    </xf>
    <xf numFmtId="0" fontId="12" fillId="0" borderId="0" xfId="4495" applyFont="1" applyAlignment="1">
      <alignment horizontal="left" vertical="top" wrapText="1" shrinkToFit="1"/>
    </xf>
    <xf numFmtId="44" fontId="12" fillId="0" borderId="0" xfId="707" applyFont="1" applyFill="1" applyBorder="1" applyAlignment="1" applyProtection="1">
      <alignment horizontal="left" vertical="top" wrapText="1"/>
    </xf>
    <xf numFmtId="0" fontId="19" fillId="0" borderId="0" xfId="4495" applyFont="1" applyAlignment="1">
      <alignment horizontal="left" vertical="top" wrapText="1"/>
    </xf>
    <xf numFmtId="0" fontId="12" fillId="45" borderId="11" xfId="4495" applyFont="1" applyFill="1" applyBorder="1" applyAlignment="1">
      <alignment horizontal="center"/>
    </xf>
    <xf numFmtId="0" fontId="126" fillId="0" borderId="0" xfId="4495" applyFont="1" applyAlignment="1">
      <alignment horizontal="left" vertical="center" wrapText="1"/>
    </xf>
    <xf numFmtId="0" fontId="19" fillId="0" borderId="11" xfId="4495" applyFont="1" applyBorder="1" applyAlignment="1">
      <alignment horizontal="center"/>
    </xf>
    <xf numFmtId="0" fontId="20" fillId="0" borderId="58" xfId="4495" applyFont="1" applyBorder="1" applyAlignment="1">
      <alignment horizontal="left" vertical="top" wrapText="1"/>
    </xf>
    <xf numFmtId="0" fontId="19" fillId="0" borderId="51" xfId="4495" applyFont="1" applyBorder="1" applyAlignment="1">
      <alignment horizontal="center" vertical="top"/>
    </xf>
    <xf numFmtId="0" fontId="19" fillId="0" borderId="52" xfId="4495" applyFont="1" applyBorder="1" applyAlignment="1">
      <alignment horizontal="center" vertical="top"/>
    </xf>
    <xf numFmtId="0" fontId="116" fillId="5" borderId="50" xfId="4495" applyFill="1" applyBorder="1" applyAlignment="1">
      <alignment horizontal="center"/>
    </xf>
    <xf numFmtId="0" fontId="116" fillId="5" borderId="51" xfId="4495" applyFill="1" applyBorder="1" applyAlignment="1">
      <alignment horizontal="center"/>
    </xf>
    <xf numFmtId="0" fontId="49" fillId="0" borderId="51" xfId="4495" applyFont="1" applyBorder="1" applyAlignment="1">
      <alignment horizontal="left" wrapText="1"/>
    </xf>
    <xf numFmtId="0" fontId="49" fillId="0" borderId="0" xfId="4495" applyFont="1" applyAlignment="1">
      <alignment horizontal="left" wrapText="1"/>
    </xf>
    <xf numFmtId="0" fontId="20" fillId="5" borderId="6" xfId="4495" applyFont="1" applyFill="1" applyBorder="1" applyAlignment="1">
      <alignment horizontal="left"/>
    </xf>
    <xf numFmtId="0" fontId="116" fillId="5" borderId="63" xfId="4495" applyFill="1" applyBorder="1" applyAlignment="1">
      <alignment horizontal="center"/>
    </xf>
    <xf numFmtId="0" fontId="116" fillId="5" borderId="64" xfId="4495" applyFill="1" applyBorder="1" applyAlignment="1">
      <alignment horizontal="center"/>
    </xf>
    <xf numFmtId="0" fontId="20" fillId="5" borderId="58" xfId="4495" applyFont="1" applyFill="1" applyBorder="1" applyAlignment="1">
      <alignment horizontal="left"/>
    </xf>
    <xf numFmtId="0" fontId="49" fillId="0" borderId="51" xfId="4495" applyFont="1" applyBorder="1" applyAlignment="1">
      <alignment horizontal="left" vertical="top" wrapText="1"/>
    </xf>
    <xf numFmtId="0" fontId="49" fillId="0" borderId="0" xfId="4495" applyFont="1" applyAlignment="1">
      <alignment horizontal="left" vertical="top" wrapText="1"/>
    </xf>
    <xf numFmtId="9" fontId="20" fillId="5" borderId="58" xfId="4495" applyNumberFormat="1" applyFont="1" applyFill="1" applyBorder="1" applyAlignment="1">
      <alignment horizontal="left"/>
    </xf>
    <xf numFmtId="0" fontId="116" fillId="0" borderId="0" xfId="4495" applyAlignment="1">
      <alignment horizontal="center"/>
    </xf>
    <xf numFmtId="9" fontId="20" fillId="5" borderId="6" xfId="4495" applyNumberFormat="1" applyFont="1" applyFill="1" applyBorder="1" applyAlignment="1">
      <alignment horizontal="left"/>
    </xf>
    <xf numFmtId="0" fontId="116" fillId="5" borderId="55" xfId="4495" applyFill="1" applyBorder="1" applyAlignment="1">
      <alignment horizontal="center"/>
    </xf>
    <xf numFmtId="0" fontId="116" fillId="5" borderId="6" xfId="4495" applyFill="1" applyBorder="1" applyAlignment="1">
      <alignment horizontal="center"/>
    </xf>
    <xf numFmtId="0" fontId="20" fillId="5" borderId="0" xfId="4495" applyFont="1" applyFill="1" applyAlignment="1">
      <alignment horizontal="left" vertical="top" wrapText="1"/>
    </xf>
    <xf numFmtId="0" fontId="20" fillId="5" borderId="58" xfId="4495" applyFont="1" applyFill="1" applyBorder="1" applyAlignment="1">
      <alignment horizontal="left" vertical="top" wrapText="1"/>
    </xf>
    <xf numFmtId="0" fontId="118" fillId="0" borderId="50" xfId="4496" applyFont="1" applyBorder="1" applyAlignment="1">
      <alignment horizontal="left" wrapText="1"/>
    </xf>
    <xf numFmtId="0" fontId="118" fillId="0" borderId="51" xfId="4496" applyFont="1" applyBorder="1" applyAlignment="1">
      <alignment horizontal="left" wrapText="1"/>
    </xf>
    <xf numFmtId="0" fontId="118" fillId="0" borderId="52" xfId="4496" applyFont="1" applyBorder="1" applyAlignment="1">
      <alignment horizontal="left" wrapText="1"/>
    </xf>
    <xf numFmtId="0" fontId="118" fillId="0" borderId="57" xfId="4496" applyFont="1" applyBorder="1" applyAlignment="1">
      <alignment horizontal="left" wrapText="1"/>
    </xf>
    <xf numFmtId="0" fontId="118" fillId="0" borderId="58" xfId="4496" applyFont="1" applyBorder="1" applyAlignment="1">
      <alignment horizontal="left" wrapText="1"/>
    </xf>
    <xf numFmtId="0" fontId="118" fillId="0" borderId="59" xfId="4496" applyFont="1" applyBorder="1" applyAlignment="1">
      <alignment horizontal="left" wrapText="1"/>
    </xf>
    <xf numFmtId="0" fontId="116" fillId="0" borderId="53" xfId="4495" applyBorder="1" applyAlignment="1">
      <alignment horizontal="center"/>
    </xf>
    <xf numFmtId="0" fontId="20" fillId="5" borderId="0" xfId="4495" applyFont="1" applyFill="1" applyAlignment="1">
      <alignment horizontal="left" vertical="top"/>
    </xf>
    <xf numFmtId="0" fontId="116" fillId="5" borderId="53" xfId="4495" applyFill="1" applyBorder="1" applyAlignment="1">
      <alignment horizontal="center"/>
    </xf>
    <xf numFmtId="0" fontId="116" fillId="5" borderId="0" xfId="4495" applyFill="1" applyAlignment="1">
      <alignment horizontal="center"/>
    </xf>
    <xf numFmtId="0" fontId="19" fillId="0" borderId="4" xfId="4495" applyFont="1" applyBorder="1" applyAlignment="1">
      <alignment horizontal="left"/>
    </xf>
    <xf numFmtId="0" fontId="19" fillId="0" borderId="5" xfId="4495" applyFont="1" applyBorder="1" applyAlignment="1">
      <alignment horizontal="left"/>
    </xf>
    <xf numFmtId="1" fontId="19" fillId="0" borderId="4" xfId="4495" applyNumberFormat="1" applyFont="1" applyBorder="1" applyAlignment="1">
      <alignment horizontal="center" wrapText="1"/>
    </xf>
    <xf numFmtId="0" fontId="19" fillId="0" borderId="4" xfId="4495" applyFont="1" applyBorder="1" applyAlignment="1">
      <alignment horizontal="center" wrapText="1"/>
    </xf>
    <xf numFmtId="0" fontId="19" fillId="0" borderId="5" xfId="4495" applyFont="1" applyBorder="1" applyAlignment="1">
      <alignment horizontal="center" wrapText="1"/>
    </xf>
    <xf numFmtId="0" fontId="19" fillId="0" borderId="3" xfId="4495" applyFont="1" applyBorder="1" applyAlignment="1">
      <alignment horizontal="center" wrapText="1"/>
    </xf>
    <xf numFmtId="0" fontId="12" fillId="0" borderId="50" xfId="4496" applyFont="1" applyBorder="1" applyAlignment="1">
      <alignment horizontal="left" wrapText="1"/>
    </xf>
    <xf numFmtId="0" fontId="12" fillId="0" borderId="51" xfId="4496" applyFont="1" applyBorder="1" applyAlignment="1">
      <alignment horizontal="left" wrapText="1"/>
    </xf>
    <xf numFmtId="0" fontId="12" fillId="0" borderId="52" xfId="4496" applyFont="1" applyBorder="1" applyAlignment="1">
      <alignment horizontal="left" wrapText="1"/>
    </xf>
    <xf numFmtId="0" fontId="12" fillId="0" borderId="53" xfId="4496" applyFont="1" applyBorder="1" applyAlignment="1">
      <alignment horizontal="left" wrapText="1"/>
    </xf>
    <xf numFmtId="0" fontId="12" fillId="0" borderId="0" xfId="4496" applyFont="1" applyAlignment="1">
      <alignment horizontal="left" wrapText="1"/>
    </xf>
    <xf numFmtId="0" fontId="12" fillId="0" borderId="54" xfId="4496" applyFont="1" applyBorder="1" applyAlignment="1">
      <alignment horizontal="left" wrapText="1"/>
    </xf>
    <xf numFmtId="0" fontId="12" fillId="0" borderId="57" xfId="4496" applyFont="1" applyBorder="1" applyAlignment="1">
      <alignment horizontal="left" wrapText="1"/>
    </xf>
    <xf numFmtId="0" fontId="12" fillId="0" borderId="58" xfId="4496" applyFont="1" applyBorder="1" applyAlignment="1">
      <alignment horizontal="left" wrapText="1"/>
    </xf>
    <xf numFmtId="0" fontId="12" fillId="0" borderId="59" xfId="4496" applyFont="1" applyBorder="1" applyAlignment="1">
      <alignment horizontal="left" wrapText="1"/>
    </xf>
    <xf numFmtId="1" fontId="12" fillId="0" borderId="4" xfId="4496" applyNumberFormat="1" applyFont="1" applyBorder="1" applyAlignment="1">
      <alignment horizontal="center"/>
    </xf>
    <xf numFmtId="1" fontId="12" fillId="0" borderId="5" xfId="4496" applyNumberFormat="1" applyFont="1" applyBorder="1" applyAlignment="1">
      <alignment horizontal="center"/>
    </xf>
    <xf numFmtId="49" fontId="18" fillId="3" borderId="2" xfId="4495" applyNumberFormat="1" applyFont="1" applyFill="1" applyBorder="1" applyAlignment="1">
      <alignment horizontal="center" vertical="center" wrapText="1"/>
    </xf>
    <xf numFmtId="49" fontId="18" fillId="3" borderId="2" xfId="4495" applyNumberFormat="1" applyFont="1" applyFill="1" applyBorder="1" applyAlignment="1">
      <alignment horizontal="center" vertical="center"/>
    </xf>
    <xf numFmtId="49" fontId="18" fillId="3" borderId="0" xfId="4495" applyNumberFormat="1" applyFont="1" applyFill="1" applyAlignment="1">
      <alignment horizontal="center" vertical="center"/>
    </xf>
    <xf numFmtId="0" fontId="19" fillId="0" borderId="1" xfId="4495" applyFont="1" applyBorder="1" applyAlignment="1">
      <alignment horizontal="center" wrapText="1"/>
    </xf>
    <xf numFmtId="0" fontId="19" fillId="0" borderId="2" xfId="4495" applyFont="1" applyBorder="1" applyAlignment="1">
      <alignment horizontal="center" wrapText="1"/>
    </xf>
    <xf numFmtId="0" fontId="19" fillId="0" borderId="7" xfId="4495" applyFont="1" applyBorder="1" applyAlignment="1">
      <alignment horizontal="center" wrapText="1"/>
    </xf>
    <xf numFmtId="0" fontId="19" fillId="0" borderId="9" xfId="4495" applyFont="1" applyBorder="1" applyAlignment="1">
      <alignment horizontal="center" wrapText="1"/>
    </xf>
    <xf numFmtId="0" fontId="19" fillId="0" borderId="6" xfId="4495" applyFont="1" applyBorder="1" applyAlignment="1">
      <alignment horizontal="center" wrapText="1"/>
    </xf>
    <xf numFmtId="0" fontId="19" fillId="0" borderId="10" xfId="4495" applyFont="1" applyBorder="1" applyAlignment="1">
      <alignment horizontal="center" wrapText="1"/>
    </xf>
    <xf numFmtId="1" fontId="19" fillId="0" borderId="11" xfId="4495" applyNumberFormat="1" applyFont="1" applyBorder="1" applyAlignment="1">
      <alignment horizontal="center"/>
    </xf>
    <xf numFmtId="0" fontId="12" fillId="0" borderId="4" xfId="4495" applyFont="1" applyBorder="1" applyAlignment="1">
      <alignment horizontal="left"/>
    </xf>
    <xf numFmtId="0" fontId="12" fillId="0" borderId="5" xfId="4495" applyFont="1" applyBorder="1" applyAlignment="1">
      <alignment horizontal="left"/>
    </xf>
    <xf numFmtId="1" fontId="12" fillId="46" borderId="11" xfId="4495" applyNumberFormat="1" applyFont="1" applyFill="1" applyBorder="1" applyAlignment="1">
      <alignment horizontal="center"/>
    </xf>
    <xf numFmtId="0" fontId="19" fillId="0" borderId="3" xfId="4495" applyFont="1" applyBorder="1" applyAlignment="1">
      <alignment horizontal="left"/>
    </xf>
    <xf numFmtId="0" fontId="12" fillId="5" borderId="11" xfId="4495" applyFont="1" applyFill="1" applyBorder="1" applyAlignment="1" applyProtection="1">
      <alignment horizontal="center"/>
      <protection locked="0"/>
    </xf>
    <xf numFmtId="0" fontId="19" fillId="0" borderId="3" xfId="4495" applyFont="1" applyBorder="1" applyAlignment="1">
      <alignment horizontal="center"/>
    </xf>
    <xf numFmtId="0" fontId="19" fillId="0" borderId="4" xfId="4495" applyFont="1" applyBorder="1" applyAlignment="1">
      <alignment horizontal="center"/>
    </xf>
    <xf numFmtId="0" fontId="19" fillId="0" borderId="5" xfId="4495" applyFont="1" applyBorder="1" applyAlignment="1">
      <alignment horizontal="center"/>
    </xf>
    <xf numFmtId="164" fontId="60" fillId="0" borderId="1" xfId="4495" applyNumberFormat="1" applyFont="1" applyBorder="1" applyAlignment="1">
      <alignment horizontal="right" vertical="center"/>
    </xf>
    <xf numFmtId="164" fontId="60" fillId="0" borderId="2" xfId="4495" applyNumberFormat="1" applyFont="1" applyBorder="1" applyAlignment="1">
      <alignment horizontal="right" vertical="center"/>
    </xf>
    <xf numFmtId="164" fontId="60" fillId="0" borderId="7" xfId="4495" applyNumberFormat="1" applyFont="1" applyBorder="1" applyAlignment="1">
      <alignment horizontal="right" vertical="center"/>
    </xf>
    <xf numFmtId="164" fontId="60" fillId="0" borderId="9" xfId="4495" applyNumberFormat="1" applyFont="1" applyBorder="1" applyAlignment="1">
      <alignment horizontal="right" vertical="center"/>
    </xf>
    <xf numFmtId="164" fontId="60" fillId="0" borderId="6" xfId="4495" applyNumberFormat="1" applyFont="1" applyBorder="1" applyAlignment="1">
      <alignment horizontal="right" vertical="center"/>
    </xf>
    <xf numFmtId="164" fontId="60" fillId="0" borderId="10" xfId="4495" applyNumberFormat="1" applyFont="1" applyBorder="1" applyAlignment="1">
      <alignment horizontal="right" vertical="center"/>
    </xf>
    <xf numFmtId="180" fontId="60" fillId="0" borderId="1" xfId="4495" applyNumberFormat="1" applyFont="1" applyBorder="1" applyAlignment="1">
      <alignment horizontal="center" vertical="center"/>
    </xf>
    <xf numFmtId="180" fontId="60" fillId="0" borderId="2" xfId="4495" applyNumberFormat="1" applyFont="1" applyBorder="1" applyAlignment="1">
      <alignment horizontal="center" vertical="center"/>
    </xf>
    <xf numFmtId="180" fontId="60" fillId="0" borderId="7" xfId="4495" applyNumberFormat="1" applyFont="1" applyBorder="1" applyAlignment="1">
      <alignment horizontal="center" vertical="center"/>
    </xf>
    <xf numFmtId="180" fontId="60" fillId="0" borderId="9" xfId="4495" applyNumberFormat="1" applyFont="1" applyBorder="1" applyAlignment="1">
      <alignment horizontal="center" vertical="center"/>
    </xf>
    <xf numFmtId="180" fontId="60" fillId="0" borderId="6" xfId="4495" applyNumberFormat="1" applyFont="1" applyBorder="1" applyAlignment="1">
      <alignment horizontal="center" vertical="center"/>
    </xf>
    <xf numFmtId="180" fontId="60" fillId="0" borderId="10" xfId="4495" applyNumberFormat="1" applyFont="1" applyBorder="1" applyAlignment="1">
      <alignment horizontal="center" vertical="center"/>
    </xf>
    <xf numFmtId="168" fontId="12" fillId="0" borderId="6" xfId="1192" applyNumberFormat="1" applyBorder="1" applyAlignment="1">
      <alignment horizontal="right"/>
    </xf>
    <xf numFmtId="0" fontId="114" fillId="0" borderId="4" xfId="1192" applyFont="1" applyBorder="1" applyAlignment="1">
      <alignment horizontal="left"/>
    </xf>
    <xf numFmtId="168" fontId="12" fillId="43" borderId="6" xfId="543" applyNumberFormat="1" applyFill="1" applyBorder="1" applyAlignment="1" applyProtection="1">
      <alignment horizontal="center"/>
      <protection locked="0"/>
    </xf>
    <xf numFmtId="0" fontId="12" fillId="0" borderId="6" xfId="1192" applyBorder="1" applyAlignment="1">
      <alignment horizontal="left"/>
    </xf>
    <xf numFmtId="0" fontId="12" fillId="0" borderId="6" xfId="1192" applyBorder="1" applyAlignment="1">
      <alignment horizontal="right"/>
    </xf>
    <xf numFmtId="168" fontId="12" fillId="43" borderId="6" xfId="1192" applyNumberFormat="1" applyFill="1" applyBorder="1" applyAlignment="1" applyProtection="1">
      <alignment horizontal="right"/>
      <protection locked="0"/>
    </xf>
    <xf numFmtId="10" fontId="20" fillId="0" borderId="2" xfId="4495" applyNumberFormat="1" applyFont="1" applyBorder="1" applyAlignment="1">
      <alignment horizontal="center"/>
    </xf>
    <xf numFmtId="4" fontId="20" fillId="0" borderId="0" xfId="4495" applyNumberFormat="1" applyFont="1" applyAlignment="1">
      <alignment horizontal="center"/>
    </xf>
    <xf numFmtId="0" fontId="28" fillId="42" borderId="2" xfId="4495" applyFont="1" applyFill="1" applyBorder="1" applyAlignment="1">
      <alignment horizontal="center"/>
    </xf>
    <xf numFmtId="0" fontId="28" fillId="42" borderId="6" xfId="4495" applyFont="1" applyFill="1" applyBorder="1" applyAlignment="1">
      <alignment horizontal="center"/>
    </xf>
    <xf numFmtId="4" fontId="20" fillId="0" borderId="6" xfId="4495" applyNumberFormat="1" applyFont="1" applyBorder="1" applyAlignment="1">
      <alignment horizontal="center"/>
    </xf>
    <xf numFmtId="168" fontId="12" fillId="0" borderId="4" xfId="1192" applyNumberFormat="1" applyBorder="1" applyAlignment="1">
      <alignment horizontal="right"/>
    </xf>
    <xf numFmtId="168" fontId="12" fillId="0" borderId="4" xfId="4496" applyNumberFormat="1" applyFont="1" applyBorder="1" applyAlignment="1">
      <alignment horizontal="center"/>
    </xf>
    <xf numFmtId="9" fontId="12" fillId="0" borderId="4" xfId="4496" applyNumberFormat="1" applyFont="1" applyBorder="1" applyAlignment="1">
      <alignment horizontal="center"/>
    </xf>
    <xf numFmtId="164" fontId="12" fillId="0" borderId="50" xfId="4495" applyNumberFormat="1" applyFont="1" applyBorder="1" applyAlignment="1">
      <alignment horizontal="left" vertical="top" wrapText="1"/>
    </xf>
    <xf numFmtId="164" fontId="12" fillId="0" borderId="51" xfId="4495" applyNumberFormat="1" applyFont="1" applyBorder="1" applyAlignment="1">
      <alignment horizontal="left" vertical="top" wrapText="1"/>
    </xf>
    <xf numFmtId="164" fontId="12" fillId="0" borderId="52" xfId="4495" applyNumberFormat="1" applyFont="1" applyBorder="1" applyAlignment="1">
      <alignment horizontal="left" vertical="top" wrapText="1"/>
    </xf>
    <xf numFmtId="164" fontId="12" fillId="0" borderId="53" xfId="4495" applyNumberFormat="1" applyFont="1" applyBorder="1" applyAlignment="1">
      <alignment horizontal="left" vertical="top" wrapText="1"/>
    </xf>
    <xf numFmtId="164" fontId="12" fillId="0" borderId="0" xfId="4495" applyNumberFormat="1" applyFont="1" applyAlignment="1">
      <alignment horizontal="left" vertical="top" wrapText="1"/>
    </xf>
    <xf numFmtId="164" fontId="12" fillId="0" borderId="54" xfId="4495" applyNumberFormat="1" applyFont="1" applyBorder="1" applyAlignment="1">
      <alignment horizontal="left" vertical="top" wrapText="1"/>
    </xf>
    <xf numFmtId="164" fontId="12" fillId="0" borderId="57" xfId="4495" applyNumberFormat="1" applyFont="1" applyBorder="1" applyAlignment="1">
      <alignment horizontal="left" vertical="top" wrapText="1"/>
    </xf>
    <xf numFmtId="164" fontId="12" fillId="0" borderId="58" xfId="4495" applyNumberFormat="1" applyFont="1" applyBorder="1" applyAlignment="1">
      <alignment horizontal="left" vertical="top" wrapText="1"/>
    </xf>
    <xf numFmtId="164" fontId="12" fillId="0" borderId="59" xfId="4495" applyNumberFormat="1" applyFont="1" applyBorder="1" applyAlignment="1">
      <alignment horizontal="left" vertical="top" wrapText="1"/>
    </xf>
    <xf numFmtId="4" fontId="20" fillId="0" borderId="3" xfId="4495" applyNumberFormat="1" applyFont="1" applyBorder="1" applyAlignment="1">
      <alignment horizontal="center"/>
    </xf>
    <xf numFmtId="4" fontId="20" fillId="0" borderId="4" xfId="4495" applyNumberFormat="1" applyFont="1" applyBorder="1" applyAlignment="1">
      <alignment horizontal="center"/>
    </xf>
    <xf numFmtId="4" fontId="20" fillId="0" borderId="5" xfId="4495" applyNumberFormat="1" applyFont="1" applyBorder="1" applyAlignment="1">
      <alignment horizontal="center"/>
    </xf>
    <xf numFmtId="165" fontId="118" fillId="0" borderId="3" xfId="4496" applyNumberFormat="1" applyFont="1" applyBorder="1" applyAlignment="1">
      <alignment horizontal="center" vertical="top" wrapText="1"/>
    </xf>
    <xf numFmtId="165" fontId="118" fillId="0" borderId="5" xfId="4496" applyNumberFormat="1" applyFont="1" applyBorder="1" applyAlignment="1">
      <alignment horizontal="center" vertical="top" wrapText="1"/>
    </xf>
    <xf numFmtId="3" fontId="12" fillId="43" borderId="6" xfId="1192" applyNumberFormat="1" applyFill="1" applyBorder="1" applyAlignment="1" applyProtection="1">
      <alignment horizontal="right"/>
      <protection locked="0"/>
    </xf>
    <xf numFmtId="0" fontId="138" fillId="0" borderId="0" xfId="1192" applyFont="1" applyAlignment="1">
      <alignment horizontal="center"/>
    </xf>
    <xf numFmtId="0" fontId="94" fillId="0" borderId="81" xfId="4496" applyFont="1" applyBorder="1" applyAlignment="1">
      <alignment horizontal="right"/>
    </xf>
    <xf numFmtId="0" fontId="94" fillId="0" borderId="11" xfId="4496" applyFont="1" applyBorder="1" applyAlignment="1">
      <alignment horizontal="right"/>
    </xf>
    <xf numFmtId="0" fontId="94" fillId="0" borderId="73" xfId="4496" applyFont="1" applyBorder="1" applyAlignment="1">
      <alignment horizontal="right"/>
    </xf>
    <xf numFmtId="0" fontId="94" fillId="0" borderId="74" xfId="4496" applyFont="1" applyBorder="1" applyAlignment="1">
      <alignment horizontal="right"/>
    </xf>
    <xf numFmtId="0" fontId="94" fillId="0" borderId="11" xfId="4496" applyFont="1" applyBorder="1"/>
    <xf numFmtId="0" fontId="94" fillId="0" borderId="92" xfId="4496" applyFont="1" applyBorder="1"/>
    <xf numFmtId="0" fontId="94" fillId="0" borderId="74" xfId="4496" applyFont="1" applyBorder="1"/>
    <xf numFmtId="0" fontId="94" fillId="0" borderId="94" xfId="4496" applyFont="1" applyBorder="1"/>
    <xf numFmtId="0" fontId="94" fillId="0" borderId="71" xfId="4496" applyFont="1" applyBorder="1" applyAlignment="1">
      <alignment horizontal="right"/>
    </xf>
    <xf numFmtId="0" fontId="94" fillId="0" borderId="72" xfId="4496" applyFont="1" applyBorder="1" applyAlignment="1">
      <alignment horizontal="right"/>
    </xf>
    <xf numFmtId="0" fontId="133" fillId="0" borderId="91" xfId="4496" applyFont="1" applyBorder="1" applyAlignment="1">
      <alignment horizontal="center" vertical="top" wrapText="1"/>
    </xf>
    <xf numFmtId="0" fontId="133" fillId="0" borderId="90" xfId="4496" applyFont="1" applyBorder="1" applyAlignment="1">
      <alignment horizontal="center" vertical="top" wrapText="1"/>
    </xf>
    <xf numFmtId="0" fontId="94" fillId="0" borderId="72" xfId="4496" applyFont="1" applyBorder="1"/>
    <xf numFmtId="0" fontId="94" fillId="0" borderId="75" xfId="4496" applyFont="1" applyBorder="1"/>
    <xf numFmtId="49" fontId="132" fillId="3" borderId="0" xfId="1192" applyNumberFormat="1" applyFont="1" applyFill="1" applyAlignment="1">
      <alignment horizontal="center" vertical="center"/>
    </xf>
    <xf numFmtId="0" fontId="94" fillId="0" borderId="11" xfId="4496" applyFont="1" applyBorder="1" applyAlignment="1">
      <alignment horizontal="left" indent="1"/>
    </xf>
    <xf numFmtId="0" fontId="133" fillId="45" borderId="3" xfId="4496" applyFont="1" applyFill="1" applyBorder="1" applyAlignment="1">
      <alignment horizontal="center" vertical="center"/>
    </xf>
    <xf numFmtId="0" fontId="133" fillId="45" borderId="4" xfId="4496" applyFont="1" applyFill="1" applyBorder="1" applyAlignment="1">
      <alignment horizontal="center" vertical="center"/>
    </xf>
    <xf numFmtId="0" fontId="133" fillId="45" borderId="5" xfId="4496" applyFont="1" applyFill="1" applyBorder="1" applyAlignment="1">
      <alignment horizontal="center" vertical="center"/>
    </xf>
    <xf numFmtId="9" fontId="133" fillId="45" borderId="3" xfId="4499" applyFont="1" applyFill="1" applyBorder="1" applyAlignment="1" applyProtection="1">
      <alignment horizontal="center" vertical="center"/>
    </xf>
    <xf numFmtId="9" fontId="133" fillId="45" borderId="4" xfId="4499" applyFont="1" applyFill="1" applyBorder="1" applyAlignment="1" applyProtection="1">
      <alignment horizontal="center" vertical="center"/>
    </xf>
    <xf numFmtId="9" fontId="133" fillId="45" borderId="5" xfId="4499" applyFont="1" applyFill="1" applyBorder="1" applyAlignment="1" applyProtection="1">
      <alignment horizontal="center" vertical="center"/>
    </xf>
    <xf numFmtId="0" fontId="94" fillId="0" borderId="15" xfId="4496" applyFont="1" applyBorder="1" applyAlignment="1">
      <alignment horizontal="left" indent="1"/>
    </xf>
    <xf numFmtId="0" fontId="133" fillId="0" borderId="72" xfId="4496" applyFont="1" applyBorder="1" applyAlignment="1">
      <alignment horizontal="left" indent="1"/>
    </xf>
    <xf numFmtId="168" fontId="94" fillId="0" borderId="11" xfId="4499" applyNumberFormat="1" applyFont="1" applyFill="1" applyBorder="1" applyAlignment="1" applyProtection="1">
      <alignment horizontal="left" vertical="center" indent="1"/>
    </xf>
    <xf numFmtId="168" fontId="94" fillId="0" borderId="13" xfId="4499" applyNumberFormat="1" applyFont="1" applyFill="1" applyBorder="1" applyAlignment="1" applyProtection="1">
      <alignment horizontal="left" vertical="center" indent="1"/>
    </xf>
    <xf numFmtId="49" fontId="94" fillId="45" borderId="15" xfId="4496" applyNumberFormat="1" applyFont="1" applyFill="1" applyBorder="1" applyAlignment="1">
      <alignment horizontal="center" vertical="center" wrapText="1"/>
    </xf>
    <xf numFmtId="49" fontId="94" fillId="45" borderId="13" xfId="4496" applyNumberFormat="1" applyFont="1" applyFill="1" applyBorder="1" applyAlignment="1">
      <alignment horizontal="center" vertical="center" wrapText="1"/>
    </xf>
    <xf numFmtId="168" fontId="94" fillId="0" borderId="85" xfId="4499" applyNumberFormat="1" applyFont="1" applyFill="1" applyBorder="1" applyAlignment="1" applyProtection="1">
      <alignment horizontal="left" vertical="center" indent="1"/>
    </xf>
    <xf numFmtId="168" fontId="94" fillId="0" borderId="84" xfId="4499" applyNumberFormat="1" applyFont="1" applyFill="1" applyBorder="1" applyAlignment="1" applyProtection="1">
      <alignment horizontal="left" vertical="center" indent="1"/>
    </xf>
    <xf numFmtId="0" fontId="98" fillId="44" borderId="0" xfId="8723" applyFont="1" applyFill="1" applyAlignment="1">
      <alignment horizontal="left"/>
    </xf>
    <xf numFmtId="0" fontId="1" fillId="49" borderId="68" xfId="8723" applyFill="1" applyBorder="1" applyAlignment="1" applyProtection="1">
      <alignment horizontal="left"/>
      <protection locked="0"/>
    </xf>
    <xf numFmtId="0" fontId="1" fillId="49" borderId="69" xfId="8723" applyFill="1" applyBorder="1" applyAlignment="1" applyProtection="1">
      <alignment horizontal="left"/>
      <protection locked="0"/>
    </xf>
    <xf numFmtId="0" fontId="1" fillId="49" borderId="70" xfId="8723" applyFill="1" applyBorder="1" applyAlignment="1" applyProtection="1">
      <alignment horizontal="left"/>
      <protection locked="0"/>
    </xf>
    <xf numFmtId="0" fontId="147" fillId="44" borderId="0" xfId="8723" applyFont="1" applyFill="1" applyAlignment="1">
      <alignment horizontal="left" vertical="top"/>
    </xf>
    <xf numFmtId="0" fontId="98" fillId="44" borderId="0" xfId="4503" applyFont="1" applyFill="1" applyBorder="1" applyAlignment="1">
      <alignment horizontal="left" vertical="top"/>
    </xf>
    <xf numFmtId="14" fontId="1" fillId="49" borderId="68" xfId="8723" applyNumberFormat="1" applyFill="1" applyBorder="1" applyAlignment="1" applyProtection="1">
      <alignment horizontal="center"/>
      <protection locked="0"/>
    </xf>
    <xf numFmtId="0" fontId="1" fillId="49" borderId="69" xfId="8723" applyFill="1" applyBorder="1" applyAlignment="1" applyProtection="1">
      <alignment horizontal="center"/>
      <protection locked="0"/>
    </xf>
    <xf numFmtId="0" fontId="1" fillId="49" borderId="70" xfId="8723" applyFill="1" applyBorder="1" applyAlignment="1" applyProtection="1">
      <alignment horizontal="center"/>
      <protection locked="0"/>
    </xf>
    <xf numFmtId="0" fontId="142" fillId="48" borderId="0" xfId="8723" applyFont="1" applyFill="1" applyAlignment="1">
      <alignment horizontal="left" vertical="top" wrapText="1"/>
    </xf>
    <xf numFmtId="0" fontId="98" fillId="48" borderId="42" xfId="8723" applyFont="1" applyFill="1" applyBorder="1" applyAlignment="1">
      <alignment horizontal="center"/>
    </xf>
    <xf numFmtId="0" fontId="1" fillId="49" borderId="68" xfId="8723" applyFill="1" applyBorder="1" applyAlignment="1" applyProtection="1">
      <alignment horizontal="center"/>
      <protection locked="0"/>
    </xf>
    <xf numFmtId="0" fontId="171" fillId="48" borderId="66" xfId="8723" applyFont="1" applyFill="1" applyBorder="1" applyAlignment="1">
      <alignment horizontal="center"/>
    </xf>
    <xf numFmtId="0" fontId="171" fillId="48" borderId="29" xfId="8723" applyFont="1" applyFill="1" applyBorder="1" applyAlignment="1">
      <alignment horizontal="center"/>
    </xf>
    <xf numFmtId="0" fontId="171" fillId="48" borderId="31" xfId="8723" applyFont="1" applyFill="1" applyBorder="1" applyAlignment="1">
      <alignment horizontal="center"/>
    </xf>
    <xf numFmtId="0" fontId="1" fillId="48" borderId="67" xfId="8723" applyFill="1" applyBorder="1" applyAlignment="1">
      <alignment horizontal="center"/>
    </xf>
    <xf numFmtId="0" fontId="1" fillId="48" borderId="0" xfId="8723" applyFill="1" applyAlignment="1">
      <alignment horizontal="center"/>
    </xf>
    <xf numFmtId="0" fontId="1" fillId="48" borderId="41" xfId="8723" applyFill="1" applyBorder="1" applyAlignment="1">
      <alignment horizontal="center"/>
    </xf>
    <xf numFmtId="0" fontId="142" fillId="48" borderId="67" xfId="8723" applyFont="1" applyFill="1" applyBorder="1" applyAlignment="1">
      <alignment horizontal="center"/>
    </xf>
    <xf numFmtId="0" fontId="142" fillId="48" borderId="0" xfId="8723" applyFont="1" applyFill="1" applyAlignment="1">
      <alignment horizontal="center"/>
    </xf>
    <xf numFmtId="0" fontId="142" fillId="48" borderId="41" xfId="8723" applyFont="1" applyFill="1" applyBorder="1" applyAlignment="1">
      <alignment horizontal="center"/>
    </xf>
    <xf numFmtId="0" fontId="98" fillId="48" borderId="67" xfId="8723" applyFont="1" applyFill="1" applyBorder="1" applyAlignment="1">
      <alignment horizontal="center"/>
    </xf>
    <xf numFmtId="0" fontId="98" fillId="48" borderId="0" xfId="8723" applyFont="1" applyFill="1" applyAlignment="1">
      <alignment horizontal="center"/>
    </xf>
    <xf numFmtId="0" fontId="98" fillId="48" borderId="41" xfId="8723" applyFont="1" applyFill="1" applyBorder="1" applyAlignment="1">
      <alignment horizontal="center"/>
    </xf>
    <xf numFmtId="0" fontId="98" fillId="48" borderId="0" xfId="8723" applyFont="1" applyFill="1" applyAlignment="1">
      <alignment horizontal="left"/>
    </xf>
    <xf numFmtId="0" fontId="146" fillId="45" borderId="73" xfId="8723" applyFont="1" applyFill="1" applyBorder="1" applyAlignment="1">
      <alignment horizontal="right"/>
    </xf>
    <xf numFmtId="0" fontId="146" fillId="45" borderId="74" xfId="8723" applyFont="1" applyFill="1" applyBorder="1" applyAlignment="1">
      <alignment horizontal="right"/>
    </xf>
    <xf numFmtId="0" fontId="147" fillId="44" borderId="74" xfId="700" applyNumberFormat="1" applyFont="1" applyFill="1" applyBorder="1" applyAlignment="1">
      <alignment horizontal="left"/>
    </xf>
    <xf numFmtId="168" fontId="147" fillId="44" borderId="74" xfId="700" applyNumberFormat="1" applyFont="1" applyFill="1" applyBorder="1" applyAlignment="1">
      <alignment horizontal="left"/>
    </xf>
    <xf numFmtId="168" fontId="147" fillId="44" borderId="94" xfId="700" applyNumberFormat="1" applyFont="1" applyFill="1" applyBorder="1" applyAlignment="1">
      <alignment horizontal="left"/>
    </xf>
    <xf numFmtId="0" fontId="170" fillId="49" borderId="81" xfId="8723" applyFont="1" applyFill="1" applyBorder="1" applyAlignment="1">
      <alignment horizontal="left"/>
    </xf>
    <xf numFmtId="0" fontId="170" fillId="49" borderId="11" xfId="8723" applyFont="1" applyFill="1" applyBorder="1" applyAlignment="1">
      <alignment horizontal="left"/>
    </xf>
    <xf numFmtId="168" fontId="156" fillId="49" borderId="11" xfId="700" applyNumberFormat="1" applyFont="1" applyFill="1" applyBorder="1" applyAlignment="1" applyProtection="1">
      <alignment horizontal="left"/>
      <protection locked="0"/>
    </xf>
    <xf numFmtId="168" fontId="156" fillId="49" borderId="92" xfId="700" applyNumberFormat="1" applyFont="1" applyFill="1" applyBorder="1" applyAlignment="1" applyProtection="1">
      <alignment horizontal="left"/>
      <protection locked="0"/>
    </xf>
    <xf numFmtId="0" fontId="142" fillId="45" borderId="73" xfId="8723" applyFont="1" applyFill="1" applyBorder="1" applyAlignment="1">
      <alignment horizontal="right"/>
    </xf>
    <xf numFmtId="0" fontId="142" fillId="45" borderId="74" xfId="8723" applyFont="1" applyFill="1" applyBorder="1" applyAlignment="1">
      <alignment horizontal="right"/>
    </xf>
    <xf numFmtId="168" fontId="143" fillId="44" borderId="74" xfId="700" applyNumberFormat="1" applyFont="1" applyFill="1" applyBorder="1" applyAlignment="1" applyProtection="1">
      <alignment horizontal="left"/>
      <protection locked="0"/>
    </xf>
    <xf numFmtId="168" fontId="143" fillId="44" borderId="94" xfId="700" applyNumberFormat="1" applyFont="1" applyFill="1" applyBorder="1" applyAlignment="1" applyProtection="1">
      <alignment horizontal="left"/>
      <protection locked="0"/>
    </xf>
    <xf numFmtId="0" fontId="162" fillId="45" borderId="71" xfId="8723" applyFont="1" applyFill="1" applyBorder="1" applyAlignment="1">
      <alignment horizontal="right"/>
    </xf>
    <xf numFmtId="0" fontId="162" fillId="45" borderId="72" xfId="8723" applyFont="1" applyFill="1" applyBorder="1" applyAlignment="1">
      <alignment horizontal="right"/>
    </xf>
    <xf numFmtId="168" fontId="145" fillId="44" borderId="72" xfId="700" applyNumberFormat="1" applyFont="1" applyFill="1" applyBorder="1" applyAlignment="1">
      <alignment horizontal="left"/>
    </xf>
    <xf numFmtId="168" fontId="145" fillId="44" borderId="75" xfId="700" applyNumberFormat="1" applyFont="1" applyFill="1" applyBorder="1" applyAlignment="1">
      <alignment horizontal="left"/>
    </xf>
    <xf numFmtId="0" fontId="160" fillId="49" borderId="82" xfId="8723" applyFont="1" applyFill="1" applyBorder="1" applyAlignment="1" applyProtection="1">
      <alignment horizontal="center"/>
      <protection locked="0"/>
    </xf>
    <xf numFmtId="0" fontId="160" fillId="49" borderId="83" xfId="8723" applyFont="1" applyFill="1" applyBorder="1" applyAlignment="1" applyProtection="1">
      <alignment horizontal="center"/>
      <protection locked="0"/>
    </xf>
    <xf numFmtId="0" fontId="162" fillId="49" borderId="74" xfId="8723" applyFont="1" applyFill="1" applyBorder="1" applyAlignment="1" applyProtection="1">
      <alignment horizontal="left"/>
      <protection locked="0"/>
    </xf>
    <xf numFmtId="0" fontId="162" fillId="49" borderId="94" xfId="8723" applyFont="1" applyFill="1" applyBorder="1" applyAlignment="1" applyProtection="1">
      <alignment horizontal="left"/>
      <protection locked="0"/>
    </xf>
    <xf numFmtId="168" fontId="160" fillId="49" borderId="83" xfId="700" applyNumberFormat="1" applyFont="1" applyFill="1" applyBorder="1" applyAlignment="1" applyProtection="1">
      <alignment horizontal="left"/>
      <protection locked="0"/>
    </xf>
    <xf numFmtId="168" fontId="160" fillId="49" borderId="86" xfId="700" applyNumberFormat="1" applyFont="1" applyFill="1" applyBorder="1" applyAlignment="1" applyProtection="1">
      <alignment horizontal="left"/>
      <protection locked="0"/>
    </xf>
    <xf numFmtId="0" fontId="160" fillId="49" borderId="82" xfId="8723" applyFont="1" applyFill="1" applyBorder="1" applyAlignment="1" applyProtection="1">
      <alignment horizontal="left"/>
      <protection locked="0"/>
    </xf>
    <xf numFmtId="0" fontId="160" fillId="49" borderId="83" xfId="8723" applyFont="1" applyFill="1" applyBorder="1" applyAlignment="1" applyProtection="1">
      <alignment horizontal="left"/>
      <protection locked="0"/>
    </xf>
    <xf numFmtId="0" fontId="160" fillId="49" borderId="86" xfId="8723" applyFont="1" applyFill="1" applyBorder="1" applyAlignment="1" applyProtection="1">
      <alignment horizontal="left"/>
      <protection locked="0"/>
    </xf>
    <xf numFmtId="0" fontId="160" fillId="49" borderId="81" xfId="8723" applyFont="1" applyFill="1" applyBorder="1" applyAlignment="1" applyProtection="1">
      <alignment horizontal="center"/>
      <protection locked="0"/>
    </xf>
    <xf numFmtId="0" fontId="160" fillId="49" borderId="11" xfId="8723" applyFont="1" applyFill="1" applyBorder="1" applyAlignment="1" applyProtection="1">
      <alignment horizontal="center"/>
      <protection locked="0"/>
    </xf>
    <xf numFmtId="0" fontId="162" fillId="49" borderId="11" xfId="8723"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xf>
    <xf numFmtId="0" fontId="160" fillId="49" borderId="11" xfId="8723" applyFont="1" applyFill="1" applyBorder="1" applyAlignment="1" applyProtection="1">
      <alignment horizontal="left"/>
      <protection locked="0"/>
    </xf>
    <xf numFmtId="0" fontId="160" fillId="49" borderId="92" xfId="8723" applyFont="1" applyFill="1" applyBorder="1" applyAlignment="1" applyProtection="1">
      <alignment horizontal="left"/>
      <protection locked="0"/>
    </xf>
    <xf numFmtId="0" fontId="162" fillId="49" borderId="81" xfId="8723" applyFont="1" applyFill="1" applyBorder="1" applyAlignment="1" applyProtection="1">
      <alignment horizontal="center"/>
      <protection locked="0"/>
    </xf>
    <xf numFmtId="0" fontId="162" fillId="49" borderId="11" xfId="8723" applyFont="1" applyFill="1" applyBorder="1" applyAlignment="1" applyProtection="1">
      <alignment horizontal="center"/>
      <protection locked="0"/>
    </xf>
    <xf numFmtId="164" fontId="147" fillId="45" borderId="29" xfId="8724" applyNumberFormat="1" applyFont="1" applyFill="1" applyBorder="1" applyAlignment="1" applyProtection="1">
      <alignment horizontal="center" wrapText="1"/>
      <protection locked="0"/>
    </xf>
    <xf numFmtId="164" fontId="147" fillId="45" borderId="31" xfId="8724" applyNumberFormat="1" applyFont="1" applyFill="1" applyBorder="1" applyAlignment="1" applyProtection="1">
      <alignment horizontal="center" wrapText="1"/>
      <protection locked="0"/>
    </xf>
    <xf numFmtId="164" fontId="147" fillId="45" borderId="6" xfId="8724" applyNumberFormat="1" applyFont="1" applyFill="1" applyBorder="1" applyAlignment="1" applyProtection="1">
      <alignment horizontal="center" wrapText="1"/>
      <protection locked="0"/>
    </xf>
    <xf numFmtId="164" fontId="147" fillId="45" borderId="105" xfId="8724" applyNumberFormat="1" applyFont="1" applyFill="1" applyBorder="1" applyAlignment="1" applyProtection="1">
      <alignment horizontal="center" wrapText="1"/>
      <protection locked="0"/>
    </xf>
    <xf numFmtId="0" fontId="160" fillId="45" borderId="81" xfId="8723" applyFont="1" applyFill="1" applyBorder="1" applyAlignment="1">
      <alignment horizontal="right"/>
    </xf>
    <xf numFmtId="0" fontId="160" fillId="45" borderId="11" xfId="8723" applyFont="1" applyFill="1" applyBorder="1" applyAlignment="1">
      <alignment horizontal="right"/>
    </xf>
    <xf numFmtId="0" fontId="147" fillId="45" borderId="82" xfId="8723" applyFont="1" applyFill="1" applyBorder="1" applyAlignment="1">
      <alignment horizontal="center"/>
    </xf>
    <xf numFmtId="0" fontId="147" fillId="45" borderId="83" xfId="8723" applyFont="1" applyFill="1" applyBorder="1" applyAlignment="1">
      <alignment horizontal="center"/>
    </xf>
    <xf numFmtId="168" fontId="156" fillId="44" borderId="74" xfId="8724" applyNumberFormat="1" applyFont="1" applyFill="1" applyBorder="1" applyAlignment="1">
      <alignment horizontal="left"/>
    </xf>
    <xf numFmtId="168" fontId="156" fillId="44" borderId="94" xfId="8724" applyNumberFormat="1" applyFont="1" applyFill="1" applyBorder="1" applyAlignment="1">
      <alignment horizontal="left"/>
    </xf>
    <xf numFmtId="168" fontId="160" fillId="44" borderId="11" xfId="700" applyNumberFormat="1" applyFont="1" applyFill="1" applyBorder="1" applyAlignment="1">
      <alignment horizontal="left"/>
    </xf>
    <xf numFmtId="0" fontId="146" fillId="45" borderId="66" xfId="8723" applyFont="1" applyFill="1" applyBorder="1" applyAlignment="1">
      <alignment horizontal="center"/>
    </xf>
    <xf numFmtId="0" fontId="146" fillId="45" borderId="29" xfId="8723" applyFont="1" applyFill="1" applyBorder="1" applyAlignment="1">
      <alignment horizontal="center"/>
    </xf>
    <xf numFmtId="0" fontId="146" fillId="45" borderId="28" xfId="8723" applyFont="1" applyFill="1" applyBorder="1" applyAlignment="1">
      <alignment horizontal="center"/>
    </xf>
    <xf numFmtId="0" fontId="146" fillId="45" borderId="104" xfId="8723" applyFont="1" applyFill="1" applyBorder="1" applyAlignment="1">
      <alignment horizontal="center"/>
    </xf>
    <xf numFmtId="0" fontId="146" fillId="45" borderId="6" xfId="8723" applyFont="1" applyFill="1" applyBorder="1" applyAlignment="1">
      <alignment horizontal="center"/>
    </xf>
    <xf numFmtId="0" fontId="146" fillId="45" borderId="10" xfId="8723" applyFont="1" applyFill="1" applyBorder="1" applyAlignment="1">
      <alignment horizontal="center"/>
    </xf>
    <xf numFmtId="164" fontId="147" fillId="45" borderId="100" xfId="8724" applyNumberFormat="1" applyFont="1" applyFill="1" applyBorder="1" applyAlignment="1" applyProtection="1">
      <alignment horizontal="center" wrapText="1"/>
      <protection locked="0"/>
    </xf>
    <xf numFmtId="164" fontId="147" fillId="45" borderId="28" xfId="8724" applyNumberFormat="1" applyFont="1" applyFill="1" applyBorder="1" applyAlignment="1" applyProtection="1">
      <alignment horizontal="center" wrapText="1"/>
      <protection locked="0"/>
    </xf>
    <xf numFmtId="164" fontId="147" fillId="45" borderId="9" xfId="8724" applyNumberFormat="1" applyFont="1" applyFill="1" applyBorder="1" applyAlignment="1" applyProtection="1">
      <alignment horizontal="center" wrapText="1"/>
      <protection locked="0"/>
    </xf>
    <xf numFmtId="164" fontId="147" fillId="45" borderId="10" xfId="8724" applyNumberFormat="1" applyFont="1" applyFill="1" applyBorder="1" applyAlignment="1" applyProtection="1">
      <alignment horizontal="center" wrapText="1"/>
      <protection locked="0"/>
    </xf>
    <xf numFmtId="168" fontId="162" fillId="44" borderId="11" xfId="700" applyNumberFormat="1" applyFont="1" applyFill="1" applyBorder="1" applyAlignment="1">
      <alignment horizontal="left"/>
    </xf>
    <xf numFmtId="0" fontId="146" fillId="47" borderId="11" xfId="8723" applyFont="1" applyFill="1" applyBorder="1" applyAlignment="1">
      <alignment horizontal="center"/>
    </xf>
    <xf numFmtId="0" fontId="146" fillId="47" borderId="92" xfId="8723" applyFont="1" applyFill="1" applyBorder="1" applyAlignment="1">
      <alignment horizontal="center"/>
    </xf>
    <xf numFmtId="0" fontId="162" fillId="45" borderId="81" xfId="8723" applyFont="1" applyFill="1" applyBorder="1" applyAlignment="1">
      <alignment horizontal="right"/>
    </xf>
    <xf numFmtId="0" fontId="162" fillId="45" borderId="11" xfId="8723" applyFont="1" applyFill="1" applyBorder="1" applyAlignment="1">
      <alignment horizontal="right"/>
    </xf>
    <xf numFmtId="168" fontId="162" fillId="49" borderId="11" xfId="700" applyNumberFormat="1" applyFont="1" applyFill="1" applyBorder="1" applyAlignment="1" applyProtection="1">
      <alignment horizontal="left"/>
      <protection locked="0"/>
    </xf>
    <xf numFmtId="0" fontId="160" fillId="49" borderId="73" xfId="8723" applyFont="1" applyFill="1" applyBorder="1" applyAlignment="1" applyProtection="1">
      <alignment horizontal="center"/>
      <protection locked="0"/>
    </xf>
    <xf numFmtId="0" fontId="160" fillId="49" borderId="74" xfId="8723" applyFont="1" applyFill="1" applyBorder="1" applyAlignment="1" applyProtection="1">
      <alignment horizontal="center"/>
      <protection locked="0"/>
    </xf>
    <xf numFmtId="14" fontId="160" fillId="49" borderId="74" xfId="8723" applyNumberFormat="1" applyFont="1" applyFill="1" applyBorder="1" applyAlignment="1" applyProtection="1">
      <alignment horizontal="center"/>
      <protection locked="0"/>
    </xf>
    <xf numFmtId="14" fontId="160" fillId="49" borderId="94" xfId="8723" applyNumberFormat="1" applyFont="1" applyFill="1" applyBorder="1" applyAlignment="1" applyProtection="1">
      <alignment horizontal="center"/>
      <protection locked="0"/>
    </xf>
    <xf numFmtId="0" fontId="98" fillId="0" borderId="0" xfId="8723" applyFont="1" applyAlignment="1">
      <alignment horizontal="left" wrapText="1"/>
    </xf>
    <xf numFmtId="0" fontId="98" fillId="45" borderId="71" xfId="8723" applyFont="1" applyFill="1" applyBorder="1" applyAlignment="1">
      <alignment horizontal="center"/>
    </xf>
    <xf numFmtId="0" fontId="98" fillId="45" borderId="72" xfId="8723" applyFont="1" applyFill="1" applyBorder="1" applyAlignment="1">
      <alignment horizontal="center"/>
    </xf>
    <xf numFmtId="0" fontId="142" fillId="45" borderId="72" xfId="8723" applyFont="1" applyFill="1" applyBorder="1" applyAlignment="1">
      <alignment horizontal="center"/>
    </xf>
    <xf numFmtId="0" fontId="142" fillId="45" borderId="75" xfId="8723" applyFont="1" applyFill="1" applyBorder="1" applyAlignment="1">
      <alignment horizontal="center"/>
    </xf>
    <xf numFmtId="14" fontId="160" fillId="49" borderId="11" xfId="8723" applyNumberFormat="1" applyFont="1" applyFill="1" applyBorder="1" applyAlignment="1" applyProtection="1">
      <alignment horizontal="center"/>
      <protection locked="0"/>
    </xf>
    <xf numFmtId="14" fontId="160" fillId="49" borderId="92" xfId="8723" applyNumberFormat="1" applyFont="1" applyFill="1" applyBorder="1" applyAlignment="1" applyProtection="1">
      <alignment horizontal="center"/>
      <protection locked="0"/>
    </xf>
    <xf numFmtId="0" fontId="98" fillId="45" borderId="75" xfId="8723" applyFont="1" applyFill="1" applyBorder="1" applyAlignment="1">
      <alignment horizontal="center"/>
    </xf>
    <xf numFmtId="0" fontId="142" fillId="45" borderId="71" xfId="8723" applyFont="1" applyFill="1" applyBorder="1" applyAlignment="1">
      <alignment horizontal="left"/>
    </xf>
    <xf numFmtId="0" fontId="142" fillId="45" borderId="72" xfId="8723" applyFont="1" applyFill="1" applyBorder="1" applyAlignment="1">
      <alignment horizontal="left"/>
    </xf>
    <xf numFmtId="0" fontId="142" fillId="45" borderId="75" xfId="8723" applyFont="1" applyFill="1" applyBorder="1" applyAlignment="1">
      <alignment horizontal="left"/>
    </xf>
    <xf numFmtId="0" fontId="98" fillId="45" borderId="81" xfId="8723" applyFont="1" applyFill="1" applyBorder="1" applyAlignment="1">
      <alignment horizontal="center"/>
    </xf>
    <xf numFmtId="0" fontId="98" fillId="45" borderId="11" xfId="8723" applyFont="1" applyFill="1" applyBorder="1" applyAlignment="1">
      <alignment horizontal="center"/>
    </xf>
    <xf numFmtId="0" fontId="98" fillId="45" borderId="92" xfId="8723" applyFont="1" applyFill="1" applyBorder="1" applyAlignment="1">
      <alignment horizontal="center"/>
    </xf>
    <xf numFmtId="0" fontId="160" fillId="49" borderId="81" xfId="8723" applyFont="1" applyFill="1" applyBorder="1" applyAlignment="1" applyProtection="1">
      <alignment horizontal="left" vertical="top"/>
      <protection locked="0"/>
    </xf>
    <xf numFmtId="0" fontId="160" fillId="49" borderId="11" xfId="8723" applyFont="1" applyFill="1" applyBorder="1" applyAlignment="1" applyProtection="1">
      <alignment horizontal="left" vertical="top"/>
      <protection locked="0"/>
    </xf>
    <xf numFmtId="0" fontId="160" fillId="49" borderId="92" xfId="8723" applyFont="1" applyFill="1" applyBorder="1" applyAlignment="1" applyProtection="1">
      <alignment horizontal="left" vertical="top"/>
      <protection locked="0"/>
    </xf>
    <xf numFmtId="0" fontId="160" fillId="49" borderId="73" xfId="8723" applyFont="1" applyFill="1" applyBorder="1" applyAlignment="1" applyProtection="1">
      <alignment horizontal="left" vertical="top"/>
      <protection locked="0"/>
    </xf>
    <xf numFmtId="0" fontId="160" fillId="49" borderId="74" xfId="8723" applyFont="1" applyFill="1" applyBorder="1" applyAlignment="1" applyProtection="1">
      <alignment horizontal="left" vertical="top"/>
      <protection locked="0"/>
    </xf>
    <xf numFmtId="0" fontId="160" fillId="49" borderId="94" xfId="8723" applyFont="1" applyFill="1" applyBorder="1" applyAlignment="1" applyProtection="1">
      <alignment horizontal="left" vertical="top"/>
      <protection locked="0"/>
    </xf>
    <xf numFmtId="0" fontId="170" fillId="45" borderId="81" xfId="8723" applyFont="1" applyFill="1" applyBorder="1" applyAlignment="1">
      <alignment horizontal="center"/>
    </xf>
    <xf numFmtId="0" fontId="170" fillId="45" borderId="11" xfId="8723" applyFont="1" applyFill="1" applyBorder="1" applyAlignment="1">
      <alignment horizontal="center"/>
    </xf>
    <xf numFmtId="0" fontId="156" fillId="49" borderId="11" xfId="8723" applyFont="1" applyFill="1" applyBorder="1" applyAlignment="1" applyProtection="1">
      <alignment horizontal="left"/>
      <protection locked="0"/>
    </xf>
    <xf numFmtId="14" fontId="162" fillId="49" borderId="11" xfId="8723" applyNumberFormat="1" applyFont="1" applyFill="1" applyBorder="1" applyAlignment="1" applyProtection="1">
      <alignment horizontal="center"/>
      <protection locked="0"/>
    </xf>
    <xf numFmtId="168" fontId="162" fillId="49" borderId="11" xfId="8724" applyNumberFormat="1" applyFont="1" applyFill="1" applyBorder="1" applyAlignment="1" applyProtection="1">
      <alignment horizontal="center"/>
      <protection locked="0"/>
    </xf>
    <xf numFmtId="168" fontId="162" fillId="49" borderId="92" xfId="8724" applyNumberFormat="1" applyFont="1" applyFill="1" applyBorder="1" applyAlignment="1" applyProtection="1">
      <alignment horizontal="center"/>
      <protection locked="0"/>
    </xf>
    <xf numFmtId="0" fontId="170" fillId="45" borderId="73" xfId="8723" applyFont="1" applyFill="1" applyBorder="1" applyAlignment="1">
      <alignment horizontal="center"/>
    </xf>
    <xf numFmtId="0" fontId="170" fillId="45" borderId="74" xfId="8723" applyFont="1" applyFill="1" applyBorder="1" applyAlignment="1">
      <alignment horizontal="center"/>
    </xf>
    <xf numFmtId="0" fontId="156" fillId="49" borderId="74" xfId="8723" applyFont="1" applyFill="1" applyBorder="1" applyAlignment="1" applyProtection="1">
      <alignment horizontal="left"/>
      <protection locked="0"/>
    </xf>
    <xf numFmtId="0" fontId="162" fillId="49" borderId="74" xfId="8723" applyFont="1" applyFill="1" applyBorder="1" applyAlignment="1" applyProtection="1">
      <alignment horizontal="center"/>
      <protection locked="0"/>
    </xf>
    <xf numFmtId="14" fontId="162" fillId="49" borderId="74" xfId="8723" applyNumberFormat="1" applyFont="1" applyFill="1" applyBorder="1" applyAlignment="1" applyProtection="1">
      <alignment horizontal="center"/>
      <protection locked="0"/>
    </xf>
    <xf numFmtId="168" fontId="162" fillId="49" borderId="74" xfId="8724" applyNumberFormat="1" applyFont="1" applyFill="1" applyBorder="1" applyAlignment="1" applyProtection="1">
      <alignment horizontal="center"/>
      <protection locked="0"/>
    </xf>
    <xf numFmtId="168" fontId="162" fillId="49" borderId="94" xfId="8724" applyNumberFormat="1" applyFont="1" applyFill="1" applyBorder="1" applyAlignment="1" applyProtection="1">
      <alignment horizontal="center"/>
      <protection locked="0"/>
    </xf>
    <xf numFmtId="0" fontId="158" fillId="45" borderId="73" xfId="8723" applyFont="1" applyFill="1" applyBorder="1" applyAlignment="1">
      <alignment horizontal="left"/>
    </xf>
    <xf numFmtId="0" fontId="158" fillId="45" borderId="74" xfId="8723" applyFont="1" applyFill="1" applyBorder="1" applyAlignment="1">
      <alignment horizontal="left"/>
    </xf>
    <xf numFmtId="0" fontId="1" fillId="49" borderId="74" xfId="8723" applyFill="1" applyBorder="1" applyAlignment="1" applyProtection="1">
      <alignment horizontal="center"/>
      <protection locked="0"/>
    </xf>
    <xf numFmtId="0" fontId="1" fillId="49" borderId="94" xfId="8723" applyFill="1" applyBorder="1" applyAlignment="1" applyProtection="1">
      <alignment horizontal="center"/>
      <protection locked="0"/>
    </xf>
    <xf numFmtId="0" fontId="142" fillId="45" borderId="71" xfId="8723" applyFont="1" applyFill="1" applyBorder="1" applyAlignment="1">
      <alignment horizontal="center"/>
    </xf>
    <xf numFmtId="0" fontId="147" fillId="45" borderId="11" xfId="8723" applyFont="1" applyFill="1" applyBorder="1" applyAlignment="1">
      <alignment horizontal="center"/>
    </xf>
    <xf numFmtId="0" fontId="158" fillId="45" borderId="81" xfId="8723" applyFont="1" applyFill="1" applyBorder="1" applyAlignment="1">
      <alignment horizontal="left"/>
    </xf>
    <xf numFmtId="0" fontId="158" fillId="45" borderId="11" xfId="8723" applyFont="1" applyFill="1" applyBorder="1" applyAlignment="1">
      <alignment horizontal="left"/>
    </xf>
    <xf numFmtId="0" fontId="1" fillId="49" borderId="11" xfId="8723" applyFill="1" applyBorder="1" applyAlignment="1" applyProtection="1">
      <alignment horizontal="center"/>
      <protection locked="0"/>
    </xf>
    <xf numFmtId="0" fontId="1" fillId="49" borderId="92" xfId="8723" applyFill="1" applyBorder="1" applyAlignment="1" applyProtection="1">
      <alignment horizontal="center"/>
      <protection locked="0"/>
    </xf>
    <xf numFmtId="0" fontId="147" fillId="45" borderId="11" xfId="8723" applyFont="1" applyFill="1" applyBorder="1" applyAlignment="1">
      <alignment horizontal="center" wrapText="1"/>
    </xf>
    <xf numFmtId="0" fontId="147" fillId="45" borderId="92" xfId="8723" applyFont="1" applyFill="1" applyBorder="1" applyAlignment="1">
      <alignment horizontal="center" wrapText="1"/>
    </xf>
    <xf numFmtId="0" fontId="145" fillId="49" borderId="72" xfId="8723" applyFont="1" applyFill="1" applyBorder="1" applyAlignment="1" applyProtection="1">
      <alignment horizontal="left"/>
      <protection locked="0"/>
    </xf>
    <xf numFmtId="0" fontId="145" fillId="49" borderId="75" xfId="8723" applyFont="1" applyFill="1" applyBorder="1" applyAlignment="1" applyProtection="1">
      <alignment horizontal="left"/>
      <protection locked="0"/>
    </xf>
    <xf numFmtId="0" fontId="151" fillId="45" borderId="81" xfId="8723" applyFont="1" applyFill="1" applyBorder="1" applyAlignment="1">
      <alignment horizontal="left"/>
    </xf>
    <xf numFmtId="0" fontId="151" fillId="45" borderId="11" xfId="8723" applyFont="1" applyFill="1" applyBorder="1" applyAlignment="1">
      <alignment horizontal="left"/>
    </xf>
    <xf numFmtId="0" fontId="161" fillId="49" borderId="11" xfId="8723" applyFont="1" applyFill="1" applyBorder="1" applyAlignment="1" applyProtection="1">
      <alignment horizontal="left"/>
      <protection locked="0"/>
    </xf>
    <xf numFmtId="0" fontId="161" fillId="49" borderId="92" xfId="8723" applyFont="1" applyFill="1" applyBorder="1" applyAlignment="1" applyProtection="1">
      <alignment horizontal="left"/>
      <protection locked="0"/>
    </xf>
    <xf numFmtId="0" fontId="162" fillId="49" borderId="81" xfId="8723" applyFont="1" applyFill="1" applyBorder="1" applyAlignment="1" applyProtection="1">
      <alignment horizontal="left" vertical="top"/>
      <protection locked="0"/>
    </xf>
    <xf numFmtId="0" fontId="162" fillId="49" borderId="11" xfId="8723" applyFont="1" applyFill="1" applyBorder="1" applyAlignment="1" applyProtection="1">
      <alignment horizontal="left" vertical="top"/>
      <protection locked="0"/>
    </xf>
    <xf numFmtId="0" fontId="162" fillId="49" borderId="92" xfId="8723" applyFont="1" applyFill="1" applyBorder="1" applyAlignment="1" applyProtection="1">
      <alignment horizontal="left" vertical="top"/>
      <protection locked="0"/>
    </xf>
    <xf numFmtId="0" fontId="162" fillId="49" borderId="73" xfId="8723" applyFont="1" applyFill="1" applyBorder="1" applyAlignment="1" applyProtection="1">
      <alignment horizontal="left" vertical="top"/>
      <protection locked="0"/>
    </xf>
    <xf numFmtId="0" fontId="162" fillId="49" borderId="74" xfId="8723" applyFont="1" applyFill="1" applyBorder="1" applyAlignment="1" applyProtection="1">
      <alignment horizontal="left" vertical="top"/>
      <protection locked="0"/>
    </xf>
    <xf numFmtId="0" fontId="162" fillId="49" borderId="94" xfId="8723" applyFont="1" applyFill="1" applyBorder="1" applyAlignment="1" applyProtection="1">
      <alignment horizontal="left" vertical="top"/>
      <protection locked="0"/>
    </xf>
    <xf numFmtId="0" fontId="1" fillId="47" borderId="74" xfId="8723" applyFill="1" applyBorder="1" applyAlignment="1" applyProtection="1">
      <alignment horizontal="center"/>
      <protection locked="0"/>
    </xf>
    <xf numFmtId="0" fontId="1" fillId="47" borderId="94" xfId="8723" applyFill="1" applyBorder="1" applyAlignment="1" applyProtection="1">
      <alignment horizontal="center"/>
      <protection locked="0"/>
    </xf>
    <xf numFmtId="0" fontId="142" fillId="45" borderId="76" xfId="8723" applyFont="1" applyFill="1" applyBorder="1" applyAlignment="1">
      <alignment horizontal="center"/>
    </xf>
    <xf numFmtId="0" fontId="142" fillId="45" borderId="77" xfId="8723" applyFont="1" applyFill="1" applyBorder="1" applyAlignment="1">
      <alignment horizontal="center"/>
    </xf>
    <xf numFmtId="0" fontId="142" fillId="45" borderId="78" xfId="8723" applyFont="1" applyFill="1" applyBorder="1" applyAlignment="1">
      <alignment horizontal="center"/>
    </xf>
    <xf numFmtId="0" fontId="98" fillId="45" borderId="71" xfId="8723" applyFont="1" applyFill="1" applyBorder="1" applyAlignment="1">
      <alignment horizontal="left" wrapText="1"/>
    </xf>
    <xf numFmtId="0" fontId="98" fillId="45" borderId="72" xfId="8723" applyFont="1" applyFill="1" applyBorder="1" applyAlignment="1">
      <alignment horizontal="left" wrapText="1"/>
    </xf>
    <xf numFmtId="0" fontId="98" fillId="45" borderId="75" xfId="8723" applyFont="1" applyFill="1" applyBorder="1" applyAlignment="1">
      <alignment horizontal="left" wrapText="1"/>
    </xf>
    <xf numFmtId="0" fontId="98" fillId="45" borderId="81" xfId="8723" applyFont="1" applyFill="1" applyBorder="1" applyAlignment="1">
      <alignment horizontal="left" wrapText="1"/>
    </xf>
    <xf numFmtId="0" fontId="98" fillId="45" borderId="11" xfId="8723" applyFont="1" applyFill="1" applyBorder="1" applyAlignment="1">
      <alignment horizontal="left" wrapText="1"/>
    </xf>
    <xf numFmtId="0" fontId="98" fillId="45" borderId="92" xfId="8723" applyFont="1" applyFill="1" applyBorder="1" applyAlignment="1">
      <alignment horizontal="left" wrapText="1"/>
    </xf>
    <xf numFmtId="0" fontId="98" fillId="45" borderId="66" xfId="8723" applyFont="1" applyFill="1" applyBorder="1" applyAlignment="1">
      <alignment horizontal="center"/>
    </xf>
    <xf numFmtId="0" fontId="98" fillId="45" borderId="29" xfId="8723" applyFont="1" applyFill="1" applyBorder="1" applyAlignment="1">
      <alignment horizontal="center"/>
    </xf>
    <xf numFmtId="0" fontId="98" fillId="45" borderId="31" xfId="8723" applyFont="1" applyFill="1" applyBorder="1" applyAlignment="1">
      <alignment horizontal="center"/>
    </xf>
    <xf numFmtId="0" fontId="146" fillId="45" borderId="11" xfId="8723" applyFont="1" applyFill="1" applyBorder="1" applyAlignment="1">
      <alignment horizontal="center"/>
    </xf>
    <xf numFmtId="0" fontId="157" fillId="45" borderId="11" xfId="8723" applyFont="1" applyFill="1" applyBorder="1" applyAlignment="1">
      <alignment horizontal="left"/>
    </xf>
    <xf numFmtId="0" fontId="157" fillId="45" borderId="92" xfId="8723" applyFont="1" applyFill="1" applyBorder="1" applyAlignment="1">
      <alignment horizontal="left"/>
    </xf>
    <xf numFmtId="0" fontId="160" fillId="49" borderId="81" xfId="8723" applyFont="1" applyFill="1" applyBorder="1" applyAlignment="1">
      <alignment horizontal="left" vertical="top"/>
    </xf>
    <xf numFmtId="0" fontId="160" fillId="49" borderId="11" xfId="8723" applyFont="1" applyFill="1" applyBorder="1" applyAlignment="1">
      <alignment horizontal="left" vertical="top"/>
    </xf>
    <xf numFmtId="0" fontId="160" fillId="49" borderId="92" xfId="8723" applyFont="1" applyFill="1" applyBorder="1" applyAlignment="1">
      <alignment horizontal="left" vertical="top"/>
    </xf>
    <xf numFmtId="0" fontId="160" fillId="49" borderId="73" xfId="8723" applyFont="1" applyFill="1" applyBorder="1" applyAlignment="1">
      <alignment horizontal="left" vertical="top"/>
    </xf>
    <xf numFmtId="0" fontId="160" fillId="49" borderId="74" xfId="8723" applyFont="1" applyFill="1" applyBorder="1" applyAlignment="1">
      <alignment horizontal="left" vertical="top"/>
    </xf>
    <xf numFmtId="0" fontId="160" fillId="49" borderId="94" xfId="8723" applyFont="1" applyFill="1" applyBorder="1" applyAlignment="1">
      <alignment horizontal="left" vertical="top"/>
    </xf>
    <xf numFmtId="0" fontId="146" fillId="45" borderId="73" xfId="8723" applyFont="1" applyFill="1" applyBorder="1" applyAlignment="1">
      <alignment horizontal="center"/>
    </xf>
    <xf numFmtId="0" fontId="146" fillId="45" borderId="74" xfId="8723" applyFont="1" applyFill="1" applyBorder="1" applyAlignment="1">
      <alignment horizontal="center"/>
    </xf>
    <xf numFmtId="0" fontId="146" fillId="45" borderId="81" xfId="8723" applyFont="1" applyFill="1" applyBorder="1" applyAlignment="1">
      <alignment horizontal="center"/>
    </xf>
    <xf numFmtId="0" fontId="145" fillId="49" borderId="72" xfId="8723" applyFont="1" applyFill="1" applyBorder="1" applyAlignment="1" applyProtection="1">
      <alignment horizontal="left" wrapText="1"/>
      <protection locked="0"/>
    </xf>
    <xf numFmtId="0" fontId="145" fillId="49" borderId="75" xfId="8723" applyFont="1" applyFill="1" applyBorder="1" applyAlignment="1" applyProtection="1">
      <alignment horizontal="left" wrapText="1"/>
      <protection locked="0"/>
    </xf>
    <xf numFmtId="0" fontId="145" fillId="49" borderId="11" xfId="8723" applyFont="1" applyFill="1" applyBorder="1" applyAlignment="1" applyProtection="1">
      <alignment horizontal="left" wrapText="1"/>
      <protection locked="0"/>
    </xf>
    <xf numFmtId="0" fontId="145" fillId="49" borderId="92" xfId="8723" applyFont="1" applyFill="1" applyBorder="1" applyAlignment="1" applyProtection="1">
      <alignment horizontal="left" wrapText="1"/>
      <protection locked="0"/>
    </xf>
    <xf numFmtId="0" fontId="146" fillId="45" borderId="11" xfId="8723" applyFont="1" applyFill="1" applyBorder="1" applyAlignment="1">
      <alignment horizontal="center" wrapText="1"/>
    </xf>
    <xf numFmtId="0" fontId="147" fillId="45" borderId="92" xfId="8723" applyFont="1" applyFill="1" applyBorder="1" applyAlignment="1">
      <alignment horizontal="center"/>
    </xf>
    <xf numFmtId="0" fontId="98" fillId="45" borderId="71" xfId="8723" applyFont="1" applyFill="1" applyBorder="1" applyAlignment="1">
      <alignment horizontal="center" wrapText="1"/>
    </xf>
    <xf numFmtId="0" fontId="98" fillId="45" borderId="72" xfId="8723" applyFont="1" applyFill="1" applyBorder="1" applyAlignment="1">
      <alignment horizontal="center" wrapText="1"/>
    </xf>
    <xf numFmtId="0" fontId="98" fillId="45" borderId="75" xfId="8723" applyFont="1" applyFill="1" applyBorder="1" applyAlignment="1">
      <alignment horizontal="center" wrapText="1"/>
    </xf>
    <xf numFmtId="0" fontId="162" fillId="49" borderId="81" xfId="8723" applyFont="1" applyFill="1" applyBorder="1" applyAlignment="1" applyProtection="1">
      <alignment horizontal="right"/>
      <protection locked="0"/>
    </xf>
    <xf numFmtId="0" fontId="162" fillId="49" borderId="11" xfId="8723" applyFont="1" applyFill="1" applyBorder="1" applyAlignment="1" applyProtection="1">
      <alignment horizontal="right"/>
      <protection locked="0"/>
    </xf>
    <xf numFmtId="168" fontId="162" fillId="49" borderId="92" xfId="700" applyNumberFormat="1" applyFont="1" applyFill="1" applyBorder="1" applyAlignment="1" applyProtection="1">
      <alignment horizontal="left"/>
      <protection locked="0"/>
    </xf>
    <xf numFmtId="0" fontId="142" fillId="45" borderId="96" xfId="8723" applyFont="1" applyFill="1" applyBorder="1" applyAlignment="1">
      <alignment horizontal="center"/>
    </xf>
    <xf numFmtId="0" fontId="142" fillId="45" borderId="13" xfId="8723" applyFont="1" applyFill="1" applyBorder="1" applyAlignment="1">
      <alignment horizontal="center"/>
    </xf>
    <xf numFmtId="0" fontId="160" fillId="49" borderId="81" xfId="8723" applyFont="1" applyFill="1" applyBorder="1" applyAlignment="1" applyProtection="1">
      <alignment horizontal="right"/>
      <protection locked="0"/>
    </xf>
    <xf numFmtId="0" fontId="160" fillId="49" borderId="11" xfId="8723" applyFont="1" applyFill="1" applyBorder="1" applyAlignment="1" applyProtection="1">
      <alignment horizontal="right"/>
      <protection locked="0"/>
    </xf>
    <xf numFmtId="0" fontId="142" fillId="45" borderId="95" xfId="8723" applyFont="1" applyFill="1" applyBorder="1" applyAlignment="1">
      <alignment horizontal="right"/>
    </xf>
    <xf numFmtId="0" fontId="142" fillId="45" borderId="43" xfId="8723" applyFont="1" applyFill="1" applyBorder="1" applyAlignment="1">
      <alignment horizontal="right"/>
    </xf>
    <xf numFmtId="168" fontId="142" fillId="45" borderId="43" xfId="8723" applyNumberFormat="1" applyFont="1" applyFill="1" applyBorder="1" applyAlignment="1">
      <alignment horizontal="left"/>
    </xf>
    <xf numFmtId="168" fontId="142" fillId="45" borderId="97" xfId="8723" applyNumberFormat="1" applyFont="1" applyFill="1" applyBorder="1" applyAlignment="1">
      <alignment horizontal="left"/>
    </xf>
    <xf numFmtId="0" fontId="160" fillId="49" borderId="72" xfId="8723" applyFont="1" applyFill="1" applyBorder="1" applyAlignment="1" applyProtection="1">
      <alignment horizontal="left"/>
      <protection locked="0"/>
    </xf>
    <xf numFmtId="0" fontId="160" fillId="49" borderId="75" xfId="8723" applyFont="1" applyFill="1" applyBorder="1" applyAlignment="1" applyProtection="1">
      <alignment horizontal="left"/>
      <protection locked="0"/>
    </xf>
    <xf numFmtId="0" fontId="142" fillId="45" borderId="73" xfId="8723" applyFont="1" applyFill="1" applyBorder="1" applyAlignment="1">
      <alignment horizontal="center"/>
    </xf>
    <xf numFmtId="0" fontId="142" fillId="45" borderId="74" xfId="8723" applyFont="1" applyFill="1" applyBorder="1" applyAlignment="1">
      <alignment horizontal="center"/>
    </xf>
    <xf numFmtId="0" fontId="160" fillId="49" borderId="74" xfId="8723" applyFont="1" applyFill="1" applyBorder="1" applyAlignment="1" applyProtection="1">
      <alignment horizontal="left"/>
      <protection locked="0"/>
    </xf>
    <xf numFmtId="0" fontId="160" fillId="49" borderId="94" xfId="8723" applyFont="1" applyFill="1" applyBorder="1" applyAlignment="1" applyProtection="1">
      <alignment horizontal="left"/>
      <protection locked="0"/>
    </xf>
    <xf numFmtId="0" fontId="145" fillId="49" borderId="90" xfId="8723" applyFont="1" applyFill="1" applyBorder="1" applyAlignment="1" applyProtection="1">
      <alignment horizontal="left"/>
      <protection locked="0"/>
    </xf>
    <xf numFmtId="0" fontId="142" fillId="45" borderId="81" xfId="8723" applyFont="1" applyFill="1" applyBorder="1" applyAlignment="1">
      <alignment horizontal="center"/>
    </xf>
    <xf numFmtId="0" fontId="142" fillId="45" borderId="11" xfId="8723" applyFont="1" applyFill="1" applyBorder="1" applyAlignment="1">
      <alignment horizontal="center"/>
    </xf>
    <xf numFmtId="0" fontId="142" fillId="45" borderId="3" xfId="8723" applyFont="1" applyFill="1" applyBorder="1" applyAlignment="1">
      <alignment horizontal="center"/>
    </xf>
    <xf numFmtId="0" fontId="142" fillId="45" borderId="4" xfId="8723" applyFont="1" applyFill="1" applyBorder="1" applyAlignment="1">
      <alignment horizontal="center"/>
    </xf>
    <xf numFmtId="0" fontId="142" fillId="45" borderId="80" xfId="8723" applyFont="1" applyFill="1" applyBorder="1" applyAlignment="1">
      <alignment horizontal="center"/>
    </xf>
    <xf numFmtId="0" fontId="98" fillId="45" borderId="73" xfId="8723" applyFont="1" applyFill="1" applyBorder="1" applyAlignment="1">
      <alignment horizontal="center"/>
    </xf>
    <xf numFmtId="0" fontId="98" fillId="45" borderId="74" xfId="8723" applyFont="1" applyFill="1" applyBorder="1" applyAlignment="1">
      <alignment horizontal="center"/>
    </xf>
    <xf numFmtId="14" fontId="145" fillId="49" borderId="84" xfId="8723" applyNumberFormat="1" applyFont="1" applyFill="1" applyBorder="1" applyAlignment="1" applyProtection="1">
      <alignment horizontal="center"/>
      <protection locked="0"/>
    </xf>
    <xf numFmtId="0" fontId="145" fillId="49" borderId="74" xfId="8723" applyFont="1" applyFill="1" applyBorder="1" applyAlignment="1" applyProtection="1">
      <alignment horizontal="center"/>
      <protection locked="0"/>
    </xf>
    <xf numFmtId="0" fontId="145" fillId="49" borderId="94" xfId="8723" applyFont="1" applyFill="1" applyBorder="1" applyAlignment="1" applyProtection="1">
      <alignment horizontal="center"/>
      <protection locked="0"/>
    </xf>
    <xf numFmtId="0" fontId="160" fillId="44" borderId="81" xfId="8723" applyFont="1" applyFill="1" applyBorder="1" applyAlignment="1" applyProtection="1">
      <alignment horizontal="right"/>
      <protection locked="0"/>
    </xf>
    <xf numFmtId="0" fontId="160" fillId="44" borderId="11" xfId="8723" applyFont="1" applyFill="1" applyBorder="1" applyAlignment="1" applyProtection="1">
      <alignment horizontal="right"/>
      <protection locked="0"/>
    </xf>
    <xf numFmtId="0" fontId="160" fillId="44" borderId="92" xfId="8723" applyFont="1" applyFill="1" applyBorder="1" applyAlignment="1" applyProtection="1">
      <alignment horizontal="right"/>
      <protection locked="0"/>
    </xf>
    <xf numFmtId="0" fontId="160" fillId="49" borderId="5" xfId="8723" applyFont="1" applyFill="1" applyBorder="1" applyAlignment="1" applyProtection="1">
      <alignment horizontal="left"/>
      <protection locked="0"/>
    </xf>
    <xf numFmtId="0" fontId="160" fillId="44" borderId="73" xfId="8723" applyFont="1" applyFill="1" applyBorder="1" applyAlignment="1" applyProtection="1">
      <alignment horizontal="right"/>
      <protection locked="0"/>
    </xf>
    <xf numFmtId="0" fontId="160" fillId="44" borderId="74" xfId="8723" applyFont="1" applyFill="1" applyBorder="1" applyAlignment="1" applyProtection="1">
      <alignment horizontal="right"/>
      <protection locked="0"/>
    </xf>
    <xf numFmtId="0" fontId="160" fillId="44" borderId="94" xfId="8723" applyFont="1" applyFill="1" applyBorder="1" applyAlignment="1" applyProtection="1">
      <alignment horizontal="right"/>
      <protection locked="0"/>
    </xf>
    <xf numFmtId="0" fontId="160" fillId="49" borderId="84" xfId="8723" applyFont="1" applyFill="1" applyBorder="1" applyAlignment="1" applyProtection="1">
      <alignment horizontal="left"/>
      <protection locked="0"/>
    </xf>
    <xf numFmtId="0" fontId="142" fillId="45" borderId="66" xfId="8723" applyFont="1" applyFill="1" applyBorder="1" applyAlignment="1">
      <alignment horizontal="center"/>
    </xf>
    <xf numFmtId="0" fontId="142" fillId="45" borderId="29" xfId="8723" applyFont="1" applyFill="1" applyBorder="1" applyAlignment="1">
      <alignment horizontal="center"/>
    </xf>
    <xf numFmtId="0" fontId="142" fillId="45" borderId="31" xfId="8723" applyFont="1" applyFill="1" applyBorder="1" applyAlignment="1">
      <alignment horizontal="center"/>
    </xf>
    <xf numFmtId="168" fontId="160" fillId="49" borderId="11" xfId="8724" applyNumberFormat="1" applyFont="1" applyFill="1" applyBorder="1" applyAlignment="1" applyProtection="1">
      <alignment horizontal="center"/>
      <protection locked="0"/>
    </xf>
    <xf numFmtId="1" fontId="160" fillId="49" borderId="11" xfId="8723"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2" xfId="700" applyNumberFormat="1" applyFont="1" applyFill="1" applyBorder="1" applyAlignment="1" applyProtection="1">
      <alignment horizontal="left"/>
      <protection locked="0"/>
    </xf>
    <xf numFmtId="168" fontId="146" fillId="45" borderId="74" xfId="8724" applyNumberFormat="1" applyFont="1" applyFill="1" applyBorder="1" applyAlignment="1">
      <alignment horizontal="center"/>
    </xf>
    <xf numFmtId="1" fontId="146" fillId="45" borderId="74" xfId="8724" applyNumberFormat="1" applyFont="1" applyFill="1" applyBorder="1" applyAlignment="1">
      <alignment horizontal="center"/>
    </xf>
    <xf numFmtId="0" fontId="146" fillId="45" borderId="74" xfId="8724" applyNumberFormat="1" applyFont="1" applyFill="1" applyBorder="1" applyAlignment="1">
      <alignment horizontal="center"/>
    </xf>
    <xf numFmtId="0" fontId="146" fillId="45" borderId="94" xfId="8724" applyNumberFormat="1" applyFont="1" applyFill="1" applyBorder="1" applyAlignment="1">
      <alignment horizontal="center"/>
    </xf>
    <xf numFmtId="0" fontId="147" fillId="45" borderId="11" xfId="8723" applyFont="1" applyFill="1" applyBorder="1" applyAlignment="1">
      <alignment horizontal="center" vertical="center" wrapText="1"/>
    </xf>
    <xf numFmtId="0" fontId="147" fillId="45" borderId="92" xfId="8723" applyFont="1" applyFill="1" applyBorder="1" applyAlignment="1">
      <alignment horizontal="center" vertical="center" wrapText="1"/>
    </xf>
    <xf numFmtId="1" fontId="161" fillId="49" borderId="74" xfId="8723" applyNumberFormat="1" applyFont="1" applyFill="1" applyBorder="1" applyAlignment="1" applyProtection="1">
      <alignment horizontal="center"/>
      <protection locked="0"/>
    </xf>
    <xf numFmtId="1" fontId="147" fillId="44" borderId="74" xfId="8723" applyNumberFormat="1" applyFont="1" applyFill="1" applyBorder="1" applyAlignment="1">
      <alignment horizontal="center"/>
    </xf>
    <xf numFmtId="9" fontId="147" fillId="44" borderId="74" xfId="8725" applyFont="1" applyFill="1" applyBorder="1" applyAlignment="1">
      <alignment horizontal="center"/>
    </xf>
    <xf numFmtId="9" fontId="147" fillId="44" borderId="94" xfId="8725" applyFont="1" applyFill="1" applyBorder="1" applyAlignment="1">
      <alignment horizontal="center"/>
    </xf>
    <xf numFmtId="1" fontId="161" fillId="49" borderId="11" xfId="8723" applyNumberFormat="1" applyFont="1" applyFill="1" applyBorder="1" applyAlignment="1" applyProtection="1">
      <alignment horizontal="center"/>
      <protection locked="0"/>
    </xf>
    <xf numFmtId="1" fontId="147" fillId="44" borderId="11" xfId="8723" applyNumberFormat="1" applyFont="1" applyFill="1" applyBorder="1" applyAlignment="1">
      <alignment horizontal="center"/>
    </xf>
    <xf numFmtId="9" fontId="147" fillId="44" borderId="11" xfId="8725" applyFont="1" applyFill="1" applyBorder="1" applyAlignment="1">
      <alignment horizontal="center"/>
    </xf>
    <xf numFmtId="9" fontId="147" fillId="44" borderId="92" xfId="8725" applyFont="1" applyFill="1" applyBorder="1" applyAlignment="1">
      <alignment horizontal="center"/>
    </xf>
    <xf numFmtId="0" fontId="160" fillId="49" borderId="73" xfId="8723" applyFont="1" applyFill="1" applyBorder="1" applyAlignment="1" applyProtection="1">
      <alignment horizontal="right"/>
      <protection locked="0"/>
    </xf>
    <xf numFmtId="0" fontId="160" fillId="49" borderId="74" xfId="8723" applyFont="1" applyFill="1" applyBorder="1" applyAlignment="1" applyProtection="1">
      <alignment horizontal="right"/>
      <protection locked="0"/>
    </xf>
    <xf numFmtId="0" fontId="161" fillId="49" borderId="74" xfId="8723" applyFont="1" applyFill="1" applyBorder="1" applyAlignment="1" applyProtection="1">
      <alignment horizontal="center"/>
      <protection locked="0"/>
    </xf>
    <xf numFmtId="0" fontId="161" fillId="49" borderId="11" xfId="8723" applyFont="1" applyFill="1" applyBorder="1" applyAlignment="1" applyProtection="1">
      <alignment horizontal="center"/>
      <protection locked="0"/>
    </xf>
    <xf numFmtId="9" fontId="146" fillId="49" borderId="11" xfId="8723" applyNumberFormat="1" applyFont="1" applyFill="1" applyBorder="1" applyAlignment="1" applyProtection="1">
      <alignment horizontal="center"/>
      <protection locked="0"/>
    </xf>
    <xf numFmtId="9" fontId="147" fillId="49" borderId="11" xfId="8723" applyNumberFormat="1" applyFont="1" applyFill="1" applyBorder="1" applyAlignment="1" applyProtection="1">
      <alignment horizontal="center"/>
      <protection locked="0"/>
    </xf>
    <xf numFmtId="0" fontId="147" fillId="44" borderId="11" xfId="8723" applyFont="1" applyFill="1" applyBorder="1" applyAlignment="1">
      <alignment horizontal="center"/>
    </xf>
    <xf numFmtId="0" fontId="147" fillId="44" borderId="92" xfId="8723" applyFont="1" applyFill="1" applyBorder="1" applyAlignment="1">
      <alignment horizontal="center"/>
    </xf>
    <xf numFmtId="0" fontId="146" fillId="44" borderId="89" xfId="8723" applyFont="1" applyFill="1" applyBorder="1" applyAlignment="1">
      <alignment horizontal="center"/>
    </xf>
    <xf numFmtId="0" fontId="146" fillId="44" borderId="42" xfId="8723" applyFont="1" applyFill="1" applyBorder="1" applyAlignment="1">
      <alignment horizontal="center"/>
    </xf>
    <xf numFmtId="0" fontId="146" fillId="44" borderId="88" xfId="8723" applyFont="1" applyFill="1" applyBorder="1" applyAlignment="1">
      <alignment horizontal="center"/>
    </xf>
    <xf numFmtId="9" fontId="146" fillId="44" borderId="89"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81" xfId="8723" applyFont="1" applyFill="1" applyBorder="1" applyAlignment="1">
      <alignment horizontal="center" vertical="center" wrapText="1"/>
    </xf>
    <xf numFmtId="0" fontId="147" fillId="45" borderId="11" xfId="8723" applyFont="1" applyFill="1" applyBorder="1" applyAlignment="1">
      <alignment horizontal="center" vertical="center"/>
    </xf>
    <xf numFmtId="0" fontId="147" fillId="45" borderId="81" xfId="8723" applyFont="1" applyFill="1" applyBorder="1" applyAlignment="1">
      <alignment horizontal="center" vertical="center"/>
    </xf>
    <xf numFmtId="0" fontId="146" fillId="45" borderId="11" xfId="8723" applyFont="1" applyFill="1" applyBorder="1" applyAlignment="1">
      <alignment horizontal="center" vertical="center" wrapText="1"/>
    </xf>
    <xf numFmtId="0" fontId="146" fillId="45" borderId="11" xfId="8723" applyFont="1" applyFill="1" applyBorder="1" applyAlignment="1">
      <alignment horizontal="center" vertical="center"/>
    </xf>
    <xf numFmtId="0" fontId="146" fillId="45" borderId="92" xfId="8723" applyFont="1" applyFill="1" applyBorder="1" applyAlignment="1">
      <alignment horizontal="center" vertical="center" wrapText="1"/>
    </xf>
    <xf numFmtId="0" fontId="146" fillId="44" borderId="87" xfId="8723" applyFont="1" applyFill="1" applyBorder="1" applyAlignment="1">
      <alignment horizontal="center"/>
    </xf>
    <xf numFmtId="0" fontId="160" fillId="44" borderId="3" xfId="8723" applyFont="1" applyFill="1" applyBorder="1" applyAlignment="1">
      <alignment horizontal="center"/>
    </xf>
    <xf numFmtId="0" fontId="160" fillId="44" borderId="4" xfId="8723" applyFont="1" applyFill="1" applyBorder="1" applyAlignment="1">
      <alignment horizontal="center"/>
    </xf>
    <xf numFmtId="0" fontId="160" fillId="44" borderId="5" xfId="8723" applyFont="1" applyFill="1" applyBorder="1" applyAlignment="1">
      <alignment horizontal="center"/>
    </xf>
    <xf numFmtId="9" fontId="146" fillId="44" borderId="3" xfId="8723" applyNumberFormat="1" applyFont="1" applyFill="1" applyBorder="1" applyAlignment="1">
      <alignment horizontal="center"/>
    </xf>
    <xf numFmtId="9" fontId="146" fillId="44" borderId="4" xfId="8723" applyNumberFormat="1" applyFont="1" applyFill="1" applyBorder="1" applyAlignment="1">
      <alignment horizontal="center"/>
    </xf>
    <xf numFmtId="9" fontId="146" fillId="44" borderId="80" xfId="8723" applyNumberFormat="1" applyFont="1" applyFill="1" applyBorder="1" applyAlignment="1">
      <alignment horizontal="center"/>
    </xf>
    <xf numFmtId="0" fontId="146" fillId="44" borderId="82" xfId="8723" applyFont="1" applyFill="1" applyBorder="1" applyAlignment="1">
      <alignment horizontal="center"/>
    </xf>
    <xf numFmtId="0" fontId="146" fillId="44" borderId="83" xfId="8723" applyFont="1" applyFill="1" applyBorder="1" applyAlignment="1">
      <alignment horizontal="center"/>
    </xf>
    <xf numFmtId="0" fontId="146" fillId="44" borderId="84" xfId="8723" applyFont="1" applyFill="1" applyBorder="1" applyAlignment="1">
      <alignment horizontal="center"/>
    </xf>
    <xf numFmtId="0" fontId="160" fillId="44" borderId="85" xfId="8723" applyFont="1" applyFill="1" applyBorder="1" applyAlignment="1">
      <alignment horizontal="center"/>
    </xf>
    <xf numFmtId="0" fontId="160" fillId="44" borderId="83" xfId="8723" applyFont="1" applyFill="1" applyBorder="1" applyAlignment="1">
      <alignment horizontal="center"/>
    </xf>
    <xf numFmtId="0" fontId="160" fillId="44" borderId="84" xfId="8723" applyFont="1" applyFill="1" applyBorder="1" applyAlignment="1">
      <alignment horizontal="center"/>
    </xf>
    <xf numFmtId="9" fontId="146" fillId="44" borderId="85" xfId="8723" applyNumberFormat="1" applyFont="1" applyFill="1" applyBorder="1" applyAlignment="1">
      <alignment horizontal="center"/>
    </xf>
    <xf numFmtId="9" fontId="146" fillId="44" borderId="83" xfId="8723" applyNumberFormat="1" applyFont="1" applyFill="1" applyBorder="1" applyAlignment="1">
      <alignment horizontal="center"/>
    </xf>
    <xf numFmtId="9" fontId="146" fillId="44" borderId="86" xfId="8723" applyNumberFormat="1" applyFont="1" applyFill="1" applyBorder="1" applyAlignment="1">
      <alignment horizontal="center"/>
    </xf>
    <xf numFmtId="9" fontId="160" fillId="49" borderId="93" xfId="8723" applyNumberFormat="1" applyFont="1" applyFill="1" applyBorder="1" applyAlignment="1">
      <alignment horizontal="center"/>
    </xf>
    <xf numFmtId="9" fontId="160" fillId="49" borderId="4" xfId="8723" applyNumberFormat="1" applyFont="1" applyFill="1" applyBorder="1" applyAlignment="1">
      <alignment horizontal="center"/>
    </xf>
    <xf numFmtId="9" fontId="160" fillId="49" borderId="5" xfId="8723" applyNumberFormat="1" applyFont="1" applyFill="1" applyBorder="1" applyAlignment="1">
      <alignment horizontal="center"/>
    </xf>
    <xf numFmtId="0" fontId="146" fillId="45" borderId="79" xfId="8723" applyFont="1" applyFill="1" applyBorder="1" applyAlignment="1">
      <alignment horizontal="center"/>
    </xf>
    <xf numFmtId="0" fontId="146" fillId="45" borderId="2" xfId="8723" applyFont="1" applyFill="1" applyBorder="1" applyAlignment="1">
      <alignment horizontal="center"/>
    </xf>
    <xf numFmtId="0" fontId="146" fillId="45" borderId="7" xfId="8723" applyFont="1" applyFill="1" applyBorder="1" applyAlignment="1">
      <alignment horizontal="center"/>
    </xf>
    <xf numFmtId="0" fontId="146" fillId="45" borderId="3" xfId="8723" applyFont="1" applyFill="1" applyBorder="1" applyAlignment="1">
      <alignment horizontal="center"/>
    </xf>
    <xf numFmtId="0" fontId="146" fillId="45" borderId="4" xfId="8723" applyFont="1" applyFill="1" applyBorder="1" applyAlignment="1">
      <alignment horizontal="center"/>
    </xf>
    <xf numFmtId="0" fontId="146" fillId="45" borderId="5" xfId="8723" applyFont="1" applyFill="1" applyBorder="1" applyAlignment="1">
      <alignment horizontal="center"/>
    </xf>
    <xf numFmtId="0" fontId="146" fillId="45" borderId="80" xfId="8723" applyFont="1" applyFill="1" applyBorder="1" applyAlignment="1">
      <alignment horizontal="center"/>
    </xf>
    <xf numFmtId="0" fontId="146" fillId="45" borderId="11" xfId="8723" applyFont="1" applyFill="1" applyBorder="1" applyAlignment="1">
      <alignment horizontal="right"/>
    </xf>
    <xf numFmtId="14" fontId="145" fillId="49" borderId="11" xfId="8723" applyNumberFormat="1" applyFont="1" applyFill="1" applyBorder="1" applyAlignment="1" applyProtection="1">
      <alignment horizontal="center" vertical="center"/>
      <protection locked="0"/>
    </xf>
    <xf numFmtId="0" fontId="145" fillId="49" borderId="11" xfId="8723" applyFont="1" applyFill="1" applyBorder="1" applyAlignment="1" applyProtection="1">
      <alignment horizontal="center" vertical="center"/>
      <protection locked="0"/>
    </xf>
    <xf numFmtId="0" fontId="98" fillId="45" borderId="68" xfId="8723" applyFont="1" applyFill="1" applyBorder="1" applyAlignment="1">
      <alignment horizontal="center"/>
    </xf>
    <xf numFmtId="0" fontId="98" fillId="45" borderId="69" xfId="8723" applyFont="1" applyFill="1" applyBorder="1" applyAlignment="1">
      <alignment horizontal="center"/>
    </xf>
    <xf numFmtId="0" fontId="98" fillId="45" borderId="70" xfId="8723" applyFont="1" applyFill="1" applyBorder="1" applyAlignment="1">
      <alignment horizontal="center"/>
    </xf>
    <xf numFmtId="0" fontId="145" fillId="49" borderId="68" xfId="8723" applyFont="1" applyFill="1" applyBorder="1" applyAlignment="1" applyProtection="1">
      <alignment horizontal="center"/>
      <protection locked="0"/>
    </xf>
    <xf numFmtId="0" fontId="145" fillId="49" borderId="69" xfId="8723" applyFont="1" applyFill="1" applyBorder="1" applyAlignment="1" applyProtection="1">
      <alignment horizontal="center"/>
      <protection locked="0"/>
    </xf>
    <xf numFmtId="0" fontId="145" fillId="49" borderId="70" xfId="8723" applyFont="1" applyFill="1" applyBorder="1" applyAlignment="1" applyProtection="1">
      <alignment horizontal="center"/>
      <protection locked="0"/>
    </xf>
    <xf numFmtId="0" fontId="98" fillId="45" borderId="68" xfId="8723" applyFont="1" applyFill="1" applyBorder="1" applyAlignment="1">
      <alignment horizontal="right"/>
    </xf>
    <xf numFmtId="0" fontId="98" fillId="45" borderId="69" xfId="8723" applyFont="1" applyFill="1" applyBorder="1" applyAlignment="1">
      <alignment horizontal="right"/>
    </xf>
    <xf numFmtId="0" fontId="98" fillId="45" borderId="101" xfId="8723" applyFont="1" applyFill="1" applyBorder="1" applyAlignment="1">
      <alignment horizontal="right"/>
    </xf>
    <xf numFmtId="0" fontId="1" fillId="44" borderId="98" xfId="8723" applyFill="1" applyBorder="1" applyAlignment="1">
      <alignment horizontal="center"/>
    </xf>
    <xf numFmtId="0" fontId="1" fillId="44" borderId="99" xfId="8723" applyFill="1" applyBorder="1" applyAlignment="1">
      <alignment horizontal="center"/>
    </xf>
    <xf numFmtId="168" fontId="162" fillId="44" borderId="11" xfId="8724" applyNumberFormat="1" applyFont="1" applyFill="1" applyBorder="1" applyAlignment="1" applyProtection="1">
      <alignment horizontal="left"/>
    </xf>
    <xf numFmtId="1" fontId="1" fillId="44" borderId="11" xfId="8723" applyNumberFormat="1" applyFill="1" applyBorder="1" applyAlignment="1">
      <alignment horizontal="center"/>
    </xf>
    <xf numFmtId="0" fontId="1" fillId="44" borderId="11" xfId="8723" applyFill="1" applyBorder="1" applyAlignment="1">
      <alignment horizontal="center"/>
    </xf>
    <xf numFmtId="0" fontId="143" fillId="45" borderId="11" xfId="8723" applyFont="1" applyFill="1" applyBorder="1" applyAlignment="1">
      <alignment horizontal="right" wrapText="1"/>
    </xf>
    <xf numFmtId="0" fontId="145" fillId="44" borderId="68" xfId="8723" applyFont="1" applyFill="1" applyBorder="1" applyAlignment="1">
      <alignment horizontal="left"/>
    </xf>
    <xf numFmtId="0" fontId="145" fillId="44" borderId="69" xfId="8723" applyFont="1" applyFill="1" applyBorder="1" applyAlignment="1">
      <alignment horizontal="left"/>
    </xf>
    <xf numFmtId="0" fontId="145" fillId="44" borderId="70" xfId="8723" applyFont="1" applyFill="1" applyBorder="1" applyAlignment="1">
      <alignment horizontal="left"/>
    </xf>
    <xf numFmtId="0" fontId="143" fillId="45" borderId="11" xfId="8723" applyFont="1" applyFill="1" applyBorder="1" applyAlignment="1">
      <alignment horizontal="right"/>
    </xf>
    <xf numFmtId="1" fontId="145" fillId="49" borderId="11" xfId="8723" applyNumberFormat="1" applyFont="1" applyFill="1" applyBorder="1" applyAlignment="1" applyProtection="1">
      <alignment horizontal="center"/>
      <protection locked="0"/>
    </xf>
    <xf numFmtId="0" fontId="1" fillId="44" borderId="68" xfId="8723" applyFill="1" applyBorder="1" applyAlignment="1">
      <alignment horizontal="center"/>
    </xf>
    <xf numFmtId="0" fontId="1" fillId="44" borderId="69" xfId="8723" applyFill="1" applyBorder="1" applyAlignment="1">
      <alignment horizontal="center"/>
    </xf>
    <xf numFmtId="0" fontId="1" fillId="44" borderId="70" xfId="8723" applyFill="1" applyBorder="1" applyAlignment="1">
      <alignment horizontal="center"/>
    </xf>
    <xf numFmtId="0" fontId="141" fillId="47" borderId="66" xfId="8723" applyFont="1" applyFill="1" applyBorder="1" applyAlignment="1">
      <alignment horizontal="center"/>
    </xf>
    <xf numFmtId="0" fontId="141" fillId="47" borderId="29" xfId="8723" applyFont="1" applyFill="1" applyBorder="1" applyAlignment="1">
      <alignment horizontal="center"/>
    </xf>
    <xf numFmtId="0" fontId="141" fillId="47" borderId="31" xfId="8723" applyFont="1" applyFill="1" applyBorder="1" applyAlignment="1">
      <alignment horizontal="center"/>
    </xf>
    <xf numFmtId="0" fontId="142" fillId="49" borderId="67" xfId="8723" applyFont="1" applyFill="1" applyBorder="1" applyAlignment="1">
      <alignment horizontal="center"/>
    </xf>
    <xf numFmtId="0" fontId="142" fillId="49" borderId="0" xfId="8723" applyFont="1" applyFill="1" applyAlignment="1">
      <alignment horizontal="center"/>
    </xf>
    <xf numFmtId="0" fontId="142" fillId="49" borderId="41" xfId="8723" applyFont="1" applyFill="1" applyBorder="1" applyAlignment="1">
      <alignment horizontal="center"/>
    </xf>
    <xf numFmtId="0" fontId="158" fillId="45" borderId="11" xfId="8723" applyFont="1" applyFill="1" applyBorder="1" applyAlignment="1">
      <alignment horizontal="right"/>
    </xf>
    <xf numFmtId="14" fontId="145" fillId="49" borderId="11" xfId="8723" applyNumberFormat="1" applyFont="1" applyFill="1" applyBorder="1" applyAlignment="1" applyProtection="1">
      <alignment horizontal="center"/>
      <protection locked="0"/>
    </xf>
    <xf numFmtId="0" fontId="145" fillId="49" borderId="11" xfId="8723" applyFont="1" applyFill="1" applyBorder="1" applyAlignment="1" applyProtection="1">
      <alignment horizontal="center"/>
      <protection locked="0"/>
    </xf>
    <xf numFmtId="168" fontId="12" fillId="0" borderId="11" xfId="569" applyNumberFormat="1" applyBorder="1"/>
    <xf numFmtId="168" fontId="12" fillId="0" borderId="3" xfId="569" applyNumberFormat="1" applyBorder="1"/>
    <xf numFmtId="168" fontId="12" fillId="0" borderId="4" xfId="569" applyNumberFormat="1" applyBorder="1"/>
    <xf numFmtId="168" fontId="12" fillId="0" borderId="5" xfId="569" applyNumberFormat="1" applyBorder="1"/>
    <xf numFmtId="168" fontId="12" fillId="0" borderId="11" xfId="569" applyNumberFormat="1" applyBorder="1" applyAlignment="1">
      <alignment wrapText="1"/>
    </xf>
    <xf numFmtId="168" fontId="12" fillId="0" borderId="11" xfId="569" applyNumberFormat="1" applyBorder="1" applyAlignment="1">
      <alignment horizontal="right"/>
    </xf>
    <xf numFmtId="9" fontId="12" fillId="0" borderId="15" xfId="569" applyNumberFormat="1" applyBorder="1" applyAlignment="1">
      <alignment horizontal="center"/>
    </xf>
    <xf numFmtId="168" fontId="12" fillId="0" borderId="11" xfId="569" applyNumberFormat="1" applyBorder="1" applyAlignment="1">
      <alignment horizontal="center"/>
    </xf>
    <xf numFmtId="0" fontId="12" fillId="0" borderId="11" xfId="569" applyBorder="1" applyAlignment="1">
      <alignment horizontal="center"/>
    </xf>
    <xf numFmtId="176" fontId="12" fillId="5" borderId="3" xfId="569" applyNumberFormat="1" applyFill="1" applyBorder="1" applyAlignment="1" applyProtection="1">
      <alignment horizontal="right"/>
      <protection locked="0"/>
    </xf>
    <xf numFmtId="176" fontId="12" fillId="5" borderId="4" xfId="569" applyNumberFormat="1" applyFill="1" applyBorder="1" applyAlignment="1" applyProtection="1">
      <alignment horizontal="right"/>
      <protection locked="0"/>
    </xf>
    <xf numFmtId="176" fontId="12" fillId="5" borderId="5" xfId="569" applyNumberFormat="1" applyFill="1" applyBorder="1" applyAlignment="1" applyProtection="1">
      <alignment horizontal="right"/>
      <protection locked="0"/>
    </xf>
    <xf numFmtId="0" fontId="103" fillId="0" borderId="0" xfId="0" applyFont="1" applyAlignment="1">
      <alignment horizontal="left" vertical="top" wrapText="1"/>
    </xf>
    <xf numFmtId="0" fontId="19" fillId="0" borderId="3" xfId="569" applyFont="1" applyBorder="1" applyAlignment="1">
      <alignment horizontal="right"/>
    </xf>
    <xf numFmtId="0" fontId="19" fillId="0" borderId="4" xfId="569" applyFont="1" applyBorder="1" applyAlignment="1">
      <alignment horizontal="right"/>
    </xf>
    <xf numFmtId="0" fontId="19" fillId="0" borderId="5" xfId="569" applyFont="1" applyBorder="1" applyAlignment="1">
      <alignment horizontal="right"/>
    </xf>
    <xf numFmtId="0" fontId="19" fillId="0" borderId="6" xfId="569" applyFont="1" applyBorder="1" applyAlignment="1">
      <alignment horizontal="center"/>
    </xf>
    <xf numFmtId="168" fontId="12" fillId="0" borderId="3" xfId="569" applyNumberFormat="1" applyBorder="1" applyAlignment="1">
      <alignment horizontal="center"/>
    </xf>
    <xf numFmtId="0" fontId="12" fillId="0" borderId="4" xfId="569" applyBorder="1" applyAlignment="1">
      <alignment horizontal="center"/>
    </xf>
    <xf numFmtId="0" fontId="12" fillId="0" borderId="5" xfId="569" applyBorder="1" applyAlignment="1">
      <alignment horizontal="center"/>
    </xf>
    <xf numFmtId="0" fontId="103" fillId="0" borderId="0" xfId="569" applyFont="1" applyAlignment="1">
      <alignment horizontal="left" wrapText="1"/>
    </xf>
    <xf numFmtId="168" fontId="12" fillId="0" borderId="3" xfId="569" applyNumberFormat="1" applyBorder="1" applyAlignment="1">
      <alignment horizontal="right"/>
    </xf>
    <xf numFmtId="168" fontId="12" fillId="0" borderId="4" xfId="569" applyNumberFormat="1" applyBorder="1" applyAlignment="1">
      <alignment horizontal="right"/>
    </xf>
    <xf numFmtId="168" fontId="12" fillId="0" borderId="5" xfId="569" applyNumberFormat="1" applyBorder="1" applyAlignment="1">
      <alignment horizontal="right"/>
    </xf>
    <xf numFmtId="168" fontId="12" fillId="0" borderId="3" xfId="569" applyNumberFormat="1" applyBorder="1" applyAlignment="1" applyProtection="1">
      <alignment horizontal="right"/>
      <protection locked="0"/>
    </xf>
    <xf numFmtId="168" fontId="12" fillId="0" borderId="4" xfId="569" applyNumberFormat="1" applyBorder="1" applyAlignment="1" applyProtection="1">
      <alignment horizontal="right"/>
      <protection locked="0"/>
    </xf>
    <xf numFmtId="168" fontId="12" fillId="0" borderId="5" xfId="569" applyNumberFormat="1" applyBorder="1" applyAlignment="1" applyProtection="1">
      <alignment horizontal="right"/>
      <protection locked="0"/>
    </xf>
    <xf numFmtId="0" fontId="19" fillId="0" borderId="16" xfId="271" applyFont="1" applyBorder="1" applyAlignment="1">
      <alignment horizontal="center"/>
    </xf>
    <xf numFmtId="168" fontId="12" fillId="0" borderId="4" xfId="569" applyNumberFormat="1" applyBorder="1" applyAlignment="1">
      <alignment horizontal="center"/>
    </xf>
    <xf numFmtId="168" fontId="12" fillId="0" borderId="5" xfId="569" applyNumberFormat="1" applyBorder="1" applyAlignment="1">
      <alignment horizontal="center"/>
    </xf>
    <xf numFmtId="0" fontId="19" fillId="0" borderId="11" xfId="569" applyFont="1" applyBorder="1" applyAlignment="1">
      <alignment horizontal="center" wrapText="1"/>
    </xf>
    <xf numFmtId="0" fontId="19" fillId="0" borderId="11" xfId="569" applyFont="1" applyBorder="1" applyAlignment="1">
      <alignment horizontal="center"/>
    </xf>
    <xf numFmtId="165" fontId="12" fillId="0" borderId="11" xfId="569" applyNumberFormat="1" applyBorder="1" applyAlignment="1" applyProtection="1">
      <alignment horizontal="center"/>
      <protection locked="0"/>
    </xf>
    <xf numFmtId="0" fontId="49" fillId="0" borderId="0" xfId="569" applyFont="1" applyAlignment="1">
      <alignment horizontal="left"/>
    </xf>
    <xf numFmtId="5" fontId="12" fillId="0" borderId="5" xfId="569" applyNumberFormat="1" applyBorder="1" applyAlignment="1">
      <alignment horizontal="center"/>
    </xf>
    <xf numFmtId="5" fontId="12" fillId="0" borderId="11" xfId="569" applyNumberFormat="1" applyBorder="1" applyAlignment="1">
      <alignment horizontal="center"/>
    </xf>
    <xf numFmtId="5" fontId="12" fillId="0" borderId="3" xfId="569" applyNumberFormat="1" applyBorder="1" applyAlignment="1">
      <alignment horizontal="center"/>
    </xf>
    <xf numFmtId="5" fontId="12" fillId="0" borderId="4" xfId="569" applyNumberFormat="1" applyBorder="1" applyAlignment="1">
      <alignment horizontal="center"/>
    </xf>
    <xf numFmtId="168" fontId="12" fillId="5" borderId="5" xfId="569" applyNumberFormat="1" applyFill="1" applyBorder="1" applyAlignment="1" applyProtection="1">
      <alignment horizontal="center"/>
      <protection locked="0"/>
    </xf>
    <xf numFmtId="168" fontId="12" fillId="5" borderId="11" xfId="569" applyNumberFormat="1" applyFill="1" applyBorder="1" applyAlignment="1" applyProtection="1">
      <alignment horizontal="center"/>
      <protection locked="0"/>
    </xf>
    <xf numFmtId="9" fontId="12" fillId="0" borderId="5" xfId="569" applyNumberFormat="1" applyBorder="1" applyAlignment="1">
      <alignment horizontal="center"/>
    </xf>
    <xf numFmtId="9" fontId="12" fillId="0" borderId="11" xfId="569" applyNumberFormat="1" applyBorder="1" applyAlignment="1">
      <alignment horizontal="center"/>
    </xf>
    <xf numFmtId="9" fontId="12" fillId="0" borderId="9" xfId="569" applyNumberFormat="1" applyBorder="1" applyAlignment="1">
      <alignment horizontal="center" vertical="center"/>
    </xf>
    <xf numFmtId="9" fontId="12" fillId="0" borderId="6" xfId="569" applyNumberFormat="1" applyBorder="1" applyAlignment="1">
      <alignment horizontal="center" vertical="center"/>
    </xf>
    <xf numFmtId="9" fontId="12" fillId="0" borderId="10" xfId="569" applyNumberFormat="1" applyBorder="1" applyAlignment="1">
      <alignment horizontal="center" vertical="center"/>
    </xf>
    <xf numFmtId="168" fontId="12" fillId="2" borderId="3" xfId="569" applyNumberFormat="1" applyFill="1" applyBorder="1" applyAlignment="1">
      <alignment horizontal="center"/>
    </xf>
    <xf numFmtId="168" fontId="12" fillId="2" borderId="4" xfId="569" applyNumberFormat="1" applyFill="1" applyBorder="1" applyAlignment="1">
      <alignment horizontal="center"/>
    </xf>
    <xf numFmtId="168" fontId="12" fillId="2" borderId="5" xfId="569" applyNumberFormat="1" applyFill="1" applyBorder="1" applyAlignment="1">
      <alignment horizontal="center"/>
    </xf>
    <xf numFmtId="168" fontId="12" fillId="5" borderId="10" xfId="569" applyNumberFormat="1" applyFill="1" applyBorder="1" applyAlignment="1" applyProtection="1">
      <alignment horizontal="center"/>
      <protection locked="0"/>
    </xf>
    <xf numFmtId="168" fontId="12" fillId="5" borderId="13" xfId="569" applyNumberFormat="1" applyFill="1" applyBorder="1" applyAlignment="1" applyProtection="1">
      <alignment horizontal="center"/>
      <protection locked="0"/>
    </xf>
    <xf numFmtId="0" fontId="18" fillId="3" borderId="2" xfId="569" applyFont="1" applyFill="1" applyBorder="1" applyAlignment="1">
      <alignment horizontal="center" vertical="center"/>
    </xf>
    <xf numFmtId="0" fontId="18" fillId="3" borderId="16" xfId="569" applyFont="1" applyFill="1" applyBorder="1" applyAlignment="1">
      <alignment horizontal="center" vertical="center"/>
    </xf>
    <xf numFmtId="168" fontId="12" fillId="0" borderId="7" xfId="569" applyNumberFormat="1" applyBorder="1" applyAlignment="1">
      <alignment horizontal="center"/>
    </xf>
    <xf numFmtId="168" fontId="12" fillId="0" borderId="15" xfId="569" applyNumberFormat="1" applyBorder="1" applyAlignment="1">
      <alignment horizontal="center"/>
    </xf>
    <xf numFmtId="0" fontId="19" fillId="0" borderId="3" xfId="569" applyFont="1" applyBorder="1" applyAlignment="1">
      <alignment horizontal="left"/>
    </xf>
    <xf numFmtId="0" fontId="19" fillId="0" borderId="5" xfId="569" applyFont="1" applyBorder="1" applyAlignment="1">
      <alignment horizontal="left"/>
    </xf>
    <xf numFmtId="0" fontId="20" fillId="0" borderId="4" xfId="569" applyFont="1" applyBorder="1" applyAlignment="1">
      <alignment horizontal="left"/>
    </xf>
    <xf numFmtId="0" fontId="20" fillId="0" borderId="5" xfId="569" applyFont="1" applyBorder="1" applyAlignment="1">
      <alignment horizontal="left"/>
    </xf>
    <xf numFmtId="179" fontId="19" fillId="0" borderId="0" xfId="569" applyNumberFormat="1" applyFont="1" applyAlignment="1">
      <alignment horizontal="center" wrapText="1"/>
    </xf>
    <xf numFmtId="164" fontId="19" fillId="0" borderId="0" xfId="569" applyNumberFormat="1" applyFont="1" applyAlignment="1">
      <alignment horizontal="center" wrapText="1"/>
    </xf>
    <xf numFmtId="0" fontId="12" fillId="0" borderId="3" xfId="569" applyBorder="1" applyAlignment="1">
      <alignment horizontal="right"/>
    </xf>
    <xf numFmtId="0" fontId="12" fillId="0" borderId="4" xfId="569" applyBorder="1" applyAlignment="1">
      <alignment horizontal="right"/>
    </xf>
    <xf numFmtId="0" fontId="12" fillId="0" borderId="5" xfId="569" applyBorder="1" applyAlignment="1">
      <alignment horizontal="right"/>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17" fillId="0" borderId="6" xfId="271" applyFont="1" applyBorder="1" applyAlignment="1">
      <alignment horizontal="center"/>
    </xf>
    <xf numFmtId="3" fontId="12" fillId="0" borderId="0" xfId="0" applyNumberFormat="1" applyFont="1" applyAlignment="1">
      <alignment horizontal="left" vertical="top" wrapText="1"/>
    </xf>
    <xf numFmtId="3" fontId="21" fillId="0" borderId="0" xfId="0" applyNumberFormat="1" applyFont="1" applyAlignment="1">
      <alignment horizontal="left" vertical="top" wrapText="1"/>
    </xf>
    <xf numFmtId="0" fontId="12" fillId="43" borderId="0" xfId="0" applyFont="1" applyFill="1" applyAlignment="1">
      <alignment horizontal="left"/>
    </xf>
  </cellXfs>
  <cellStyles count="8726">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209">
    <dxf>
      <fill>
        <patternFill>
          <bgColor rgb="FFFF0000"/>
        </patternFill>
      </fill>
    </dxf>
    <dxf>
      <fill>
        <patternFill>
          <bgColor rgb="FFFF0000"/>
        </patternFill>
      </fill>
    </dxf>
    <dxf>
      <fill>
        <patternFill>
          <bgColor rgb="FFFF0000"/>
        </patternFill>
      </fill>
    </dxf>
    <dxf>
      <font>
        <condense val="0"/>
        <extend val="0"/>
        <color indexed="10"/>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24994659260841701"/>
      </font>
    </dxf>
    <dxf>
      <font>
        <color theme="0" tint="-0.3499862666707357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strike val="0"/>
        <color auto="1"/>
      </font>
      <fill>
        <patternFill patternType="solid">
          <bgColor rgb="FFFFFF99"/>
        </patternFill>
      </fill>
      <border>
        <left/>
        <right/>
        <top/>
        <bottom style="thin">
          <color auto="1"/>
        </bottom>
      </border>
    </dxf>
    <dxf>
      <font>
        <strike val="0"/>
        <color auto="1"/>
      </font>
    </dxf>
    <dxf>
      <font>
        <strike val="0"/>
        <color theme="0" tint="-0.24994659260841701"/>
      </font>
      <fill>
        <patternFill patternType="none">
          <bgColor auto="1"/>
        </patternFill>
      </fill>
      <border>
        <left/>
        <right/>
        <top/>
        <bottom/>
      </border>
    </dxf>
    <dxf>
      <font>
        <strike val="0"/>
        <color theme="0" tint="-0.24994659260841701"/>
      </font>
    </dxf>
    <dxf>
      <font>
        <strike val="0"/>
        <color theme="0" tint="-0.24994659260841701"/>
      </font>
      <fill>
        <patternFill patternType="none">
          <bgColor auto="1"/>
        </patternFill>
      </fill>
      <border>
        <left/>
        <right/>
        <top/>
        <bottom/>
        <vertical/>
        <horizontal/>
      </border>
    </dxf>
    <dxf>
      <font>
        <strike val="0"/>
        <color theme="0" tint="-0.24994659260841701"/>
      </font>
      <fill>
        <patternFill patternType="none">
          <bgColor auto="1"/>
        </patternFill>
      </fill>
      <border>
        <vertical/>
        <horizontal/>
      </border>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70657</xdr:colOff>
      <xdr:row>0</xdr:row>
      <xdr:rowOff>52649</xdr:rowOff>
    </xdr:from>
    <xdr:to>
      <xdr:col>22</xdr:col>
      <xdr:colOff>3175</xdr:colOff>
      <xdr:row>6</xdr:row>
      <xdr:rowOff>128684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2407" y="52649"/>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tlan1\userdata\2019\2019%20Application%20Files%20-%20Excel%20and%20Attachments\2018%204%25%20Application%20-unlocked%20for%20edi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gullikson\AppData\Local\Microsoft\Windows\INetCache\Content.Outlook\DC4XADPY\TCAC.CDLAC_attachment-40%201-27-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tlan1\userdata\D\2009\2009%20Application%20Files\2009%204%25%20+%20State%20Application\2008%209%25%20-%20Basis%20Matrix%20-%20Feas%20-%20100%25%20Rents%20-%20(goes%20with%20applicat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09\2009%20Application%20Files\2009%204%25%20+%20State%20Application\2008%209%25%20-%20Basis%20Matrix%20-%20Feas%20-%20100%25%20Rents%20-%20(goes%20with%20applic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App Completion "/>
      <sheetName val="Instructions-Electronic Submit"/>
      <sheetName val="Checklist Items "/>
      <sheetName val="Application"/>
      <sheetName val="Sources and Uses Budget"/>
      <sheetName val="Sources and Basis Breakdown"/>
      <sheetName val="Basis and Credits"/>
      <sheetName val="Basis &amp; Credits Bifurcated DDA"/>
      <sheetName val="FARMWORKER Basis and Credits"/>
      <sheetName val="FARMWORKER Bifurcated DDA"/>
      <sheetName val="15 Year Pro Forma"/>
      <sheetName val="Subsidy Contract Calculation"/>
      <sheetName val="Post-award Instructions"/>
      <sheetName val="Post-award Project Cost Changes"/>
    </sheetNames>
    <sheetDataSet>
      <sheetData sheetId="0" refreshError="1"/>
      <sheetData sheetId="1" refreshError="1"/>
      <sheetData sheetId="2" refreshError="1"/>
      <sheetData sheetId="3">
        <row r="648">
          <cell r="BC648" t="str">
            <v>County</v>
          </cell>
          <cell r="BD648" t="str">
            <v>SRO/Studio</v>
          </cell>
          <cell r="BE648" t="str">
            <v>1 Bedroom</v>
          </cell>
          <cell r="BF648" t="str">
            <v>2 Bedrooms</v>
          </cell>
          <cell r="BG648" t="str">
            <v>3 Bedrooms</v>
          </cell>
          <cell r="BH648" t="str">
            <v>4 Bedrooms</v>
          </cell>
          <cell r="BI648" t="str">
            <v>5 Bedrooms</v>
          </cell>
        </row>
        <row r="649">
          <cell r="BC649" t="str">
            <v>Alameda</v>
          </cell>
          <cell r="BD649">
            <v>2034</v>
          </cell>
          <cell r="BE649">
            <v>2180</v>
          </cell>
          <cell r="BF649">
            <v>2614</v>
          </cell>
          <cell r="BG649">
            <v>3020</v>
          </cell>
          <cell r="BH649">
            <v>3370</v>
          </cell>
          <cell r="BI649">
            <v>3718</v>
          </cell>
        </row>
        <row r="650">
          <cell r="BC650" t="str">
            <v>Alpine</v>
          </cell>
          <cell r="BD650">
            <v>1362</v>
          </cell>
          <cell r="BE650">
            <v>1460</v>
          </cell>
          <cell r="BF650">
            <v>1752</v>
          </cell>
          <cell r="BG650">
            <v>2022</v>
          </cell>
          <cell r="BH650">
            <v>2256</v>
          </cell>
          <cell r="BI650">
            <v>2490</v>
          </cell>
        </row>
        <row r="651">
          <cell r="BC651" t="str">
            <v>Amador</v>
          </cell>
          <cell r="BD651">
            <v>1290</v>
          </cell>
          <cell r="BE651">
            <v>1380</v>
          </cell>
          <cell r="BF651">
            <v>1656</v>
          </cell>
          <cell r="BG651">
            <v>1912</v>
          </cell>
          <cell r="BH651">
            <v>2134</v>
          </cell>
          <cell r="BI651">
            <v>2356</v>
          </cell>
        </row>
        <row r="652">
          <cell r="BC652" t="str">
            <v>Butte</v>
          </cell>
          <cell r="BD652">
            <v>1060</v>
          </cell>
          <cell r="BE652">
            <v>1134</v>
          </cell>
          <cell r="BF652">
            <v>1362</v>
          </cell>
          <cell r="BG652">
            <v>1572</v>
          </cell>
          <cell r="BH652">
            <v>1754</v>
          </cell>
          <cell r="BI652">
            <v>1936</v>
          </cell>
        </row>
        <row r="653">
          <cell r="BC653" t="str">
            <v>Calaveras</v>
          </cell>
          <cell r="BD653">
            <v>1266</v>
          </cell>
          <cell r="BE653">
            <v>1356</v>
          </cell>
          <cell r="BF653">
            <v>1626</v>
          </cell>
          <cell r="BG653">
            <v>1880</v>
          </cell>
          <cell r="BH653">
            <v>2096</v>
          </cell>
          <cell r="BI653">
            <v>2314</v>
          </cell>
        </row>
        <row r="654">
          <cell r="BC654" t="str">
            <v>Colusa</v>
          </cell>
          <cell r="BD654">
            <v>1044</v>
          </cell>
          <cell r="BE654">
            <v>1120</v>
          </cell>
          <cell r="BF654">
            <v>1344</v>
          </cell>
          <cell r="BG654">
            <v>1552</v>
          </cell>
          <cell r="BH654">
            <v>1732</v>
          </cell>
          <cell r="BI654">
            <v>1912</v>
          </cell>
        </row>
        <row r="655">
          <cell r="BC655" t="str">
            <v>Contra Costa</v>
          </cell>
          <cell r="BD655">
            <v>2034</v>
          </cell>
          <cell r="BE655">
            <v>2180</v>
          </cell>
          <cell r="BF655">
            <v>2614</v>
          </cell>
          <cell r="BG655">
            <v>3020</v>
          </cell>
          <cell r="BH655">
            <v>3370</v>
          </cell>
          <cell r="BI655">
            <v>3718</v>
          </cell>
        </row>
        <row r="656">
          <cell r="BC656" t="str">
            <v>Del Norte</v>
          </cell>
          <cell r="BD656">
            <v>1044</v>
          </cell>
          <cell r="BE656">
            <v>1120</v>
          </cell>
          <cell r="BF656">
            <v>1344</v>
          </cell>
          <cell r="BG656">
            <v>1552</v>
          </cell>
          <cell r="BH656">
            <v>1732</v>
          </cell>
          <cell r="BI656">
            <v>1912</v>
          </cell>
        </row>
        <row r="657">
          <cell r="BC657" t="str">
            <v>El Dorado</v>
          </cell>
          <cell r="BD657">
            <v>1402</v>
          </cell>
          <cell r="BE657">
            <v>1502</v>
          </cell>
          <cell r="BF657">
            <v>1802</v>
          </cell>
          <cell r="BG657">
            <v>2082</v>
          </cell>
          <cell r="BH657">
            <v>2324</v>
          </cell>
          <cell r="BI657">
            <v>2564</v>
          </cell>
        </row>
        <row r="658">
          <cell r="BC658" t="str">
            <v>Fresno</v>
          </cell>
          <cell r="BD658">
            <v>1044</v>
          </cell>
          <cell r="BE658">
            <v>1120</v>
          </cell>
          <cell r="BF658">
            <v>1344</v>
          </cell>
          <cell r="BG658">
            <v>1552</v>
          </cell>
          <cell r="BH658">
            <v>1732</v>
          </cell>
          <cell r="BI658">
            <v>1912</v>
          </cell>
        </row>
        <row r="659">
          <cell r="BC659" t="str">
            <v>Glenn</v>
          </cell>
          <cell r="BD659">
            <v>1044</v>
          </cell>
          <cell r="BE659">
            <v>1120</v>
          </cell>
          <cell r="BF659">
            <v>1344</v>
          </cell>
          <cell r="BG659">
            <v>1552</v>
          </cell>
          <cell r="BH659">
            <v>1732</v>
          </cell>
          <cell r="BI659">
            <v>1912</v>
          </cell>
        </row>
        <row r="660">
          <cell r="BC660" t="str">
            <v>Humboldt</v>
          </cell>
          <cell r="BD660">
            <v>1044</v>
          </cell>
          <cell r="BE660">
            <v>1120</v>
          </cell>
          <cell r="BF660">
            <v>1344</v>
          </cell>
          <cell r="BG660">
            <v>1552</v>
          </cell>
          <cell r="BH660">
            <v>1732</v>
          </cell>
          <cell r="BI660">
            <v>1912</v>
          </cell>
        </row>
        <row r="661">
          <cell r="BC661" t="str">
            <v>Imperial</v>
          </cell>
          <cell r="BD661">
            <v>1044</v>
          </cell>
          <cell r="BE661">
            <v>1120</v>
          </cell>
          <cell r="BF661">
            <v>1344</v>
          </cell>
          <cell r="BG661">
            <v>1552</v>
          </cell>
          <cell r="BH661">
            <v>1732</v>
          </cell>
          <cell r="BI661">
            <v>1912</v>
          </cell>
        </row>
        <row r="662">
          <cell r="BC662" t="str">
            <v>Inyo</v>
          </cell>
          <cell r="BD662">
            <v>1244</v>
          </cell>
          <cell r="BE662">
            <v>1332</v>
          </cell>
          <cell r="BF662">
            <v>1600</v>
          </cell>
          <cell r="BG662">
            <v>1848</v>
          </cell>
          <cell r="BH662">
            <v>2062</v>
          </cell>
          <cell r="BI662">
            <v>2276</v>
          </cell>
        </row>
        <row r="663">
          <cell r="BC663" t="str">
            <v>Kern</v>
          </cell>
          <cell r="BD663">
            <v>1044</v>
          </cell>
          <cell r="BE663">
            <v>1120</v>
          </cell>
          <cell r="BF663">
            <v>1344</v>
          </cell>
          <cell r="BG663">
            <v>1552</v>
          </cell>
          <cell r="BH663">
            <v>1732</v>
          </cell>
          <cell r="BI663">
            <v>1912</v>
          </cell>
        </row>
        <row r="664">
          <cell r="BC664" t="str">
            <v>Kings</v>
          </cell>
          <cell r="BD664">
            <v>1044</v>
          </cell>
          <cell r="BE664">
            <v>1120</v>
          </cell>
          <cell r="BF664">
            <v>1344</v>
          </cell>
          <cell r="BG664">
            <v>1552</v>
          </cell>
          <cell r="BH664">
            <v>1732</v>
          </cell>
          <cell r="BI664">
            <v>1912</v>
          </cell>
        </row>
        <row r="665">
          <cell r="BC665" t="str">
            <v>Lake</v>
          </cell>
          <cell r="BD665">
            <v>1044</v>
          </cell>
          <cell r="BE665">
            <v>1120</v>
          </cell>
          <cell r="BF665">
            <v>1344</v>
          </cell>
          <cell r="BG665">
            <v>1552</v>
          </cell>
          <cell r="BH665">
            <v>1732</v>
          </cell>
          <cell r="BI665">
            <v>1912</v>
          </cell>
        </row>
        <row r="666">
          <cell r="BC666" t="str">
            <v>Lassen</v>
          </cell>
          <cell r="BD666">
            <v>1190</v>
          </cell>
          <cell r="BE666">
            <v>1274</v>
          </cell>
          <cell r="BF666">
            <v>1530</v>
          </cell>
          <cell r="BG666">
            <v>1768</v>
          </cell>
          <cell r="BH666">
            <v>1972</v>
          </cell>
          <cell r="BI666">
            <v>2176</v>
          </cell>
        </row>
        <row r="667">
          <cell r="BC667" t="str">
            <v>Los Angeles</v>
          </cell>
          <cell r="BD667">
            <v>1696</v>
          </cell>
          <cell r="BE667">
            <v>1818</v>
          </cell>
          <cell r="BF667">
            <v>2182</v>
          </cell>
          <cell r="BG667">
            <v>2520</v>
          </cell>
          <cell r="BH667">
            <v>2812</v>
          </cell>
          <cell r="BI667">
            <v>3102</v>
          </cell>
        </row>
        <row r="668">
          <cell r="BC668" t="str">
            <v>Madera</v>
          </cell>
          <cell r="BD668">
            <v>1044</v>
          </cell>
          <cell r="BE668">
            <v>1120</v>
          </cell>
          <cell r="BF668">
            <v>1344</v>
          </cell>
          <cell r="BG668">
            <v>1552</v>
          </cell>
          <cell r="BH668">
            <v>1732</v>
          </cell>
          <cell r="BI668">
            <v>1912</v>
          </cell>
        </row>
        <row r="669">
          <cell r="BC669" t="str">
            <v>Marin</v>
          </cell>
          <cell r="BD669">
            <v>2566</v>
          </cell>
          <cell r="BE669">
            <v>2750</v>
          </cell>
          <cell r="BF669">
            <v>3300</v>
          </cell>
          <cell r="BG669">
            <v>3812</v>
          </cell>
          <cell r="BH669">
            <v>4252</v>
          </cell>
          <cell r="BI669">
            <v>4692</v>
          </cell>
        </row>
        <row r="670">
          <cell r="BC670" t="str">
            <v>Mariposa</v>
          </cell>
          <cell r="BD670">
            <v>1124</v>
          </cell>
          <cell r="BE670">
            <v>1204</v>
          </cell>
          <cell r="BF670">
            <v>1444</v>
          </cell>
          <cell r="BG670">
            <v>1670</v>
          </cell>
          <cell r="BH670">
            <v>1862</v>
          </cell>
          <cell r="BI670">
            <v>2056</v>
          </cell>
        </row>
        <row r="671">
          <cell r="BC671" t="str">
            <v>Mendocino</v>
          </cell>
          <cell r="BD671">
            <v>1062</v>
          </cell>
          <cell r="BE671">
            <v>1136</v>
          </cell>
          <cell r="BF671">
            <v>1364</v>
          </cell>
          <cell r="BG671">
            <v>1576</v>
          </cell>
          <cell r="BH671">
            <v>1756</v>
          </cell>
          <cell r="BI671">
            <v>1940</v>
          </cell>
        </row>
        <row r="672">
          <cell r="BC672" t="str">
            <v>Merced</v>
          </cell>
          <cell r="BD672">
            <v>1044</v>
          </cell>
          <cell r="BE672">
            <v>1120</v>
          </cell>
          <cell r="BF672">
            <v>1344</v>
          </cell>
          <cell r="BG672">
            <v>1552</v>
          </cell>
          <cell r="BH672">
            <v>1732</v>
          </cell>
          <cell r="BI672">
            <v>1912</v>
          </cell>
        </row>
        <row r="673">
          <cell r="BC673" t="str">
            <v>Modoc</v>
          </cell>
          <cell r="BD673">
            <v>1044</v>
          </cell>
          <cell r="BE673">
            <v>1120</v>
          </cell>
          <cell r="BF673">
            <v>1344</v>
          </cell>
          <cell r="BG673">
            <v>1552</v>
          </cell>
          <cell r="BH673">
            <v>1732</v>
          </cell>
          <cell r="BI673">
            <v>1912</v>
          </cell>
        </row>
        <row r="674">
          <cell r="BC674" t="str">
            <v>Mono</v>
          </cell>
          <cell r="BD674">
            <v>1356</v>
          </cell>
          <cell r="BE674">
            <v>1452</v>
          </cell>
          <cell r="BF674">
            <v>1744</v>
          </cell>
          <cell r="BG674">
            <v>2014</v>
          </cell>
          <cell r="BH674">
            <v>2246</v>
          </cell>
          <cell r="BI674">
            <v>2480</v>
          </cell>
        </row>
        <row r="675">
          <cell r="BC675" t="str">
            <v>Monterey</v>
          </cell>
          <cell r="BD675">
            <v>1462</v>
          </cell>
          <cell r="BE675">
            <v>1566</v>
          </cell>
          <cell r="BF675">
            <v>1880</v>
          </cell>
          <cell r="BG675">
            <v>2170</v>
          </cell>
          <cell r="BH675">
            <v>2422</v>
          </cell>
          <cell r="BI675">
            <v>2672</v>
          </cell>
        </row>
        <row r="676">
          <cell r="BC676" t="str">
            <v>Napa</v>
          </cell>
          <cell r="BD676">
            <v>1606</v>
          </cell>
          <cell r="BE676">
            <v>1722</v>
          </cell>
          <cell r="BF676">
            <v>2066</v>
          </cell>
          <cell r="BG676">
            <v>2386</v>
          </cell>
          <cell r="BH676">
            <v>2662</v>
          </cell>
          <cell r="BI676">
            <v>2938</v>
          </cell>
        </row>
        <row r="677">
          <cell r="BC677" t="str">
            <v>Nevada</v>
          </cell>
          <cell r="BD677">
            <v>1270</v>
          </cell>
          <cell r="BE677">
            <v>1360</v>
          </cell>
          <cell r="BF677">
            <v>1632</v>
          </cell>
          <cell r="BG677">
            <v>1884</v>
          </cell>
          <cell r="BH677">
            <v>2102</v>
          </cell>
          <cell r="BI677">
            <v>2320</v>
          </cell>
        </row>
        <row r="678">
          <cell r="BC678" t="str">
            <v>Orange</v>
          </cell>
          <cell r="BD678">
            <v>1914</v>
          </cell>
          <cell r="BE678">
            <v>2050</v>
          </cell>
          <cell r="BF678">
            <v>2460</v>
          </cell>
          <cell r="BG678">
            <v>2842</v>
          </cell>
          <cell r="BH678">
            <v>3170</v>
          </cell>
          <cell r="BI678">
            <v>3498</v>
          </cell>
        </row>
        <row r="679">
          <cell r="BC679" t="str">
            <v>Placer</v>
          </cell>
          <cell r="BD679">
            <v>1402</v>
          </cell>
          <cell r="BE679">
            <v>1502</v>
          </cell>
          <cell r="BF679">
            <v>1802</v>
          </cell>
          <cell r="BG679">
            <v>2082</v>
          </cell>
          <cell r="BH679">
            <v>2324</v>
          </cell>
          <cell r="BI679">
            <v>2564</v>
          </cell>
        </row>
        <row r="680">
          <cell r="BC680" t="str">
            <v>Plumas</v>
          </cell>
          <cell r="BD680">
            <v>1110</v>
          </cell>
          <cell r="BE680">
            <v>1188</v>
          </cell>
          <cell r="BF680">
            <v>1424</v>
          </cell>
          <cell r="BG680">
            <v>1646</v>
          </cell>
          <cell r="BH680">
            <v>1836</v>
          </cell>
          <cell r="BI680">
            <v>2026</v>
          </cell>
        </row>
        <row r="681">
          <cell r="BC681" t="str">
            <v>Riverside</v>
          </cell>
          <cell r="BD681">
            <v>1180</v>
          </cell>
          <cell r="BE681">
            <v>1264</v>
          </cell>
          <cell r="BF681">
            <v>1516</v>
          </cell>
          <cell r="BG681">
            <v>1752</v>
          </cell>
          <cell r="BH681">
            <v>1954</v>
          </cell>
          <cell r="BI681">
            <v>2156</v>
          </cell>
        </row>
        <row r="682">
          <cell r="BC682" t="str">
            <v>Sacramento</v>
          </cell>
          <cell r="BD682">
            <v>1402</v>
          </cell>
          <cell r="BE682">
            <v>1502</v>
          </cell>
          <cell r="BF682">
            <v>1802</v>
          </cell>
          <cell r="BG682">
            <v>2082</v>
          </cell>
          <cell r="BH682">
            <v>2324</v>
          </cell>
          <cell r="BI682">
            <v>2564</v>
          </cell>
        </row>
        <row r="683">
          <cell r="BC683" t="str">
            <v>San Benito</v>
          </cell>
          <cell r="BD683">
            <v>1630</v>
          </cell>
          <cell r="BE683">
            <v>1746</v>
          </cell>
          <cell r="BF683">
            <v>2094</v>
          </cell>
          <cell r="BG683">
            <v>2420</v>
          </cell>
          <cell r="BH683">
            <v>2700</v>
          </cell>
          <cell r="BI683">
            <v>2980</v>
          </cell>
        </row>
        <row r="684">
          <cell r="BC684" t="str">
            <v>San Bernardino</v>
          </cell>
          <cell r="BD684">
            <v>1180</v>
          </cell>
          <cell r="BE684">
            <v>1264</v>
          </cell>
          <cell r="BF684">
            <v>1516</v>
          </cell>
          <cell r="BG684">
            <v>1752</v>
          </cell>
          <cell r="BH684">
            <v>1954</v>
          </cell>
          <cell r="BI684">
            <v>2156</v>
          </cell>
        </row>
        <row r="685">
          <cell r="BC685" t="str">
            <v>San Diego</v>
          </cell>
          <cell r="BD685">
            <v>1704</v>
          </cell>
          <cell r="BE685">
            <v>1826</v>
          </cell>
          <cell r="BF685">
            <v>2190</v>
          </cell>
          <cell r="BG685">
            <v>2530</v>
          </cell>
          <cell r="BH685">
            <v>2822</v>
          </cell>
          <cell r="BI685">
            <v>3114</v>
          </cell>
        </row>
        <row r="686">
          <cell r="BC686" t="str">
            <v>San Francisco</v>
          </cell>
          <cell r="BD686">
            <v>2566</v>
          </cell>
          <cell r="BE686">
            <v>2750</v>
          </cell>
          <cell r="BF686">
            <v>3300</v>
          </cell>
          <cell r="BG686">
            <v>3812</v>
          </cell>
          <cell r="BH686">
            <v>4252</v>
          </cell>
          <cell r="BI686">
            <v>4692</v>
          </cell>
        </row>
        <row r="687">
          <cell r="BC687" t="str">
            <v>San Joaquin</v>
          </cell>
          <cell r="BD687">
            <v>1114</v>
          </cell>
          <cell r="BE687">
            <v>1194</v>
          </cell>
          <cell r="BF687">
            <v>1434</v>
          </cell>
          <cell r="BG687">
            <v>1656</v>
          </cell>
          <cell r="BH687">
            <v>1846</v>
          </cell>
          <cell r="BI687">
            <v>2038</v>
          </cell>
        </row>
        <row r="688">
          <cell r="BC688" t="str">
            <v>San Luis Obispo</v>
          </cell>
          <cell r="BD688">
            <v>1456</v>
          </cell>
          <cell r="BE688">
            <v>1560</v>
          </cell>
          <cell r="BF688">
            <v>1872</v>
          </cell>
          <cell r="BG688">
            <v>2162</v>
          </cell>
          <cell r="BH688">
            <v>2414</v>
          </cell>
          <cell r="BI688">
            <v>2662</v>
          </cell>
        </row>
        <row r="689">
          <cell r="BC689" t="str">
            <v>San Mateo</v>
          </cell>
          <cell r="BD689">
            <v>2566</v>
          </cell>
          <cell r="BE689">
            <v>2750</v>
          </cell>
          <cell r="BF689">
            <v>3300</v>
          </cell>
          <cell r="BG689">
            <v>3812</v>
          </cell>
          <cell r="BH689">
            <v>4252</v>
          </cell>
          <cell r="BI689">
            <v>4692</v>
          </cell>
        </row>
        <row r="690">
          <cell r="BC690" t="str">
            <v>Santa Barbara</v>
          </cell>
          <cell r="BD690">
            <v>1756</v>
          </cell>
          <cell r="BE690">
            <v>1882</v>
          </cell>
          <cell r="BF690">
            <v>2256</v>
          </cell>
          <cell r="BG690">
            <v>2608</v>
          </cell>
          <cell r="BH690">
            <v>2910</v>
          </cell>
          <cell r="BI690">
            <v>3210</v>
          </cell>
        </row>
        <row r="691">
          <cell r="BC691" t="str">
            <v>Santa Clara</v>
          </cell>
          <cell r="BD691">
            <v>2326</v>
          </cell>
          <cell r="BE691">
            <v>2492</v>
          </cell>
          <cell r="BF691">
            <v>2992</v>
          </cell>
          <cell r="BG691">
            <v>3458</v>
          </cell>
          <cell r="BH691">
            <v>3856</v>
          </cell>
          <cell r="BI691">
            <v>4256</v>
          </cell>
        </row>
        <row r="692">
          <cell r="BC692" t="str">
            <v>Santa Cruz</v>
          </cell>
          <cell r="BD692">
            <v>1954</v>
          </cell>
          <cell r="BE692">
            <v>2092</v>
          </cell>
          <cell r="BF692">
            <v>2512</v>
          </cell>
          <cell r="BG692">
            <v>2902</v>
          </cell>
          <cell r="BH692">
            <v>3236</v>
          </cell>
          <cell r="BI692">
            <v>3572</v>
          </cell>
        </row>
        <row r="693">
          <cell r="BC693" t="str">
            <v>Shasta</v>
          </cell>
          <cell r="BD693">
            <v>1074</v>
          </cell>
          <cell r="BE693">
            <v>1152</v>
          </cell>
          <cell r="BF693">
            <v>1382</v>
          </cell>
          <cell r="BG693">
            <v>1596</v>
          </cell>
          <cell r="BH693">
            <v>1782</v>
          </cell>
          <cell r="BI693">
            <v>1966</v>
          </cell>
        </row>
        <row r="694">
          <cell r="BC694" t="str">
            <v>Sierra</v>
          </cell>
          <cell r="BD694">
            <v>1214</v>
          </cell>
          <cell r="BE694">
            <v>1302</v>
          </cell>
          <cell r="BF694">
            <v>1562</v>
          </cell>
          <cell r="BG694">
            <v>1804</v>
          </cell>
          <cell r="BH694">
            <v>2014</v>
          </cell>
          <cell r="BI694">
            <v>2222</v>
          </cell>
        </row>
        <row r="695">
          <cell r="BC695" t="str">
            <v>Siskiyou</v>
          </cell>
          <cell r="BD695">
            <v>1044</v>
          </cell>
          <cell r="BE695">
            <v>1120</v>
          </cell>
          <cell r="BF695">
            <v>1344</v>
          </cell>
          <cell r="BG695">
            <v>1552</v>
          </cell>
          <cell r="BH695">
            <v>1732</v>
          </cell>
          <cell r="BI695">
            <v>1912</v>
          </cell>
        </row>
        <row r="696">
          <cell r="BC696" t="str">
            <v>Solano</v>
          </cell>
          <cell r="BD696">
            <v>1464</v>
          </cell>
          <cell r="BE696">
            <v>1570</v>
          </cell>
          <cell r="BF696">
            <v>1884</v>
          </cell>
          <cell r="BG696">
            <v>2176</v>
          </cell>
          <cell r="BH696">
            <v>2426</v>
          </cell>
          <cell r="BI696">
            <v>2678</v>
          </cell>
        </row>
        <row r="697">
          <cell r="BC697" t="str">
            <v>Sonoma</v>
          </cell>
          <cell r="BD697">
            <v>1720</v>
          </cell>
          <cell r="BE697">
            <v>1842</v>
          </cell>
          <cell r="BF697">
            <v>2210</v>
          </cell>
          <cell r="BG697">
            <v>2552</v>
          </cell>
          <cell r="BH697">
            <v>2850</v>
          </cell>
          <cell r="BI697">
            <v>3142</v>
          </cell>
        </row>
        <row r="698">
          <cell r="BC698" t="str">
            <v>Stanislaus</v>
          </cell>
          <cell r="BD698">
            <v>1062</v>
          </cell>
          <cell r="BE698">
            <v>1138</v>
          </cell>
          <cell r="BF698">
            <v>1366</v>
          </cell>
          <cell r="BG698">
            <v>1578</v>
          </cell>
          <cell r="BH698">
            <v>1762</v>
          </cell>
          <cell r="BI698">
            <v>1942</v>
          </cell>
        </row>
        <row r="699">
          <cell r="BC699" t="str">
            <v>Sutter</v>
          </cell>
          <cell r="BD699">
            <v>1050</v>
          </cell>
          <cell r="BE699">
            <v>1124</v>
          </cell>
          <cell r="BF699">
            <v>1350</v>
          </cell>
          <cell r="BG699">
            <v>1560</v>
          </cell>
          <cell r="BH699">
            <v>1740</v>
          </cell>
          <cell r="BI699">
            <v>1920</v>
          </cell>
        </row>
        <row r="700">
          <cell r="BC700" t="str">
            <v>Tehama</v>
          </cell>
          <cell r="BD700">
            <v>1044</v>
          </cell>
          <cell r="BE700">
            <v>1120</v>
          </cell>
          <cell r="BF700">
            <v>1344</v>
          </cell>
          <cell r="BG700">
            <v>1552</v>
          </cell>
          <cell r="BH700">
            <v>1732</v>
          </cell>
          <cell r="BI700">
            <v>1912</v>
          </cell>
        </row>
        <row r="701">
          <cell r="BC701" t="str">
            <v>Trinity</v>
          </cell>
          <cell r="BD701">
            <v>1044</v>
          </cell>
          <cell r="BE701">
            <v>1120</v>
          </cell>
          <cell r="BF701">
            <v>1344</v>
          </cell>
          <cell r="BG701">
            <v>1552</v>
          </cell>
          <cell r="BH701">
            <v>1732</v>
          </cell>
          <cell r="BI701">
            <v>1912</v>
          </cell>
        </row>
        <row r="702">
          <cell r="BC702" t="str">
            <v>Tulare</v>
          </cell>
          <cell r="BD702">
            <v>1044</v>
          </cell>
          <cell r="BE702">
            <v>1120</v>
          </cell>
          <cell r="BF702">
            <v>1344</v>
          </cell>
          <cell r="BG702">
            <v>1552</v>
          </cell>
          <cell r="BH702">
            <v>1732</v>
          </cell>
          <cell r="BI702">
            <v>1912</v>
          </cell>
        </row>
        <row r="703">
          <cell r="BC703" t="str">
            <v>Tuolumne</v>
          </cell>
          <cell r="BD703">
            <v>1106</v>
          </cell>
          <cell r="BE703">
            <v>1186</v>
          </cell>
          <cell r="BF703">
            <v>1422</v>
          </cell>
          <cell r="BG703">
            <v>1642</v>
          </cell>
          <cell r="BH703">
            <v>1834</v>
          </cell>
          <cell r="BI703">
            <v>2022</v>
          </cell>
        </row>
        <row r="704">
          <cell r="BC704" t="str">
            <v>Ventura</v>
          </cell>
          <cell r="BD704">
            <v>1774</v>
          </cell>
          <cell r="BE704">
            <v>1902</v>
          </cell>
          <cell r="BF704">
            <v>2282</v>
          </cell>
          <cell r="BG704">
            <v>2636</v>
          </cell>
          <cell r="BH704">
            <v>2942</v>
          </cell>
          <cell r="BI704">
            <v>3246</v>
          </cell>
        </row>
        <row r="705">
          <cell r="BC705" t="str">
            <v>Yolo</v>
          </cell>
          <cell r="BD705">
            <v>1456</v>
          </cell>
          <cell r="BE705">
            <v>1560</v>
          </cell>
          <cell r="BF705">
            <v>1872</v>
          </cell>
          <cell r="BG705">
            <v>2162</v>
          </cell>
          <cell r="BH705">
            <v>2414</v>
          </cell>
          <cell r="BI705">
            <v>2662</v>
          </cell>
        </row>
        <row r="706">
          <cell r="BC706" t="str">
            <v>Yuba</v>
          </cell>
          <cell r="BD706">
            <v>1050</v>
          </cell>
          <cell r="BE706">
            <v>1124</v>
          </cell>
          <cell r="BF706">
            <v>1350</v>
          </cell>
          <cell r="BG706">
            <v>1560</v>
          </cell>
          <cell r="BH706">
            <v>1740</v>
          </cell>
          <cell r="BI706">
            <v>1920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HFA Addendum (2)"/>
      <sheetName val="Instructions-App Completion "/>
      <sheetName val="Checklist Items "/>
      <sheetName val="Instructions-Electronic Submit"/>
      <sheetName val="Application Checklist"/>
      <sheetName val="Application"/>
      <sheetName val="Sources and Uses Budget"/>
      <sheetName val="Sources and Basis Breakdown"/>
      <sheetName val="CalHFA Addendum"/>
      <sheetName val="CDLAC Tie Breaker"/>
      <sheetName val="CDLAC Points System"/>
      <sheetName val="Basis &amp; Credits"/>
      <sheetName val="Service Amenities Budget"/>
      <sheetName val="15 Year Pro Forma"/>
      <sheetName val="Subsidy Contract Calculation"/>
      <sheetName val="Post-award Instructions"/>
      <sheetName val="Post-award Project Cost Changes"/>
    </sheetNames>
    <sheetDataSet>
      <sheetData sheetId="0"/>
      <sheetData sheetId="1"/>
      <sheetData sheetId="2"/>
      <sheetData sheetId="3"/>
      <sheetData sheetId="4"/>
      <sheetData sheetId="5">
        <row r="669">
          <cell r="BP669" t="str">
            <v>County</v>
          </cell>
          <cell r="BQ669" t="str">
            <v>SRO/Studio</v>
          </cell>
          <cell r="BR669" t="str">
            <v>1 Bedroom</v>
          </cell>
          <cell r="BS669" t="str">
            <v>2 Bedrooms</v>
          </cell>
          <cell r="BT669" t="str">
            <v>3 Bedrooms</v>
          </cell>
          <cell r="BU669" t="str">
            <v>4 Bedrooms</v>
          </cell>
          <cell r="BV669" t="str">
            <v>5 Bedrooms</v>
          </cell>
        </row>
        <row r="670">
          <cell r="BP670" t="str">
            <v>Alameda</v>
          </cell>
          <cell r="BQ670">
            <v>2396</v>
          </cell>
          <cell r="BR670">
            <v>2568</v>
          </cell>
          <cell r="BS670">
            <v>3082</v>
          </cell>
          <cell r="BT670">
            <v>3562</v>
          </cell>
          <cell r="BU670">
            <v>3974</v>
          </cell>
          <cell r="BV670">
            <v>4384</v>
          </cell>
        </row>
        <row r="671">
          <cell r="BP671" t="str">
            <v>Alpine</v>
          </cell>
          <cell r="BQ671">
            <v>1422</v>
          </cell>
          <cell r="BR671">
            <v>1522</v>
          </cell>
          <cell r="BS671">
            <v>1826</v>
          </cell>
          <cell r="BT671">
            <v>2110</v>
          </cell>
          <cell r="BU671">
            <v>2354</v>
          </cell>
          <cell r="BV671">
            <v>2598</v>
          </cell>
        </row>
        <row r="672">
          <cell r="BP672" t="str">
            <v>Amador</v>
          </cell>
          <cell r="BQ672">
            <v>1364</v>
          </cell>
          <cell r="BR672">
            <v>1462</v>
          </cell>
          <cell r="BS672">
            <v>1754</v>
          </cell>
          <cell r="BT672">
            <v>2026</v>
          </cell>
          <cell r="BU672">
            <v>2260</v>
          </cell>
          <cell r="BV672">
            <v>2492</v>
          </cell>
        </row>
        <row r="673">
          <cell r="BP673" t="str">
            <v>Butte</v>
          </cell>
          <cell r="BQ673">
            <v>1220</v>
          </cell>
          <cell r="BR673">
            <v>1306</v>
          </cell>
          <cell r="BS673">
            <v>1570</v>
          </cell>
          <cell r="BT673">
            <v>1812</v>
          </cell>
          <cell r="BU673">
            <v>2022</v>
          </cell>
          <cell r="BV673">
            <v>2232</v>
          </cell>
        </row>
        <row r="674">
          <cell r="BP674" t="str">
            <v>Calaveras</v>
          </cell>
          <cell r="BQ674">
            <v>1430</v>
          </cell>
          <cell r="BR674">
            <v>1532</v>
          </cell>
          <cell r="BS674">
            <v>1840</v>
          </cell>
          <cell r="BT674">
            <v>2124</v>
          </cell>
          <cell r="BU674">
            <v>2370</v>
          </cell>
          <cell r="BV674">
            <v>2616</v>
          </cell>
        </row>
        <row r="675">
          <cell r="BP675" t="str">
            <v>Colusa</v>
          </cell>
          <cell r="BQ675">
            <v>1220</v>
          </cell>
          <cell r="BR675">
            <v>1306</v>
          </cell>
          <cell r="BS675">
            <v>1570</v>
          </cell>
          <cell r="BT675">
            <v>1812</v>
          </cell>
          <cell r="BU675">
            <v>2022</v>
          </cell>
          <cell r="BV675">
            <v>2232</v>
          </cell>
        </row>
        <row r="676">
          <cell r="BP676" t="str">
            <v>Contra Costa</v>
          </cell>
          <cell r="BQ676">
            <v>2396</v>
          </cell>
          <cell r="BR676">
            <v>2568</v>
          </cell>
          <cell r="BS676">
            <v>3082</v>
          </cell>
          <cell r="BT676">
            <v>3562</v>
          </cell>
          <cell r="BU676">
            <v>3974</v>
          </cell>
          <cell r="BV676">
            <v>4384</v>
          </cell>
        </row>
        <row r="677">
          <cell r="BP677" t="str">
            <v>Del Norte</v>
          </cell>
          <cell r="BQ677">
            <v>1220</v>
          </cell>
          <cell r="BR677">
            <v>1306</v>
          </cell>
          <cell r="BS677">
            <v>1570</v>
          </cell>
          <cell r="BT677">
            <v>1812</v>
          </cell>
          <cell r="BU677">
            <v>2022</v>
          </cell>
          <cell r="BV677">
            <v>2232</v>
          </cell>
        </row>
        <row r="678">
          <cell r="BP678" t="str">
            <v>El Dorado</v>
          </cell>
          <cell r="BQ678">
            <v>1586</v>
          </cell>
          <cell r="BR678">
            <v>1700</v>
          </cell>
          <cell r="BS678">
            <v>2040</v>
          </cell>
          <cell r="BT678">
            <v>2356</v>
          </cell>
          <cell r="BU678">
            <v>2626</v>
          </cell>
          <cell r="BV678">
            <v>2900</v>
          </cell>
        </row>
        <row r="679">
          <cell r="BP679" t="str">
            <v>Fresno</v>
          </cell>
          <cell r="BQ679">
            <v>1220</v>
          </cell>
          <cell r="BR679">
            <v>1306</v>
          </cell>
          <cell r="BS679">
            <v>1570</v>
          </cell>
          <cell r="BT679">
            <v>1812</v>
          </cell>
          <cell r="BU679">
            <v>2022</v>
          </cell>
          <cell r="BV679">
            <v>2232</v>
          </cell>
        </row>
        <row r="680">
          <cell r="BP680" t="str">
            <v>Glenn</v>
          </cell>
          <cell r="BQ680">
            <v>1220</v>
          </cell>
          <cell r="BR680">
            <v>1306</v>
          </cell>
          <cell r="BS680">
            <v>1570</v>
          </cell>
          <cell r="BT680">
            <v>1812</v>
          </cell>
          <cell r="BU680">
            <v>2022</v>
          </cell>
          <cell r="BV680">
            <v>2232</v>
          </cell>
        </row>
        <row r="681">
          <cell r="BP681" t="str">
            <v>Humboldt</v>
          </cell>
          <cell r="BQ681">
            <v>1220</v>
          </cell>
          <cell r="BR681">
            <v>1306</v>
          </cell>
          <cell r="BS681">
            <v>1570</v>
          </cell>
          <cell r="BT681">
            <v>1812</v>
          </cell>
          <cell r="BU681">
            <v>2022</v>
          </cell>
          <cell r="BV681">
            <v>2232</v>
          </cell>
        </row>
        <row r="682">
          <cell r="BP682" t="str">
            <v>Imperial</v>
          </cell>
          <cell r="BQ682">
            <v>1220</v>
          </cell>
          <cell r="BR682">
            <v>1306</v>
          </cell>
          <cell r="BS682">
            <v>1570</v>
          </cell>
          <cell r="BT682">
            <v>1812</v>
          </cell>
          <cell r="BU682">
            <v>2022</v>
          </cell>
          <cell r="BV682">
            <v>2232</v>
          </cell>
        </row>
        <row r="683">
          <cell r="BP683" t="str">
            <v>Inyo</v>
          </cell>
          <cell r="BQ683">
            <v>1296</v>
          </cell>
          <cell r="BR683">
            <v>1390</v>
          </cell>
          <cell r="BS683">
            <v>1666</v>
          </cell>
          <cell r="BT683">
            <v>1926</v>
          </cell>
          <cell r="BU683">
            <v>2150</v>
          </cell>
          <cell r="BV683">
            <v>2372</v>
          </cell>
        </row>
        <row r="684">
          <cell r="BP684" t="str">
            <v>Kern</v>
          </cell>
          <cell r="BQ684">
            <v>1220</v>
          </cell>
          <cell r="BR684">
            <v>1306</v>
          </cell>
          <cell r="BS684">
            <v>1570</v>
          </cell>
          <cell r="BT684">
            <v>1812</v>
          </cell>
          <cell r="BU684">
            <v>2022</v>
          </cell>
          <cell r="BV684">
            <v>2232</v>
          </cell>
        </row>
        <row r="685">
          <cell r="BP685" t="str">
            <v>Kings</v>
          </cell>
          <cell r="BQ685">
            <v>1220</v>
          </cell>
          <cell r="BR685">
            <v>1306</v>
          </cell>
          <cell r="BS685">
            <v>1570</v>
          </cell>
          <cell r="BT685">
            <v>1812</v>
          </cell>
          <cell r="BU685">
            <v>2022</v>
          </cell>
          <cell r="BV685">
            <v>2232</v>
          </cell>
        </row>
        <row r="686">
          <cell r="BP686" t="str">
            <v>Lake</v>
          </cell>
          <cell r="BQ686">
            <v>1220</v>
          </cell>
          <cell r="BR686">
            <v>1306</v>
          </cell>
          <cell r="BS686">
            <v>1570</v>
          </cell>
          <cell r="BT686">
            <v>1812</v>
          </cell>
          <cell r="BU686">
            <v>2022</v>
          </cell>
          <cell r="BV686">
            <v>2232</v>
          </cell>
        </row>
        <row r="687">
          <cell r="BP687" t="str">
            <v>Lassen</v>
          </cell>
          <cell r="BQ687">
            <v>1264</v>
          </cell>
          <cell r="BR687">
            <v>1354</v>
          </cell>
          <cell r="BS687">
            <v>1624</v>
          </cell>
          <cell r="BT687">
            <v>1876</v>
          </cell>
          <cell r="BU687">
            <v>2094</v>
          </cell>
          <cell r="BV687">
            <v>2312</v>
          </cell>
        </row>
        <row r="688">
          <cell r="BP688" t="str">
            <v>Los Angeles</v>
          </cell>
          <cell r="BQ688">
            <v>2070</v>
          </cell>
          <cell r="BR688">
            <v>2216</v>
          </cell>
          <cell r="BS688">
            <v>2660</v>
          </cell>
          <cell r="BT688">
            <v>3072</v>
          </cell>
          <cell r="BU688">
            <v>3430</v>
          </cell>
          <cell r="BV688">
            <v>3782</v>
          </cell>
        </row>
        <row r="689">
          <cell r="BP689" t="str">
            <v>Madera</v>
          </cell>
          <cell r="BQ689">
            <v>1220</v>
          </cell>
          <cell r="BR689">
            <v>1306</v>
          </cell>
          <cell r="BS689">
            <v>1570</v>
          </cell>
          <cell r="BT689">
            <v>1812</v>
          </cell>
          <cell r="BU689">
            <v>2022</v>
          </cell>
          <cell r="BV689">
            <v>2232</v>
          </cell>
        </row>
        <row r="690">
          <cell r="BP690" t="str">
            <v>Marin</v>
          </cell>
          <cell r="BQ690">
            <v>3196</v>
          </cell>
          <cell r="BR690">
            <v>3426</v>
          </cell>
          <cell r="BS690">
            <v>4112</v>
          </cell>
          <cell r="BT690">
            <v>4750</v>
          </cell>
          <cell r="BU690">
            <v>5300</v>
          </cell>
          <cell r="BV690">
            <v>5846</v>
          </cell>
        </row>
        <row r="691">
          <cell r="BP691" t="str">
            <v>Mariposa</v>
          </cell>
          <cell r="BQ691">
            <v>1220</v>
          </cell>
          <cell r="BR691">
            <v>1306</v>
          </cell>
          <cell r="BS691">
            <v>1570</v>
          </cell>
          <cell r="BT691">
            <v>1812</v>
          </cell>
          <cell r="BU691">
            <v>2022</v>
          </cell>
          <cell r="BV691">
            <v>2232</v>
          </cell>
        </row>
        <row r="692">
          <cell r="BP692" t="str">
            <v>Mendocino</v>
          </cell>
          <cell r="BQ692">
            <v>1266</v>
          </cell>
          <cell r="BR692">
            <v>1356</v>
          </cell>
          <cell r="BS692">
            <v>1626</v>
          </cell>
          <cell r="BT692">
            <v>1880</v>
          </cell>
          <cell r="BU692">
            <v>2096</v>
          </cell>
          <cell r="BV692">
            <v>2314</v>
          </cell>
        </row>
        <row r="693">
          <cell r="BP693" t="str">
            <v>Merced</v>
          </cell>
          <cell r="BQ693">
            <v>1220</v>
          </cell>
          <cell r="BR693">
            <v>1306</v>
          </cell>
          <cell r="BS693">
            <v>1570</v>
          </cell>
          <cell r="BT693">
            <v>1812</v>
          </cell>
          <cell r="BU693">
            <v>2022</v>
          </cell>
          <cell r="BV693">
            <v>2232</v>
          </cell>
        </row>
        <row r="694">
          <cell r="BP694" t="str">
            <v>Modoc</v>
          </cell>
          <cell r="BQ694">
            <v>1220</v>
          </cell>
          <cell r="BR694">
            <v>1306</v>
          </cell>
          <cell r="BS694">
            <v>1570</v>
          </cell>
          <cell r="BT694">
            <v>1812</v>
          </cell>
          <cell r="BU694">
            <v>2022</v>
          </cell>
          <cell r="BV694">
            <v>2232</v>
          </cell>
        </row>
        <row r="695">
          <cell r="BP695" t="str">
            <v>Mono</v>
          </cell>
          <cell r="BQ695">
            <v>1382</v>
          </cell>
          <cell r="BR695">
            <v>1480</v>
          </cell>
          <cell r="BS695">
            <v>1776</v>
          </cell>
          <cell r="BT695">
            <v>2052</v>
          </cell>
          <cell r="BU695">
            <v>2290</v>
          </cell>
          <cell r="BV695">
            <v>2526</v>
          </cell>
        </row>
        <row r="696">
          <cell r="BP696" t="str">
            <v>Monterey</v>
          </cell>
          <cell r="BQ696">
            <v>1780</v>
          </cell>
          <cell r="BR696">
            <v>1906</v>
          </cell>
          <cell r="BS696">
            <v>2290</v>
          </cell>
          <cell r="BT696">
            <v>2644</v>
          </cell>
          <cell r="BU696">
            <v>2950</v>
          </cell>
          <cell r="BV696">
            <v>3256</v>
          </cell>
        </row>
        <row r="697">
          <cell r="BP697" t="str">
            <v>Napa</v>
          </cell>
          <cell r="BQ697">
            <v>1990</v>
          </cell>
          <cell r="BR697">
            <v>2132</v>
          </cell>
          <cell r="BS697">
            <v>2560</v>
          </cell>
          <cell r="BT697">
            <v>2956</v>
          </cell>
          <cell r="BU697">
            <v>3296</v>
          </cell>
          <cell r="BV697">
            <v>3638</v>
          </cell>
        </row>
        <row r="698">
          <cell r="BP698" t="str">
            <v>Nevada</v>
          </cell>
          <cell r="BQ698">
            <v>1572</v>
          </cell>
          <cell r="BR698">
            <v>1684</v>
          </cell>
          <cell r="BS698">
            <v>2022</v>
          </cell>
          <cell r="BT698">
            <v>2334</v>
          </cell>
          <cell r="BU698">
            <v>2604</v>
          </cell>
          <cell r="BV698">
            <v>2874</v>
          </cell>
        </row>
        <row r="699">
          <cell r="BP699" t="str">
            <v>Orange</v>
          </cell>
          <cell r="BQ699">
            <v>2354</v>
          </cell>
          <cell r="BR699">
            <v>2522</v>
          </cell>
          <cell r="BS699">
            <v>3026</v>
          </cell>
          <cell r="BT699">
            <v>3496</v>
          </cell>
          <cell r="BU699">
            <v>3902</v>
          </cell>
          <cell r="BV699">
            <v>4304</v>
          </cell>
        </row>
        <row r="700">
          <cell r="BP700" t="str">
            <v>Placer</v>
          </cell>
          <cell r="BQ700">
            <v>1586</v>
          </cell>
          <cell r="BR700">
            <v>1700</v>
          </cell>
          <cell r="BS700">
            <v>2040</v>
          </cell>
          <cell r="BT700">
            <v>2356</v>
          </cell>
          <cell r="BU700">
            <v>2626</v>
          </cell>
          <cell r="BV700">
            <v>2900</v>
          </cell>
        </row>
        <row r="701">
          <cell r="BP701" t="str">
            <v>Plumas</v>
          </cell>
          <cell r="BQ701">
            <v>1280</v>
          </cell>
          <cell r="BR701">
            <v>1370</v>
          </cell>
          <cell r="BS701">
            <v>1644</v>
          </cell>
          <cell r="BT701">
            <v>1900</v>
          </cell>
          <cell r="BU701">
            <v>2120</v>
          </cell>
          <cell r="BV701">
            <v>2340</v>
          </cell>
        </row>
        <row r="702">
          <cell r="BP702" t="str">
            <v>Riverside</v>
          </cell>
          <cell r="BQ702">
            <v>1382</v>
          </cell>
          <cell r="BR702">
            <v>1480</v>
          </cell>
          <cell r="BS702">
            <v>1776</v>
          </cell>
          <cell r="BT702">
            <v>2054</v>
          </cell>
          <cell r="BU702">
            <v>2292</v>
          </cell>
          <cell r="BV702">
            <v>2528</v>
          </cell>
        </row>
        <row r="703">
          <cell r="BP703" t="str">
            <v>Sacramento</v>
          </cell>
          <cell r="BQ703">
            <v>1586</v>
          </cell>
          <cell r="BR703">
            <v>1700</v>
          </cell>
          <cell r="BS703">
            <v>2040</v>
          </cell>
          <cell r="BT703">
            <v>2356</v>
          </cell>
          <cell r="BU703">
            <v>2626</v>
          </cell>
          <cell r="BV703">
            <v>2900</v>
          </cell>
        </row>
        <row r="704">
          <cell r="BP704" t="str">
            <v>San Benito</v>
          </cell>
          <cell r="BQ704">
            <v>1710</v>
          </cell>
          <cell r="BR704">
            <v>1830</v>
          </cell>
          <cell r="BS704">
            <v>2196</v>
          </cell>
          <cell r="BT704">
            <v>2538</v>
          </cell>
          <cell r="BU704">
            <v>2832</v>
          </cell>
          <cell r="BV704">
            <v>3124</v>
          </cell>
        </row>
        <row r="705">
          <cell r="BP705" t="str">
            <v>San Bernardino</v>
          </cell>
          <cell r="BQ705">
            <v>1382</v>
          </cell>
          <cell r="BR705">
            <v>1480</v>
          </cell>
          <cell r="BS705">
            <v>1776</v>
          </cell>
          <cell r="BT705">
            <v>2054</v>
          </cell>
          <cell r="BU705">
            <v>2292</v>
          </cell>
          <cell r="BV705">
            <v>2528</v>
          </cell>
        </row>
        <row r="706">
          <cell r="BP706" t="str">
            <v>San Diego</v>
          </cell>
          <cell r="BQ706">
            <v>2122</v>
          </cell>
          <cell r="BR706">
            <v>2272</v>
          </cell>
          <cell r="BS706">
            <v>2726</v>
          </cell>
          <cell r="BT706">
            <v>3150</v>
          </cell>
          <cell r="BU706">
            <v>3514</v>
          </cell>
          <cell r="BV706">
            <v>3878</v>
          </cell>
        </row>
        <row r="707">
          <cell r="BP707" t="str">
            <v>San Francisco</v>
          </cell>
          <cell r="BQ707">
            <v>3196</v>
          </cell>
          <cell r="BR707">
            <v>3426</v>
          </cell>
          <cell r="BS707">
            <v>4112</v>
          </cell>
          <cell r="BT707">
            <v>4750</v>
          </cell>
          <cell r="BU707">
            <v>5300</v>
          </cell>
          <cell r="BV707">
            <v>5846</v>
          </cell>
        </row>
        <row r="708">
          <cell r="BP708" t="str">
            <v>San Joaquin</v>
          </cell>
          <cell r="BQ708">
            <v>1294</v>
          </cell>
          <cell r="BR708">
            <v>1386</v>
          </cell>
          <cell r="BS708">
            <v>1664</v>
          </cell>
          <cell r="BT708">
            <v>1924</v>
          </cell>
          <cell r="BU708">
            <v>2146</v>
          </cell>
          <cell r="BV708">
            <v>2368</v>
          </cell>
        </row>
        <row r="709">
          <cell r="BP709" t="str">
            <v>San Luis Obispo</v>
          </cell>
          <cell r="BQ709">
            <v>1712</v>
          </cell>
          <cell r="BR709">
            <v>1834</v>
          </cell>
          <cell r="BS709">
            <v>2202</v>
          </cell>
          <cell r="BT709">
            <v>2542</v>
          </cell>
          <cell r="BU709">
            <v>2836</v>
          </cell>
          <cell r="BV709">
            <v>3130</v>
          </cell>
        </row>
        <row r="710">
          <cell r="BP710" t="str">
            <v>San Mateo</v>
          </cell>
          <cell r="BQ710">
            <v>3196</v>
          </cell>
          <cell r="BR710">
            <v>3426</v>
          </cell>
          <cell r="BS710">
            <v>4112</v>
          </cell>
          <cell r="BT710">
            <v>4750</v>
          </cell>
          <cell r="BU710">
            <v>5300</v>
          </cell>
          <cell r="BV710">
            <v>5846</v>
          </cell>
        </row>
        <row r="711">
          <cell r="BP711" t="str">
            <v>Santa Barbara</v>
          </cell>
          <cell r="BQ711">
            <v>2186</v>
          </cell>
          <cell r="BR711">
            <v>2342</v>
          </cell>
          <cell r="BS711">
            <v>2812</v>
          </cell>
          <cell r="BT711">
            <v>3246</v>
          </cell>
          <cell r="BU711">
            <v>3622</v>
          </cell>
          <cell r="BV711">
            <v>3996</v>
          </cell>
        </row>
        <row r="712">
          <cell r="BP712" t="str">
            <v>Santa Clara</v>
          </cell>
          <cell r="BQ712">
            <v>2900</v>
          </cell>
          <cell r="BR712">
            <v>3106</v>
          </cell>
          <cell r="BS712">
            <v>3730</v>
          </cell>
          <cell r="BT712">
            <v>4308</v>
          </cell>
          <cell r="BU712">
            <v>4806</v>
          </cell>
          <cell r="BV712">
            <v>5302</v>
          </cell>
        </row>
        <row r="713">
          <cell r="BP713" t="str">
            <v>Santa Cruz</v>
          </cell>
          <cell r="BQ713">
            <v>2432</v>
          </cell>
          <cell r="BR713">
            <v>2606</v>
          </cell>
          <cell r="BS713">
            <v>3126</v>
          </cell>
          <cell r="BT713">
            <v>3614</v>
          </cell>
          <cell r="BU713">
            <v>4032</v>
          </cell>
          <cell r="BV713">
            <v>4448</v>
          </cell>
        </row>
        <row r="714">
          <cell r="BP714" t="str">
            <v>Shasta</v>
          </cell>
          <cell r="BQ714">
            <v>1242</v>
          </cell>
          <cell r="BR714">
            <v>1330</v>
          </cell>
          <cell r="BS714">
            <v>1596</v>
          </cell>
          <cell r="BT714">
            <v>1846</v>
          </cell>
          <cell r="BU714">
            <v>2060</v>
          </cell>
          <cell r="BV714">
            <v>2272</v>
          </cell>
        </row>
        <row r="715">
          <cell r="BP715" t="str">
            <v>Sierra</v>
          </cell>
          <cell r="BQ715">
            <v>1480</v>
          </cell>
          <cell r="BR715">
            <v>1584</v>
          </cell>
          <cell r="BS715">
            <v>1902</v>
          </cell>
          <cell r="BT715">
            <v>2196</v>
          </cell>
          <cell r="BU715">
            <v>2452</v>
          </cell>
          <cell r="BV715">
            <v>2704</v>
          </cell>
        </row>
        <row r="716">
          <cell r="BP716" t="str">
            <v>Siskiyou</v>
          </cell>
          <cell r="BQ716">
            <v>1220</v>
          </cell>
          <cell r="BR716">
            <v>1306</v>
          </cell>
          <cell r="BS716">
            <v>1570</v>
          </cell>
          <cell r="BT716">
            <v>1812</v>
          </cell>
          <cell r="BU716">
            <v>2022</v>
          </cell>
          <cell r="BV716">
            <v>2232</v>
          </cell>
        </row>
        <row r="717">
          <cell r="BP717" t="str">
            <v>Solano</v>
          </cell>
          <cell r="BQ717">
            <v>1700</v>
          </cell>
          <cell r="BR717">
            <v>1820</v>
          </cell>
          <cell r="BS717">
            <v>2184</v>
          </cell>
          <cell r="BT717">
            <v>2524</v>
          </cell>
          <cell r="BU717">
            <v>2816</v>
          </cell>
          <cell r="BV717">
            <v>3108</v>
          </cell>
        </row>
        <row r="718">
          <cell r="BP718" t="str">
            <v>Sonoma</v>
          </cell>
          <cell r="BQ718">
            <v>2036</v>
          </cell>
          <cell r="BR718">
            <v>2182</v>
          </cell>
          <cell r="BS718">
            <v>2616</v>
          </cell>
          <cell r="BT718">
            <v>3024</v>
          </cell>
          <cell r="BU718">
            <v>3374</v>
          </cell>
          <cell r="BV718">
            <v>3722</v>
          </cell>
        </row>
        <row r="719">
          <cell r="BP719" t="str">
            <v>Stanislaus</v>
          </cell>
          <cell r="BQ719">
            <v>1250</v>
          </cell>
          <cell r="BR719">
            <v>1338</v>
          </cell>
          <cell r="BS719">
            <v>1604</v>
          </cell>
          <cell r="BT719">
            <v>1854</v>
          </cell>
          <cell r="BU719">
            <v>2070</v>
          </cell>
          <cell r="BV719">
            <v>2282</v>
          </cell>
        </row>
        <row r="720">
          <cell r="BP720" t="str">
            <v>Sutter</v>
          </cell>
          <cell r="BQ720">
            <v>1220</v>
          </cell>
          <cell r="BR720">
            <v>1306</v>
          </cell>
          <cell r="BS720">
            <v>1570</v>
          </cell>
          <cell r="BT720">
            <v>1812</v>
          </cell>
          <cell r="BU720">
            <v>2022</v>
          </cell>
          <cell r="BV720">
            <v>2232</v>
          </cell>
        </row>
        <row r="721">
          <cell r="BP721" t="str">
            <v>Tehama</v>
          </cell>
          <cell r="BQ721">
            <v>1220</v>
          </cell>
          <cell r="BR721">
            <v>1306</v>
          </cell>
          <cell r="BS721">
            <v>1570</v>
          </cell>
          <cell r="BT721">
            <v>1812</v>
          </cell>
          <cell r="BU721">
            <v>2022</v>
          </cell>
          <cell r="BV721">
            <v>2232</v>
          </cell>
        </row>
        <row r="722">
          <cell r="BP722" t="str">
            <v>Trinity</v>
          </cell>
          <cell r="BQ722">
            <v>1220</v>
          </cell>
          <cell r="BR722">
            <v>1306</v>
          </cell>
          <cell r="BS722">
            <v>1570</v>
          </cell>
          <cell r="BT722">
            <v>1812</v>
          </cell>
          <cell r="BU722">
            <v>2022</v>
          </cell>
          <cell r="BV722">
            <v>2232</v>
          </cell>
        </row>
        <row r="723">
          <cell r="BP723" t="str">
            <v>Tulare</v>
          </cell>
          <cell r="BQ723">
            <v>1220</v>
          </cell>
          <cell r="BR723">
            <v>1306</v>
          </cell>
          <cell r="BS723">
            <v>1570</v>
          </cell>
          <cell r="BT723">
            <v>1812</v>
          </cell>
          <cell r="BU723">
            <v>2022</v>
          </cell>
          <cell r="BV723">
            <v>2232</v>
          </cell>
        </row>
        <row r="724">
          <cell r="BP724" t="str">
            <v>Tuolumne</v>
          </cell>
          <cell r="BQ724">
            <v>1302</v>
          </cell>
          <cell r="BR724">
            <v>1396</v>
          </cell>
          <cell r="BS724">
            <v>1674</v>
          </cell>
          <cell r="BT724">
            <v>1934</v>
          </cell>
          <cell r="BU724">
            <v>2160</v>
          </cell>
          <cell r="BV724">
            <v>2382</v>
          </cell>
        </row>
        <row r="725">
          <cell r="BP725" t="str">
            <v>Ventura</v>
          </cell>
          <cell r="BQ725">
            <v>1962</v>
          </cell>
          <cell r="BR725">
            <v>2102</v>
          </cell>
          <cell r="BS725">
            <v>2522</v>
          </cell>
          <cell r="BT725">
            <v>2914</v>
          </cell>
          <cell r="BU725">
            <v>3252</v>
          </cell>
          <cell r="BV725">
            <v>3588</v>
          </cell>
        </row>
        <row r="726">
          <cell r="BP726" t="str">
            <v>Yolo</v>
          </cell>
          <cell r="BQ726">
            <v>1552</v>
          </cell>
          <cell r="BR726">
            <v>1662</v>
          </cell>
          <cell r="BS726">
            <v>1994</v>
          </cell>
          <cell r="BT726">
            <v>2302</v>
          </cell>
          <cell r="BU726">
            <v>2570</v>
          </cell>
          <cell r="BV726">
            <v>2836</v>
          </cell>
        </row>
        <row r="727">
          <cell r="BP727" t="str">
            <v>Yuba</v>
          </cell>
          <cell r="BQ727">
            <v>1220</v>
          </cell>
          <cell r="BR727">
            <v>1306</v>
          </cell>
          <cell r="BS727">
            <v>1570</v>
          </cell>
          <cell r="BT727">
            <v>1812</v>
          </cell>
          <cell r="BU727">
            <v>2022</v>
          </cell>
          <cell r="BV727">
            <v>2232</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row r="5">
          <cell r="A5" t="str">
            <v>Alameda</v>
          </cell>
          <cell r="B5" t="str">
            <v>01</v>
          </cell>
          <cell r="C5">
            <v>1466</v>
          </cell>
          <cell r="D5">
            <v>1570</v>
          </cell>
          <cell r="E5">
            <v>1884</v>
          </cell>
          <cell r="F5">
            <v>2178</v>
          </cell>
          <cell r="G5">
            <v>2430</v>
          </cell>
          <cell r="H5">
            <v>2680</v>
          </cell>
        </row>
        <row r="6">
          <cell r="A6" t="str">
            <v>Alpine</v>
          </cell>
          <cell r="B6" t="str">
            <v>02</v>
          </cell>
          <cell r="C6">
            <v>1152</v>
          </cell>
          <cell r="D6">
            <v>1232</v>
          </cell>
          <cell r="E6">
            <v>1480</v>
          </cell>
          <cell r="F6">
            <v>1710</v>
          </cell>
          <cell r="G6">
            <v>1906</v>
          </cell>
          <cell r="H6">
            <v>2106</v>
          </cell>
        </row>
        <row r="7">
          <cell r="A7" t="str">
            <v>Amador</v>
          </cell>
          <cell r="B7" t="str">
            <v>03</v>
          </cell>
          <cell r="C7">
            <v>1114</v>
          </cell>
          <cell r="D7">
            <v>1194</v>
          </cell>
          <cell r="E7">
            <v>1432</v>
          </cell>
          <cell r="F7">
            <v>1656</v>
          </cell>
          <cell r="G7">
            <v>1846</v>
          </cell>
          <cell r="H7">
            <v>1974</v>
          </cell>
        </row>
        <row r="8">
          <cell r="A8" t="str">
            <v>Butte</v>
          </cell>
          <cell r="B8" t="str">
            <v>04</v>
          </cell>
          <cell r="C8">
            <v>910</v>
          </cell>
          <cell r="D8">
            <v>974</v>
          </cell>
          <cell r="E8">
            <v>1170</v>
          </cell>
          <cell r="F8">
            <v>1352</v>
          </cell>
          <cell r="G8">
            <v>1506</v>
          </cell>
          <cell r="H8">
            <v>1662</v>
          </cell>
        </row>
        <row r="9">
          <cell r="A9" t="str">
            <v>Calaveras</v>
          </cell>
          <cell r="B9" t="str">
            <v>05</v>
          </cell>
          <cell r="C9">
            <v>1030</v>
          </cell>
          <cell r="D9">
            <v>1102</v>
          </cell>
          <cell r="E9">
            <v>1324</v>
          </cell>
          <cell r="F9">
            <v>1530</v>
          </cell>
          <cell r="G9">
            <v>1706</v>
          </cell>
          <cell r="H9">
            <v>1882</v>
          </cell>
        </row>
        <row r="10">
          <cell r="A10" t="str">
            <v>Colusa</v>
          </cell>
          <cell r="B10" t="str">
            <v>06</v>
          </cell>
          <cell r="C10">
            <v>902</v>
          </cell>
          <cell r="D10">
            <v>966</v>
          </cell>
          <cell r="E10">
            <v>1160</v>
          </cell>
          <cell r="F10">
            <v>1338</v>
          </cell>
          <cell r="G10">
            <v>1492</v>
          </cell>
          <cell r="H10">
            <v>1648</v>
          </cell>
        </row>
        <row r="11">
          <cell r="A11" t="str">
            <v>Contra Costa</v>
          </cell>
          <cell r="B11" t="str">
            <v>07</v>
          </cell>
          <cell r="C11">
            <v>1466</v>
          </cell>
          <cell r="D11">
            <v>1570</v>
          </cell>
          <cell r="E11">
            <v>1884</v>
          </cell>
          <cell r="F11">
            <v>2178</v>
          </cell>
          <cell r="G11">
            <v>2430</v>
          </cell>
          <cell r="H11">
            <v>2680</v>
          </cell>
        </row>
        <row r="12">
          <cell r="A12" t="str">
            <v>Del Norte</v>
          </cell>
          <cell r="B12" t="str">
            <v>08</v>
          </cell>
          <cell r="C12">
            <v>902</v>
          </cell>
          <cell r="D12">
            <v>966</v>
          </cell>
          <cell r="E12">
            <v>1160</v>
          </cell>
          <cell r="F12">
            <v>1338</v>
          </cell>
          <cell r="G12">
            <v>1492</v>
          </cell>
          <cell r="H12">
            <v>1648</v>
          </cell>
        </row>
        <row r="13">
          <cell r="A13" t="str">
            <v>El Dorado</v>
          </cell>
          <cell r="B13" t="str">
            <v>09</v>
          </cell>
          <cell r="C13">
            <v>1174</v>
          </cell>
          <cell r="D13">
            <v>1260</v>
          </cell>
          <cell r="E13">
            <v>1512</v>
          </cell>
          <cell r="F13">
            <v>1746</v>
          </cell>
          <cell r="G13">
            <v>1950</v>
          </cell>
          <cell r="H13">
            <v>2150</v>
          </cell>
        </row>
        <row r="14">
          <cell r="A14" t="str">
            <v>Fresno</v>
          </cell>
          <cell r="B14" t="str">
            <v>10</v>
          </cell>
          <cell r="C14">
            <v>902</v>
          </cell>
          <cell r="D14">
            <v>966</v>
          </cell>
          <cell r="E14">
            <v>1160</v>
          </cell>
          <cell r="F14">
            <v>1338</v>
          </cell>
          <cell r="G14">
            <v>1492</v>
          </cell>
          <cell r="H14">
            <v>1648</v>
          </cell>
        </row>
        <row r="15">
          <cell r="A15" t="str">
            <v>Glenn</v>
          </cell>
          <cell r="B15" t="str">
            <v>11</v>
          </cell>
          <cell r="C15">
            <v>902</v>
          </cell>
          <cell r="D15">
            <v>966</v>
          </cell>
          <cell r="E15">
            <v>1160</v>
          </cell>
          <cell r="F15">
            <v>1338</v>
          </cell>
          <cell r="G15">
            <v>1492</v>
          </cell>
          <cell r="H15">
            <v>1648</v>
          </cell>
        </row>
        <row r="16">
          <cell r="A16" t="str">
            <v>Humboldt</v>
          </cell>
          <cell r="B16" t="str">
            <v>12</v>
          </cell>
          <cell r="C16">
            <v>902</v>
          </cell>
          <cell r="D16">
            <v>966</v>
          </cell>
          <cell r="E16">
            <v>1160</v>
          </cell>
          <cell r="F16">
            <v>1338</v>
          </cell>
          <cell r="G16">
            <v>1492</v>
          </cell>
          <cell r="H16">
            <v>1648</v>
          </cell>
        </row>
        <row r="17">
          <cell r="A17" t="str">
            <v>Imperial</v>
          </cell>
          <cell r="B17">
            <v>13</v>
          </cell>
          <cell r="C17">
            <v>902</v>
          </cell>
          <cell r="D17">
            <v>966</v>
          </cell>
          <cell r="E17">
            <v>1160</v>
          </cell>
          <cell r="F17">
            <v>1338</v>
          </cell>
          <cell r="G17">
            <v>1492</v>
          </cell>
          <cell r="H17">
            <v>1648</v>
          </cell>
        </row>
        <row r="18">
          <cell r="A18" t="str">
            <v>Inyo</v>
          </cell>
          <cell r="B18">
            <v>14</v>
          </cell>
          <cell r="C18">
            <v>962</v>
          </cell>
          <cell r="D18">
            <v>1030</v>
          </cell>
          <cell r="E18">
            <v>1236</v>
          </cell>
          <cell r="F18">
            <v>1430</v>
          </cell>
          <cell r="G18">
            <v>1594</v>
          </cell>
          <cell r="H18">
            <v>1760</v>
          </cell>
        </row>
        <row r="19">
          <cell r="A19" t="str">
            <v>Kern</v>
          </cell>
          <cell r="B19">
            <v>15</v>
          </cell>
          <cell r="C19">
            <v>902</v>
          </cell>
          <cell r="D19">
            <v>966</v>
          </cell>
          <cell r="E19">
            <v>1160</v>
          </cell>
          <cell r="F19">
            <v>1338</v>
          </cell>
          <cell r="G19">
            <v>1492</v>
          </cell>
          <cell r="H19">
            <v>1648</v>
          </cell>
        </row>
        <row r="20">
          <cell r="A20" t="str">
            <v>Kings</v>
          </cell>
          <cell r="B20">
            <v>16</v>
          </cell>
          <cell r="C20">
            <v>902</v>
          </cell>
          <cell r="D20">
            <v>966</v>
          </cell>
          <cell r="E20">
            <v>1160</v>
          </cell>
          <cell r="F20">
            <v>1338</v>
          </cell>
          <cell r="G20">
            <v>1492</v>
          </cell>
          <cell r="H20">
            <v>1648</v>
          </cell>
        </row>
        <row r="21">
          <cell r="A21" t="str">
            <v>Lake</v>
          </cell>
          <cell r="B21">
            <v>17</v>
          </cell>
          <cell r="C21">
            <v>902</v>
          </cell>
          <cell r="D21">
            <v>966</v>
          </cell>
          <cell r="E21">
            <v>1160</v>
          </cell>
          <cell r="F21">
            <v>1338</v>
          </cell>
          <cell r="G21">
            <v>1492</v>
          </cell>
          <cell r="H21">
            <v>1648</v>
          </cell>
        </row>
        <row r="22">
          <cell r="A22" t="str">
            <v>Lassen</v>
          </cell>
          <cell r="B22">
            <v>18</v>
          </cell>
          <cell r="C22">
            <v>930</v>
          </cell>
          <cell r="D22">
            <v>996</v>
          </cell>
          <cell r="E22">
            <v>1196</v>
          </cell>
          <cell r="F22">
            <v>1382</v>
          </cell>
          <cell r="G22">
            <v>1542</v>
          </cell>
          <cell r="H22">
            <v>1702</v>
          </cell>
        </row>
        <row r="23">
          <cell r="A23" t="str">
            <v>Los Angeles</v>
          </cell>
          <cell r="B23">
            <v>19</v>
          </cell>
          <cell r="C23">
            <v>1294</v>
          </cell>
          <cell r="D23">
            <v>1386</v>
          </cell>
          <cell r="E23">
            <v>1664</v>
          </cell>
          <cell r="F23">
            <v>1922</v>
          </cell>
          <cell r="G23">
            <v>2144</v>
          </cell>
          <cell r="H23">
            <v>2368</v>
          </cell>
        </row>
        <row r="24">
          <cell r="A24" t="str">
            <v>Madera</v>
          </cell>
          <cell r="B24">
            <v>20</v>
          </cell>
          <cell r="C24">
            <v>902</v>
          </cell>
          <cell r="D24">
            <v>966</v>
          </cell>
          <cell r="E24">
            <v>1160</v>
          </cell>
          <cell r="F24">
            <v>1338</v>
          </cell>
          <cell r="G24">
            <v>1492</v>
          </cell>
          <cell r="H24">
            <v>1648</v>
          </cell>
        </row>
        <row r="25">
          <cell r="A25" t="str">
            <v>Marin</v>
          </cell>
          <cell r="B25">
            <v>21</v>
          </cell>
          <cell r="C25">
            <v>1980</v>
          </cell>
          <cell r="D25">
            <v>2120</v>
          </cell>
          <cell r="E25">
            <v>2544</v>
          </cell>
          <cell r="F25">
            <v>2940</v>
          </cell>
          <cell r="G25">
            <v>3280</v>
          </cell>
          <cell r="H25">
            <v>3618</v>
          </cell>
        </row>
        <row r="26">
          <cell r="A26" t="str">
            <v>Mariposa</v>
          </cell>
          <cell r="B26">
            <v>22</v>
          </cell>
          <cell r="C26">
            <v>906</v>
          </cell>
          <cell r="D26">
            <v>970</v>
          </cell>
          <cell r="E26">
            <v>1164</v>
          </cell>
          <cell r="F26">
            <v>1346</v>
          </cell>
          <cell r="G26">
            <v>1502</v>
          </cell>
          <cell r="H26">
            <v>1656</v>
          </cell>
        </row>
        <row r="27">
          <cell r="A27" t="str">
            <v>Mendocino</v>
          </cell>
          <cell r="B27">
            <v>23</v>
          </cell>
          <cell r="C27">
            <v>902</v>
          </cell>
          <cell r="D27">
            <v>966</v>
          </cell>
          <cell r="E27">
            <v>1160</v>
          </cell>
          <cell r="F27">
            <v>1338</v>
          </cell>
          <cell r="G27">
            <v>1492</v>
          </cell>
          <cell r="H27">
            <v>1648</v>
          </cell>
        </row>
        <row r="28">
          <cell r="A28" t="str">
            <v>Merced</v>
          </cell>
          <cell r="B28">
            <v>24</v>
          </cell>
          <cell r="C28">
            <v>902</v>
          </cell>
          <cell r="D28">
            <v>966</v>
          </cell>
          <cell r="E28">
            <v>1160</v>
          </cell>
          <cell r="F28">
            <v>1338</v>
          </cell>
          <cell r="G28">
            <v>1492</v>
          </cell>
          <cell r="H28">
            <v>1648</v>
          </cell>
        </row>
        <row r="29">
          <cell r="A29" t="str">
            <v>Modoc</v>
          </cell>
          <cell r="B29">
            <v>25</v>
          </cell>
          <cell r="C29">
            <v>902</v>
          </cell>
          <cell r="D29">
            <v>966</v>
          </cell>
          <cell r="E29">
            <v>1160</v>
          </cell>
          <cell r="F29">
            <v>1338</v>
          </cell>
          <cell r="G29">
            <v>1492</v>
          </cell>
          <cell r="H29">
            <v>1648</v>
          </cell>
        </row>
        <row r="30">
          <cell r="A30" t="str">
            <v>Mono</v>
          </cell>
          <cell r="B30">
            <v>26</v>
          </cell>
          <cell r="C30">
            <v>1122</v>
          </cell>
          <cell r="D30">
            <v>1202</v>
          </cell>
          <cell r="E30">
            <v>1444</v>
          </cell>
          <cell r="F30">
            <v>1668</v>
          </cell>
          <cell r="G30">
            <v>1862</v>
          </cell>
          <cell r="H30">
            <v>2052</v>
          </cell>
        </row>
        <row r="31">
          <cell r="A31" t="str">
            <v>Monterey</v>
          </cell>
          <cell r="B31">
            <v>27</v>
          </cell>
          <cell r="C31">
            <v>1130</v>
          </cell>
          <cell r="D31">
            <v>1210</v>
          </cell>
          <cell r="E31">
            <v>1452</v>
          </cell>
          <cell r="F31">
            <v>1676</v>
          </cell>
          <cell r="G31">
            <v>1870</v>
          </cell>
          <cell r="H31">
            <v>2062</v>
          </cell>
        </row>
        <row r="32">
          <cell r="A32" t="str">
            <v>Napa</v>
          </cell>
          <cell r="B32" t="str">
            <v>28</v>
          </cell>
          <cell r="C32">
            <v>1326</v>
          </cell>
          <cell r="D32">
            <v>1420</v>
          </cell>
          <cell r="E32">
            <v>1704</v>
          </cell>
          <cell r="F32">
            <v>1970</v>
          </cell>
          <cell r="G32">
            <v>2196</v>
          </cell>
          <cell r="H32">
            <v>2426</v>
          </cell>
        </row>
        <row r="33">
          <cell r="A33" t="str">
            <v>Nevada</v>
          </cell>
          <cell r="B33">
            <v>29</v>
          </cell>
          <cell r="C33">
            <v>1140</v>
          </cell>
          <cell r="D33">
            <v>1220</v>
          </cell>
          <cell r="E33">
            <v>1464</v>
          </cell>
          <cell r="F33">
            <v>1692</v>
          </cell>
          <cell r="G33">
            <v>1886</v>
          </cell>
          <cell r="H33">
            <v>2082</v>
          </cell>
        </row>
        <row r="34">
          <cell r="A34" t="str">
            <v>Orange</v>
          </cell>
          <cell r="B34">
            <v>30</v>
          </cell>
          <cell r="C34">
            <v>1514</v>
          </cell>
          <cell r="D34">
            <v>1622</v>
          </cell>
          <cell r="E34">
            <v>1946</v>
          </cell>
          <cell r="F34">
            <v>2250</v>
          </cell>
          <cell r="G34">
            <v>2512</v>
          </cell>
          <cell r="H34">
            <v>2770</v>
          </cell>
        </row>
        <row r="35">
          <cell r="A35" t="str">
            <v>Placer</v>
          </cell>
          <cell r="B35">
            <v>31</v>
          </cell>
          <cell r="C35">
            <v>1174</v>
          </cell>
          <cell r="D35">
            <v>1260</v>
          </cell>
          <cell r="E35">
            <v>1512</v>
          </cell>
          <cell r="F35">
            <v>1746</v>
          </cell>
          <cell r="G35">
            <v>1950</v>
          </cell>
          <cell r="H35">
            <v>2150</v>
          </cell>
        </row>
        <row r="36">
          <cell r="A36" t="str">
            <v>Plumas</v>
          </cell>
          <cell r="B36">
            <v>32</v>
          </cell>
          <cell r="C36">
            <v>990</v>
          </cell>
          <cell r="D36">
            <v>1060</v>
          </cell>
          <cell r="E36">
            <v>1272</v>
          </cell>
          <cell r="F36">
            <v>1470</v>
          </cell>
          <cell r="G36">
            <v>1642</v>
          </cell>
          <cell r="H36">
            <v>1810</v>
          </cell>
        </row>
        <row r="37">
          <cell r="A37" t="str">
            <v>Riverside</v>
          </cell>
          <cell r="B37">
            <v>33</v>
          </cell>
          <cell r="C37">
            <v>1034</v>
          </cell>
          <cell r="D37">
            <v>1110</v>
          </cell>
          <cell r="E37">
            <v>1332</v>
          </cell>
          <cell r="F37">
            <v>1538</v>
          </cell>
          <cell r="G37">
            <v>1716</v>
          </cell>
          <cell r="H37">
            <v>1892</v>
          </cell>
        </row>
        <row r="38">
          <cell r="A38" t="str">
            <v>Sacramento</v>
          </cell>
          <cell r="B38">
            <v>34</v>
          </cell>
          <cell r="C38">
            <v>1174</v>
          </cell>
          <cell r="D38">
            <v>1260</v>
          </cell>
          <cell r="E38">
            <v>1512</v>
          </cell>
          <cell r="F38">
            <v>1746</v>
          </cell>
          <cell r="G38">
            <v>1950</v>
          </cell>
          <cell r="H38">
            <v>2150</v>
          </cell>
        </row>
        <row r="39">
          <cell r="A39" t="str">
            <v>San Benito</v>
          </cell>
          <cell r="B39">
            <v>35</v>
          </cell>
          <cell r="C39">
            <v>1306</v>
          </cell>
          <cell r="D39">
            <v>1400</v>
          </cell>
          <cell r="E39">
            <v>1680</v>
          </cell>
          <cell r="F39">
            <v>1942</v>
          </cell>
          <cell r="G39">
            <v>2166</v>
          </cell>
          <cell r="H39">
            <v>2390</v>
          </cell>
        </row>
        <row r="40">
          <cell r="A40" t="str">
            <v>San Bernardino</v>
          </cell>
          <cell r="B40">
            <v>36</v>
          </cell>
          <cell r="C40">
            <v>1034</v>
          </cell>
          <cell r="D40">
            <v>1110</v>
          </cell>
          <cell r="E40">
            <v>1332</v>
          </cell>
          <cell r="F40">
            <v>1538</v>
          </cell>
          <cell r="G40">
            <v>1716</v>
          </cell>
          <cell r="H40">
            <v>1892</v>
          </cell>
        </row>
        <row r="41">
          <cell r="A41" t="str">
            <v>San Diego</v>
          </cell>
          <cell r="B41">
            <v>37</v>
          </cell>
          <cell r="C41">
            <v>1226</v>
          </cell>
          <cell r="D41">
            <v>1316</v>
          </cell>
          <cell r="E41">
            <v>1580</v>
          </cell>
          <cell r="F41">
            <v>1824</v>
          </cell>
          <cell r="G41">
            <v>2034</v>
          </cell>
          <cell r="H41">
            <v>2246</v>
          </cell>
        </row>
        <row r="42">
          <cell r="A42" t="str">
            <v>San Francisco</v>
          </cell>
          <cell r="B42">
            <v>38</v>
          </cell>
          <cell r="C42">
            <v>1980</v>
          </cell>
          <cell r="D42">
            <v>2120</v>
          </cell>
          <cell r="E42">
            <v>2544</v>
          </cell>
          <cell r="F42">
            <v>2940</v>
          </cell>
          <cell r="G42">
            <v>3280</v>
          </cell>
          <cell r="H42">
            <v>3618</v>
          </cell>
        </row>
        <row r="43">
          <cell r="A43" t="str">
            <v>San Joaquin</v>
          </cell>
          <cell r="B43">
            <v>39</v>
          </cell>
          <cell r="C43">
            <v>1054</v>
          </cell>
          <cell r="D43">
            <v>1130</v>
          </cell>
          <cell r="E43">
            <v>1356</v>
          </cell>
          <cell r="F43">
            <v>1566</v>
          </cell>
          <cell r="G43">
            <v>1746</v>
          </cell>
          <cell r="H43">
            <v>1930</v>
          </cell>
        </row>
        <row r="44">
          <cell r="A44" t="str">
            <v>San Luis Obispo</v>
          </cell>
          <cell r="B44">
            <v>40</v>
          </cell>
          <cell r="C44">
            <v>1122</v>
          </cell>
          <cell r="D44">
            <v>1202</v>
          </cell>
          <cell r="E44">
            <v>1444</v>
          </cell>
          <cell r="F44">
            <v>1668</v>
          </cell>
          <cell r="G44">
            <v>1862</v>
          </cell>
          <cell r="H44">
            <v>2052</v>
          </cell>
        </row>
        <row r="45">
          <cell r="A45" t="str">
            <v>San Mateo</v>
          </cell>
          <cell r="B45">
            <v>41</v>
          </cell>
          <cell r="C45">
            <v>1980</v>
          </cell>
          <cell r="D45">
            <v>2120</v>
          </cell>
          <cell r="E45">
            <v>2544</v>
          </cell>
          <cell r="F45">
            <v>2940</v>
          </cell>
          <cell r="G45">
            <v>3280</v>
          </cell>
          <cell r="H45">
            <v>3618</v>
          </cell>
        </row>
        <row r="46">
          <cell r="A46" t="str">
            <v>Santa Barbara</v>
          </cell>
          <cell r="B46">
            <v>42</v>
          </cell>
          <cell r="C46">
            <v>1174</v>
          </cell>
          <cell r="D46">
            <v>1258</v>
          </cell>
          <cell r="E46">
            <v>1510</v>
          </cell>
          <cell r="F46">
            <v>1744</v>
          </cell>
          <cell r="G46">
            <v>1944</v>
          </cell>
          <cell r="H46">
            <v>2146</v>
          </cell>
        </row>
        <row r="47">
          <cell r="A47" t="str">
            <v>Santa Clara</v>
          </cell>
          <cell r="B47">
            <v>43</v>
          </cell>
          <cell r="C47">
            <v>1856</v>
          </cell>
          <cell r="D47">
            <v>1990</v>
          </cell>
          <cell r="E47">
            <v>2386</v>
          </cell>
          <cell r="F47">
            <v>2758</v>
          </cell>
          <cell r="G47">
            <v>3076</v>
          </cell>
          <cell r="H47">
            <v>3396</v>
          </cell>
        </row>
        <row r="48">
          <cell r="A48" t="str">
            <v>Santa Cruz</v>
          </cell>
          <cell r="B48">
            <v>44</v>
          </cell>
          <cell r="C48">
            <v>1422</v>
          </cell>
          <cell r="D48">
            <v>1522</v>
          </cell>
          <cell r="E48">
            <v>1830</v>
          </cell>
          <cell r="F48">
            <v>2112</v>
          </cell>
          <cell r="G48">
            <v>2356</v>
          </cell>
          <cell r="H48">
            <v>2600</v>
          </cell>
        </row>
        <row r="49">
          <cell r="A49" t="str">
            <v>Shasta</v>
          </cell>
          <cell r="B49">
            <v>45</v>
          </cell>
          <cell r="C49">
            <v>922</v>
          </cell>
          <cell r="D49">
            <v>988</v>
          </cell>
          <cell r="E49">
            <v>1184</v>
          </cell>
          <cell r="F49">
            <v>1370</v>
          </cell>
          <cell r="G49">
            <v>1526</v>
          </cell>
          <cell r="H49">
            <v>1686</v>
          </cell>
        </row>
        <row r="50">
          <cell r="A50" t="str">
            <v>Sierra</v>
          </cell>
          <cell r="B50">
            <v>46</v>
          </cell>
          <cell r="C50">
            <v>902</v>
          </cell>
          <cell r="D50">
            <v>966</v>
          </cell>
          <cell r="E50">
            <v>1160</v>
          </cell>
          <cell r="F50">
            <v>1338</v>
          </cell>
          <cell r="G50">
            <v>1492</v>
          </cell>
          <cell r="H50">
            <v>1648</v>
          </cell>
        </row>
        <row r="51">
          <cell r="A51" t="str">
            <v>Siskiyou</v>
          </cell>
          <cell r="B51">
            <v>47</v>
          </cell>
          <cell r="C51">
            <v>902</v>
          </cell>
          <cell r="D51">
            <v>966</v>
          </cell>
          <cell r="E51">
            <v>1160</v>
          </cell>
          <cell r="F51">
            <v>1338</v>
          </cell>
          <cell r="G51">
            <v>1492</v>
          </cell>
          <cell r="H51">
            <v>1648</v>
          </cell>
        </row>
        <row r="52">
          <cell r="A52" t="str">
            <v>Solano</v>
          </cell>
          <cell r="B52">
            <v>48</v>
          </cell>
          <cell r="C52">
            <v>1320</v>
          </cell>
          <cell r="D52">
            <v>1412</v>
          </cell>
          <cell r="E52">
            <v>1696</v>
          </cell>
          <cell r="F52">
            <v>1960</v>
          </cell>
          <cell r="G52">
            <v>2186</v>
          </cell>
          <cell r="H52">
            <v>2412</v>
          </cell>
        </row>
        <row r="53">
          <cell r="A53" t="str">
            <v>Sonoma</v>
          </cell>
          <cell r="B53">
            <v>49</v>
          </cell>
          <cell r="C53">
            <v>1314</v>
          </cell>
          <cell r="D53">
            <v>1408</v>
          </cell>
          <cell r="E53">
            <v>1690</v>
          </cell>
          <cell r="F53">
            <v>1952</v>
          </cell>
          <cell r="G53">
            <v>2176</v>
          </cell>
          <cell r="H53">
            <v>2402</v>
          </cell>
        </row>
        <row r="54">
          <cell r="A54" t="str">
            <v>Stanislaus</v>
          </cell>
          <cell r="B54">
            <v>50</v>
          </cell>
          <cell r="C54">
            <v>980</v>
          </cell>
          <cell r="D54">
            <v>1050</v>
          </cell>
          <cell r="E54">
            <v>1260</v>
          </cell>
          <cell r="F54">
            <v>1456</v>
          </cell>
          <cell r="G54">
            <v>1624</v>
          </cell>
          <cell r="H54">
            <v>1790</v>
          </cell>
        </row>
        <row r="55">
          <cell r="A55" t="str">
            <v>Sutter</v>
          </cell>
          <cell r="B55">
            <v>51</v>
          </cell>
          <cell r="C55">
            <v>904</v>
          </cell>
          <cell r="D55">
            <v>970</v>
          </cell>
          <cell r="E55">
            <v>1162</v>
          </cell>
          <cell r="F55">
            <v>1342</v>
          </cell>
          <cell r="G55">
            <v>1500</v>
          </cell>
          <cell r="H55">
            <v>1652</v>
          </cell>
        </row>
        <row r="56">
          <cell r="A56" t="str">
            <v>Tehama</v>
          </cell>
          <cell r="B56">
            <v>52</v>
          </cell>
          <cell r="C56">
            <v>902</v>
          </cell>
          <cell r="D56">
            <v>966</v>
          </cell>
          <cell r="E56">
            <v>1160</v>
          </cell>
          <cell r="F56">
            <v>1338</v>
          </cell>
          <cell r="G56">
            <v>1492</v>
          </cell>
          <cell r="H56">
            <v>1648</v>
          </cell>
        </row>
        <row r="57">
          <cell r="A57" t="str">
            <v>Trinity</v>
          </cell>
          <cell r="B57">
            <v>53</v>
          </cell>
          <cell r="C57">
            <v>902</v>
          </cell>
          <cell r="D57">
            <v>966</v>
          </cell>
          <cell r="E57">
            <v>1160</v>
          </cell>
          <cell r="F57">
            <v>1338</v>
          </cell>
          <cell r="G57">
            <v>1492</v>
          </cell>
          <cell r="H57">
            <v>1648</v>
          </cell>
        </row>
        <row r="58">
          <cell r="A58" t="str">
            <v>Tulare</v>
          </cell>
          <cell r="B58">
            <v>54</v>
          </cell>
          <cell r="C58">
            <v>902</v>
          </cell>
          <cell r="D58">
            <v>966</v>
          </cell>
          <cell r="E58">
            <v>1160</v>
          </cell>
          <cell r="F58">
            <v>1338</v>
          </cell>
          <cell r="G58">
            <v>1492</v>
          </cell>
          <cell r="H58">
            <v>1648</v>
          </cell>
        </row>
        <row r="59">
          <cell r="A59" t="str">
            <v>Tuolomne</v>
          </cell>
          <cell r="B59">
            <v>55</v>
          </cell>
          <cell r="C59">
            <v>962</v>
          </cell>
          <cell r="D59">
            <v>1030</v>
          </cell>
          <cell r="E59">
            <v>1236</v>
          </cell>
          <cell r="F59">
            <v>1430</v>
          </cell>
          <cell r="G59">
            <v>1594</v>
          </cell>
          <cell r="H59">
            <v>1760</v>
          </cell>
        </row>
        <row r="60">
          <cell r="A60" t="str">
            <v>Ventura</v>
          </cell>
          <cell r="B60">
            <v>56</v>
          </cell>
          <cell r="C60">
            <v>1500</v>
          </cell>
          <cell r="D60">
            <v>1606</v>
          </cell>
          <cell r="E60">
            <v>1926</v>
          </cell>
          <cell r="F60">
            <v>2228</v>
          </cell>
          <cell r="G60">
            <v>2484</v>
          </cell>
          <cell r="H60">
            <v>2742</v>
          </cell>
        </row>
        <row r="61">
          <cell r="A61" t="str">
            <v>Yolo</v>
          </cell>
          <cell r="B61">
            <v>57</v>
          </cell>
          <cell r="C61">
            <v>1150</v>
          </cell>
          <cell r="D61">
            <v>1232</v>
          </cell>
          <cell r="E61">
            <v>1476</v>
          </cell>
          <cell r="F61">
            <v>1708</v>
          </cell>
          <cell r="G61">
            <v>1904</v>
          </cell>
          <cell r="H61">
            <v>2102</v>
          </cell>
        </row>
        <row r="62">
          <cell r="A62" t="str">
            <v>Yuba</v>
          </cell>
          <cell r="B62">
            <v>58</v>
          </cell>
          <cell r="C62">
            <v>904</v>
          </cell>
          <cell r="D62">
            <v>970</v>
          </cell>
          <cell r="E62">
            <v>1162</v>
          </cell>
          <cell r="F62">
            <v>1342</v>
          </cell>
          <cell r="G62">
            <v>1500</v>
          </cell>
          <cell r="H62">
            <v>1652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ow r="5">
          <cell r="A5" t="str">
            <v>Alameda</v>
          </cell>
          <cell r="B5" t="str">
            <v>01</v>
          </cell>
          <cell r="C5">
            <v>1466</v>
          </cell>
          <cell r="D5">
            <v>1570</v>
          </cell>
          <cell r="E5">
            <v>1884</v>
          </cell>
          <cell r="F5">
            <v>2178</v>
          </cell>
          <cell r="G5">
            <v>2430</v>
          </cell>
          <cell r="H5">
            <v>2680</v>
          </cell>
        </row>
        <row r="6">
          <cell r="A6" t="str">
            <v>Alpine</v>
          </cell>
          <cell r="B6" t="str">
            <v>02</v>
          </cell>
          <cell r="C6">
            <v>1152</v>
          </cell>
          <cell r="D6">
            <v>1232</v>
          </cell>
          <cell r="E6">
            <v>1480</v>
          </cell>
          <cell r="F6">
            <v>1710</v>
          </cell>
          <cell r="G6">
            <v>1906</v>
          </cell>
          <cell r="H6">
            <v>2106</v>
          </cell>
        </row>
        <row r="7">
          <cell r="A7" t="str">
            <v>Amador</v>
          </cell>
          <cell r="B7" t="str">
            <v>03</v>
          </cell>
          <cell r="C7">
            <v>1114</v>
          </cell>
          <cell r="D7">
            <v>1194</v>
          </cell>
          <cell r="E7">
            <v>1432</v>
          </cell>
          <cell r="F7">
            <v>1656</v>
          </cell>
          <cell r="G7">
            <v>1846</v>
          </cell>
          <cell r="H7">
            <v>1974</v>
          </cell>
        </row>
        <row r="8">
          <cell r="A8" t="str">
            <v>Butte</v>
          </cell>
          <cell r="B8" t="str">
            <v>04</v>
          </cell>
          <cell r="C8">
            <v>910</v>
          </cell>
          <cell r="D8">
            <v>974</v>
          </cell>
          <cell r="E8">
            <v>1170</v>
          </cell>
          <cell r="F8">
            <v>1352</v>
          </cell>
          <cell r="G8">
            <v>1506</v>
          </cell>
          <cell r="H8">
            <v>1662</v>
          </cell>
        </row>
        <row r="9">
          <cell r="A9" t="str">
            <v>Calaveras</v>
          </cell>
          <cell r="B9" t="str">
            <v>05</v>
          </cell>
          <cell r="C9">
            <v>1030</v>
          </cell>
          <cell r="D9">
            <v>1102</v>
          </cell>
          <cell r="E9">
            <v>1324</v>
          </cell>
          <cell r="F9">
            <v>1530</v>
          </cell>
          <cell r="G9">
            <v>1706</v>
          </cell>
          <cell r="H9">
            <v>1882</v>
          </cell>
        </row>
        <row r="10">
          <cell r="A10" t="str">
            <v>Colusa</v>
          </cell>
          <cell r="B10" t="str">
            <v>06</v>
          </cell>
          <cell r="C10">
            <v>902</v>
          </cell>
          <cell r="D10">
            <v>966</v>
          </cell>
          <cell r="E10">
            <v>1160</v>
          </cell>
          <cell r="F10">
            <v>1338</v>
          </cell>
          <cell r="G10">
            <v>1492</v>
          </cell>
          <cell r="H10">
            <v>1648</v>
          </cell>
        </row>
        <row r="11">
          <cell r="A11" t="str">
            <v>Contra Costa</v>
          </cell>
          <cell r="B11" t="str">
            <v>07</v>
          </cell>
          <cell r="C11">
            <v>1466</v>
          </cell>
          <cell r="D11">
            <v>1570</v>
          </cell>
          <cell r="E11">
            <v>1884</v>
          </cell>
          <cell r="F11">
            <v>2178</v>
          </cell>
          <cell r="G11">
            <v>2430</v>
          </cell>
          <cell r="H11">
            <v>2680</v>
          </cell>
        </row>
        <row r="12">
          <cell r="A12" t="str">
            <v>Del Norte</v>
          </cell>
          <cell r="B12" t="str">
            <v>08</v>
          </cell>
          <cell r="C12">
            <v>902</v>
          </cell>
          <cell r="D12">
            <v>966</v>
          </cell>
          <cell r="E12">
            <v>1160</v>
          </cell>
          <cell r="F12">
            <v>1338</v>
          </cell>
          <cell r="G12">
            <v>1492</v>
          </cell>
          <cell r="H12">
            <v>1648</v>
          </cell>
        </row>
        <row r="13">
          <cell r="A13" t="str">
            <v>El Dorado</v>
          </cell>
          <cell r="B13" t="str">
            <v>09</v>
          </cell>
          <cell r="C13">
            <v>1174</v>
          </cell>
          <cell r="D13">
            <v>1260</v>
          </cell>
          <cell r="E13">
            <v>1512</v>
          </cell>
          <cell r="F13">
            <v>1746</v>
          </cell>
          <cell r="G13">
            <v>1950</v>
          </cell>
          <cell r="H13">
            <v>2150</v>
          </cell>
        </row>
        <row r="14">
          <cell r="A14" t="str">
            <v>Fresno</v>
          </cell>
          <cell r="B14" t="str">
            <v>10</v>
          </cell>
          <cell r="C14">
            <v>902</v>
          </cell>
          <cell r="D14">
            <v>966</v>
          </cell>
          <cell r="E14">
            <v>1160</v>
          </cell>
          <cell r="F14">
            <v>1338</v>
          </cell>
          <cell r="G14">
            <v>1492</v>
          </cell>
          <cell r="H14">
            <v>1648</v>
          </cell>
        </row>
        <row r="15">
          <cell r="A15" t="str">
            <v>Glenn</v>
          </cell>
          <cell r="B15" t="str">
            <v>11</v>
          </cell>
          <cell r="C15">
            <v>902</v>
          </cell>
          <cell r="D15">
            <v>966</v>
          </cell>
          <cell r="E15">
            <v>1160</v>
          </cell>
          <cell r="F15">
            <v>1338</v>
          </cell>
          <cell r="G15">
            <v>1492</v>
          </cell>
          <cell r="H15">
            <v>1648</v>
          </cell>
        </row>
        <row r="16">
          <cell r="A16" t="str">
            <v>Humboldt</v>
          </cell>
          <cell r="B16" t="str">
            <v>12</v>
          </cell>
          <cell r="C16">
            <v>902</v>
          </cell>
          <cell r="D16">
            <v>966</v>
          </cell>
          <cell r="E16">
            <v>1160</v>
          </cell>
          <cell r="F16">
            <v>1338</v>
          </cell>
          <cell r="G16">
            <v>1492</v>
          </cell>
          <cell r="H16">
            <v>1648</v>
          </cell>
        </row>
        <row r="17">
          <cell r="A17" t="str">
            <v>Imperial</v>
          </cell>
          <cell r="B17">
            <v>13</v>
          </cell>
          <cell r="C17">
            <v>902</v>
          </cell>
          <cell r="D17">
            <v>966</v>
          </cell>
          <cell r="E17">
            <v>1160</v>
          </cell>
          <cell r="F17">
            <v>1338</v>
          </cell>
          <cell r="G17">
            <v>1492</v>
          </cell>
          <cell r="H17">
            <v>1648</v>
          </cell>
        </row>
        <row r="18">
          <cell r="A18" t="str">
            <v>Inyo</v>
          </cell>
          <cell r="B18">
            <v>14</v>
          </cell>
          <cell r="C18">
            <v>962</v>
          </cell>
          <cell r="D18">
            <v>1030</v>
          </cell>
          <cell r="E18">
            <v>1236</v>
          </cell>
          <cell r="F18">
            <v>1430</v>
          </cell>
          <cell r="G18">
            <v>1594</v>
          </cell>
          <cell r="H18">
            <v>1760</v>
          </cell>
        </row>
        <row r="19">
          <cell r="A19" t="str">
            <v>Kern</v>
          </cell>
          <cell r="B19">
            <v>15</v>
          </cell>
          <cell r="C19">
            <v>902</v>
          </cell>
          <cell r="D19">
            <v>966</v>
          </cell>
          <cell r="E19">
            <v>1160</v>
          </cell>
          <cell r="F19">
            <v>1338</v>
          </cell>
          <cell r="G19">
            <v>1492</v>
          </cell>
          <cell r="H19">
            <v>1648</v>
          </cell>
        </row>
        <row r="20">
          <cell r="A20" t="str">
            <v>Kings</v>
          </cell>
          <cell r="B20">
            <v>16</v>
          </cell>
          <cell r="C20">
            <v>902</v>
          </cell>
          <cell r="D20">
            <v>966</v>
          </cell>
          <cell r="E20">
            <v>1160</v>
          </cell>
          <cell r="F20">
            <v>1338</v>
          </cell>
          <cell r="G20">
            <v>1492</v>
          </cell>
          <cell r="H20">
            <v>1648</v>
          </cell>
        </row>
        <row r="21">
          <cell r="A21" t="str">
            <v>Lake</v>
          </cell>
          <cell r="B21">
            <v>17</v>
          </cell>
          <cell r="C21">
            <v>902</v>
          </cell>
          <cell r="D21">
            <v>966</v>
          </cell>
          <cell r="E21">
            <v>1160</v>
          </cell>
          <cell r="F21">
            <v>1338</v>
          </cell>
          <cell r="G21">
            <v>1492</v>
          </cell>
          <cell r="H21">
            <v>1648</v>
          </cell>
        </row>
        <row r="22">
          <cell r="A22" t="str">
            <v>Lassen</v>
          </cell>
          <cell r="B22">
            <v>18</v>
          </cell>
          <cell r="C22">
            <v>930</v>
          </cell>
          <cell r="D22">
            <v>996</v>
          </cell>
          <cell r="E22">
            <v>1196</v>
          </cell>
          <cell r="F22">
            <v>1382</v>
          </cell>
          <cell r="G22">
            <v>1542</v>
          </cell>
          <cell r="H22">
            <v>1702</v>
          </cell>
        </row>
        <row r="23">
          <cell r="A23" t="str">
            <v>Los Angeles</v>
          </cell>
          <cell r="B23">
            <v>19</v>
          </cell>
          <cell r="C23">
            <v>1294</v>
          </cell>
          <cell r="D23">
            <v>1386</v>
          </cell>
          <cell r="E23">
            <v>1664</v>
          </cell>
          <cell r="F23">
            <v>1922</v>
          </cell>
          <cell r="G23">
            <v>2144</v>
          </cell>
          <cell r="H23">
            <v>2368</v>
          </cell>
        </row>
        <row r="24">
          <cell r="A24" t="str">
            <v>Madera</v>
          </cell>
          <cell r="B24">
            <v>20</v>
          </cell>
          <cell r="C24">
            <v>902</v>
          </cell>
          <cell r="D24">
            <v>966</v>
          </cell>
          <cell r="E24">
            <v>1160</v>
          </cell>
          <cell r="F24">
            <v>1338</v>
          </cell>
          <cell r="G24">
            <v>1492</v>
          </cell>
          <cell r="H24">
            <v>1648</v>
          </cell>
        </row>
        <row r="25">
          <cell r="A25" t="str">
            <v>Marin</v>
          </cell>
          <cell r="B25">
            <v>21</v>
          </cell>
          <cell r="C25">
            <v>1980</v>
          </cell>
          <cell r="D25">
            <v>2120</v>
          </cell>
          <cell r="E25">
            <v>2544</v>
          </cell>
          <cell r="F25">
            <v>2940</v>
          </cell>
          <cell r="G25">
            <v>3280</v>
          </cell>
          <cell r="H25">
            <v>3618</v>
          </cell>
        </row>
        <row r="26">
          <cell r="A26" t="str">
            <v>Mariposa</v>
          </cell>
          <cell r="B26">
            <v>22</v>
          </cell>
          <cell r="C26">
            <v>906</v>
          </cell>
          <cell r="D26">
            <v>970</v>
          </cell>
          <cell r="E26">
            <v>1164</v>
          </cell>
          <cell r="F26">
            <v>1346</v>
          </cell>
          <cell r="G26">
            <v>1502</v>
          </cell>
          <cell r="H26">
            <v>1656</v>
          </cell>
        </row>
        <row r="27">
          <cell r="A27" t="str">
            <v>Mendocino</v>
          </cell>
          <cell r="B27">
            <v>23</v>
          </cell>
          <cell r="C27">
            <v>902</v>
          </cell>
          <cell r="D27">
            <v>966</v>
          </cell>
          <cell r="E27">
            <v>1160</v>
          </cell>
          <cell r="F27">
            <v>1338</v>
          </cell>
          <cell r="G27">
            <v>1492</v>
          </cell>
          <cell r="H27">
            <v>1648</v>
          </cell>
        </row>
        <row r="28">
          <cell r="A28" t="str">
            <v>Merced</v>
          </cell>
          <cell r="B28">
            <v>24</v>
          </cell>
          <cell r="C28">
            <v>902</v>
          </cell>
          <cell r="D28">
            <v>966</v>
          </cell>
          <cell r="E28">
            <v>1160</v>
          </cell>
          <cell r="F28">
            <v>1338</v>
          </cell>
          <cell r="G28">
            <v>1492</v>
          </cell>
          <cell r="H28">
            <v>1648</v>
          </cell>
        </row>
        <row r="29">
          <cell r="A29" t="str">
            <v>Modoc</v>
          </cell>
          <cell r="B29">
            <v>25</v>
          </cell>
          <cell r="C29">
            <v>902</v>
          </cell>
          <cell r="D29">
            <v>966</v>
          </cell>
          <cell r="E29">
            <v>1160</v>
          </cell>
          <cell r="F29">
            <v>1338</v>
          </cell>
          <cell r="G29">
            <v>1492</v>
          </cell>
          <cell r="H29">
            <v>1648</v>
          </cell>
        </row>
        <row r="30">
          <cell r="A30" t="str">
            <v>Mono</v>
          </cell>
          <cell r="B30">
            <v>26</v>
          </cell>
          <cell r="C30">
            <v>1122</v>
          </cell>
          <cell r="D30">
            <v>1202</v>
          </cell>
          <cell r="E30">
            <v>1444</v>
          </cell>
          <cell r="F30">
            <v>1668</v>
          </cell>
          <cell r="G30">
            <v>1862</v>
          </cell>
          <cell r="H30">
            <v>2052</v>
          </cell>
        </row>
        <row r="31">
          <cell r="A31" t="str">
            <v>Monterey</v>
          </cell>
          <cell r="B31">
            <v>27</v>
          </cell>
          <cell r="C31">
            <v>1130</v>
          </cell>
          <cell r="D31">
            <v>1210</v>
          </cell>
          <cell r="E31">
            <v>1452</v>
          </cell>
          <cell r="F31">
            <v>1676</v>
          </cell>
          <cell r="G31">
            <v>1870</v>
          </cell>
          <cell r="H31">
            <v>2062</v>
          </cell>
        </row>
        <row r="32">
          <cell r="A32" t="str">
            <v>Napa</v>
          </cell>
          <cell r="B32" t="str">
            <v>28</v>
          </cell>
          <cell r="C32">
            <v>1326</v>
          </cell>
          <cell r="D32">
            <v>1420</v>
          </cell>
          <cell r="E32">
            <v>1704</v>
          </cell>
          <cell r="F32">
            <v>1970</v>
          </cell>
          <cell r="G32">
            <v>2196</v>
          </cell>
          <cell r="H32">
            <v>2426</v>
          </cell>
        </row>
        <row r="33">
          <cell r="A33" t="str">
            <v>Nevada</v>
          </cell>
          <cell r="B33">
            <v>29</v>
          </cell>
          <cell r="C33">
            <v>1140</v>
          </cell>
          <cell r="D33">
            <v>1220</v>
          </cell>
          <cell r="E33">
            <v>1464</v>
          </cell>
          <cell r="F33">
            <v>1692</v>
          </cell>
          <cell r="G33">
            <v>1886</v>
          </cell>
          <cell r="H33">
            <v>2082</v>
          </cell>
        </row>
        <row r="34">
          <cell r="A34" t="str">
            <v>Orange</v>
          </cell>
          <cell r="B34">
            <v>30</v>
          </cell>
          <cell r="C34">
            <v>1514</v>
          </cell>
          <cell r="D34">
            <v>1622</v>
          </cell>
          <cell r="E34">
            <v>1946</v>
          </cell>
          <cell r="F34">
            <v>2250</v>
          </cell>
          <cell r="G34">
            <v>2512</v>
          </cell>
          <cell r="H34">
            <v>2770</v>
          </cell>
        </row>
        <row r="35">
          <cell r="A35" t="str">
            <v>Placer</v>
          </cell>
          <cell r="B35">
            <v>31</v>
          </cell>
          <cell r="C35">
            <v>1174</v>
          </cell>
          <cell r="D35">
            <v>1260</v>
          </cell>
          <cell r="E35">
            <v>1512</v>
          </cell>
          <cell r="F35">
            <v>1746</v>
          </cell>
          <cell r="G35">
            <v>1950</v>
          </cell>
          <cell r="H35">
            <v>2150</v>
          </cell>
        </row>
        <row r="36">
          <cell r="A36" t="str">
            <v>Plumas</v>
          </cell>
          <cell r="B36">
            <v>32</v>
          </cell>
          <cell r="C36">
            <v>990</v>
          </cell>
          <cell r="D36">
            <v>1060</v>
          </cell>
          <cell r="E36">
            <v>1272</v>
          </cell>
          <cell r="F36">
            <v>1470</v>
          </cell>
          <cell r="G36">
            <v>1642</v>
          </cell>
          <cell r="H36">
            <v>1810</v>
          </cell>
        </row>
        <row r="37">
          <cell r="A37" t="str">
            <v>Riverside</v>
          </cell>
          <cell r="B37">
            <v>33</v>
          </cell>
          <cell r="C37">
            <v>1034</v>
          </cell>
          <cell r="D37">
            <v>1110</v>
          </cell>
          <cell r="E37">
            <v>1332</v>
          </cell>
          <cell r="F37">
            <v>1538</v>
          </cell>
          <cell r="G37">
            <v>1716</v>
          </cell>
          <cell r="H37">
            <v>1892</v>
          </cell>
        </row>
        <row r="38">
          <cell r="A38" t="str">
            <v>Sacramento</v>
          </cell>
          <cell r="B38">
            <v>34</v>
          </cell>
          <cell r="C38">
            <v>1174</v>
          </cell>
          <cell r="D38">
            <v>1260</v>
          </cell>
          <cell r="E38">
            <v>1512</v>
          </cell>
          <cell r="F38">
            <v>1746</v>
          </cell>
          <cell r="G38">
            <v>1950</v>
          </cell>
          <cell r="H38">
            <v>2150</v>
          </cell>
        </row>
        <row r="39">
          <cell r="A39" t="str">
            <v>San Benito</v>
          </cell>
          <cell r="B39">
            <v>35</v>
          </cell>
          <cell r="C39">
            <v>1306</v>
          </cell>
          <cell r="D39">
            <v>1400</v>
          </cell>
          <cell r="E39">
            <v>1680</v>
          </cell>
          <cell r="F39">
            <v>1942</v>
          </cell>
          <cell r="G39">
            <v>2166</v>
          </cell>
          <cell r="H39">
            <v>2390</v>
          </cell>
        </row>
        <row r="40">
          <cell r="A40" t="str">
            <v>San Bernardino</v>
          </cell>
          <cell r="B40">
            <v>36</v>
          </cell>
          <cell r="C40">
            <v>1034</v>
          </cell>
          <cell r="D40">
            <v>1110</v>
          </cell>
          <cell r="E40">
            <v>1332</v>
          </cell>
          <cell r="F40">
            <v>1538</v>
          </cell>
          <cell r="G40">
            <v>1716</v>
          </cell>
          <cell r="H40">
            <v>1892</v>
          </cell>
        </row>
        <row r="41">
          <cell r="A41" t="str">
            <v>San Diego</v>
          </cell>
          <cell r="B41">
            <v>37</v>
          </cell>
          <cell r="C41">
            <v>1226</v>
          </cell>
          <cell r="D41">
            <v>1316</v>
          </cell>
          <cell r="E41">
            <v>1580</v>
          </cell>
          <cell r="F41">
            <v>1824</v>
          </cell>
          <cell r="G41">
            <v>2034</v>
          </cell>
          <cell r="H41">
            <v>2246</v>
          </cell>
        </row>
        <row r="42">
          <cell r="A42" t="str">
            <v>San Francisco</v>
          </cell>
          <cell r="B42">
            <v>38</v>
          </cell>
          <cell r="C42">
            <v>1980</v>
          </cell>
          <cell r="D42">
            <v>2120</v>
          </cell>
          <cell r="E42">
            <v>2544</v>
          </cell>
          <cell r="F42">
            <v>2940</v>
          </cell>
          <cell r="G42">
            <v>3280</v>
          </cell>
          <cell r="H42">
            <v>3618</v>
          </cell>
        </row>
        <row r="43">
          <cell r="A43" t="str">
            <v>San Joaquin</v>
          </cell>
          <cell r="B43">
            <v>39</v>
          </cell>
          <cell r="C43">
            <v>1054</v>
          </cell>
          <cell r="D43">
            <v>1130</v>
          </cell>
          <cell r="E43">
            <v>1356</v>
          </cell>
          <cell r="F43">
            <v>1566</v>
          </cell>
          <cell r="G43">
            <v>1746</v>
          </cell>
          <cell r="H43">
            <v>1930</v>
          </cell>
        </row>
        <row r="44">
          <cell r="A44" t="str">
            <v>San Luis Obispo</v>
          </cell>
          <cell r="B44">
            <v>40</v>
          </cell>
          <cell r="C44">
            <v>1122</v>
          </cell>
          <cell r="D44">
            <v>1202</v>
          </cell>
          <cell r="E44">
            <v>1444</v>
          </cell>
          <cell r="F44">
            <v>1668</v>
          </cell>
          <cell r="G44">
            <v>1862</v>
          </cell>
          <cell r="H44">
            <v>2052</v>
          </cell>
        </row>
        <row r="45">
          <cell r="A45" t="str">
            <v>San Mateo</v>
          </cell>
          <cell r="B45">
            <v>41</v>
          </cell>
          <cell r="C45">
            <v>1980</v>
          </cell>
          <cell r="D45">
            <v>2120</v>
          </cell>
          <cell r="E45">
            <v>2544</v>
          </cell>
          <cell r="F45">
            <v>2940</v>
          </cell>
          <cell r="G45">
            <v>3280</v>
          </cell>
          <cell r="H45">
            <v>3618</v>
          </cell>
        </row>
        <row r="46">
          <cell r="A46" t="str">
            <v>Santa Barbara</v>
          </cell>
          <cell r="B46">
            <v>42</v>
          </cell>
          <cell r="C46">
            <v>1174</v>
          </cell>
          <cell r="D46">
            <v>1258</v>
          </cell>
          <cell r="E46">
            <v>1510</v>
          </cell>
          <cell r="F46">
            <v>1744</v>
          </cell>
          <cell r="G46">
            <v>1944</v>
          </cell>
          <cell r="H46">
            <v>2146</v>
          </cell>
        </row>
        <row r="47">
          <cell r="A47" t="str">
            <v>Santa Clara</v>
          </cell>
          <cell r="B47">
            <v>43</v>
          </cell>
          <cell r="C47">
            <v>1856</v>
          </cell>
          <cell r="D47">
            <v>1990</v>
          </cell>
          <cell r="E47">
            <v>2386</v>
          </cell>
          <cell r="F47">
            <v>2758</v>
          </cell>
          <cell r="G47">
            <v>3076</v>
          </cell>
          <cell r="H47">
            <v>3396</v>
          </cell>
        </row>
        <row r="48">
          <cell r="A48" t="str">
            <v>Santa Cruz</v>
          </cell>
          <cell r="B48">
            <v>44</v>
          </cell>
          <cell r="C48">
            <v>1422</v>
          </cell>
          <cell r="D48">
            <v>1522</v>
          </cell>
          <cell r="E48">
            <v>1830</v>
          </cell>
          <cell r="F48">
            <v>2112</v>
          </cell>
          <cell r="G48">
            <v>2356</v>
          </cell>
          <cell r="H48">
            <v>2600</v>
          </cell>
        </row>
        <row r="49">
          <cell r="A49" t="str">
            <v>Shasta</v>
          </cell>
          <cell r="B49">
            <v>45</v>
          </cell>
          <cell r="C49">
            <v>922</v>
          </cell>
          <cell r="D49">
            <v>988</v>
          </cell>
          <cell r="E49">
            <v>1184</v>
          </cell>
          <cell r="F49">
            <v>1370</v>
          </cell>
          <cell r="G49">
            <v>1526</v>
          </cell>
          <cell r="H49">
            <v>1686</v>
          </cell>
        </row>
        <row r="50">
          <cell r="A50" t="str">
            <v>Sierra</v>
          </cell>
          <cell r="B50">
            <v>46</v>
          </cell>
          <cell r="C50">
            <v>902</v>
          </cell>
          <cell r="D50">
            <v>966</v>
          </cell>
          <cell r="E50">
            <v>1160</v>
          </cell>
          <cell r="F50">
            <v>1338</v>
          </cell>
          <cell r="G50">
            <v>1492</v>
          </cell>
          <cell r="H50">
            <v>1648</v>
          </cell>
        </row>
        <row r="51">
          <cell r="A51" t="str">
            <v>Siskiyou</v>
          </cell>
          <cell r="B51">
            <v>47</v>
          </cell>
          <cell r="C51">
            <v>902</v>
          </cell>
          <cell r="D51">
            <v>966</v>
          </cell>
          <cell r="E51">
            <v>1160</v>
          </cell>
          <cell r="F51">
            <v>1338</v>
          </cell>
          <cell r="G51">
            <v>1492</v>
          </cell>
          <cell r="H51">
            <v>1648</v>
          </cell>
        </row>
        <row r="52">
          <cell r="A52" t="str">
            <v>Solano</v>
          </cell>
          <cell r="B52">
            <v>48</v>
          </cell>
          <cell r="C52">
            <v>1320</v>
          </cell>
          <cell r="D52">
            <v>1412</v>
          </cell>
          <cell r="E52">
            <v>1696</v>
          </cell>
          <cell r="F52">
            <v>1960</v>
          </cell>
          <cell r="G52">
            <v>2186</v>
          </cell>
          <cell r="H52">
            <v>2412</v>
          </cell>
        </row>
        <row r="53">
          <cell r="A53" t="str">
            <v>Sonoma</v>
          </cell>
          <cell r="B53">
            <v>49</v>
          </cell>
          <cell r="C53">
            <v>1314</v>
          </cell>
          <cell r="D53">
            <v>1408</v>
          </cell>
          <cell r="E53">
            <v>1690</v>
          </cell>
          <cell r="F53">
            <v>1952</v>
          </cell>
          <cell r="G53">
            <v>2176</v>
          </cell>
          <cell r="H53">
            <v>2402</v>
          </cell>
        </row>
        <row r="54">
          <cell r="A54" t="str">
            <v>Stanislaus</v>
          </cell>
          <cell r="B54">
            <v>50</v>
          </cell>
          <cell r="C54">
            <v>980</v>
          </cell>
          <cell r="D54">
            <v>1050</v>
          </cell>
          <cell r="E54">
            <v>1260</v>
          </cell>
          <cell r="F54">
            <v>1456</v>
          </cell>
          <cell r="G54">
            <v>1624</v>
          </cell>
          <cell r="H54">
            <v>1790</v>
          </cell>
        </row>
        <row r="55">
          <cell r="A55" t="str">
            <v>Sutter</v>
          </cell>
          <cell r="B55">
            <v>51</v>
          </cell>
          <cell r="C55">
            <v>904</v>
          </cell>
          <cell r="D55">
            <v>970</v>
          </cell>
          <cell r="E55">
            <v>1162</v>
          </cell>
          <cell r="F55">
            <v>1342</v>
          </cell>
          <cell r="G55">
            <v>1500</v>
          </cell>
          <cell r="H55">
            <v>1652</v>
          </cell>
        </row>
        <row r="56">
          <cell r="A56" t="str">
            <v>Tehama</v>
          </cell>
          <cell r="B56">
            <v>52</v>
          </cell>
          <cell r="C56">
            <v>902</v>
          </cell>
          <cell r="D56">
            <v>966</v>
          </cell>
          <cell r="E56">
            <v>1160</v>
          </cell>
          <cell r="F56">
            <v>1338</v>
          </cell>
          <cell r="G56">
            <v>1492</v>
          </cell>
          <cell r="H56">
            <v>1648</v>
          </cell>
        </row>
        <row r="57">
          <cell r="A57" t="str">
            <v>Trinity</v>
          </cell>
          <cell r="B57">
            <v>53</v>
          </cell>
          <cell r="C57">
            <v>902</v>
          </cell>
          <cell r="D57">
            <v>966</v>
          </cell>
          <cell r="E57">
            <v>1160</v>
          </cell>
          <cell r="F57">
            <v>1338</v>
          </cell>
          <cell r="G57">
            <v>1492</v>
          </cell>
          <cell r="H57">
            <v>1648</v>
          </cell>
        </row>
        <row r="58">
          <cell r="A58" t="str">
            <v>Tulare</v>
          </cell>
          <cell r="B58">
            <v>54</v>
          </cell>
          <cell r="C58">
            <v>902</v>
          </cell>
          <cell r="D58">
            <v>966</v>
          </cell>
          <cell r="E58">
            <v>1160</v>
          </cell>
          <cell r="F58">
            <v>1338</v>
          </cell>
          <cell r="G58">
            <v>1492</v>
          </cell>
          <cell r="H58">
            <v>1648</v>
          </cell>
        </row>
        <row r="59">
          <cell r="A59" t="str">
            <v>Tuolomne</v>
          </cell>
          <cell r="B59">
            <v>55</v>
          </cell>
          <cell r="C59">
            <v>962</v>
          </cell>
          <cell r="D59">
            <v>1030</v>
          </cell>
          <cell r="E59">
            <v>1236</v>
          </cell>
          <cell r="F59">
            <v>1430</v>
          </cell>
          <cell r="G59">
            <v>1594</v>
          </cell>
          <cell r="H59">
            <v>1760</v>
          </cell>
        </row>
        <row r="60">
          <cell r="A60" t="str">
            <v>Ventura</v>
          </cell>
          <cell r="B60">
            <v>56</v>
          </cell>
          <cell r="C60">
            <v>1500</v>
          </cell>
          <cell r="D60">
            <v>1606</v>
          </cell>
          <cell r="E60">
            <v>1926</v>
          </cell>
          <cell r="F60">
            <v>2228</v>
          </cell>
          <cell r="G60">
            <v>2484</v>
          </cell>
          <cell r="H60">
            <v>2742</v>
          </cell>
        </row>
        <row r="61">
          <cell r="A61" t="str">
            <v>Yolo</v>
          </cell>
          <cell r="B61">
            <v>57</v>
          </cell>
          <cell r="C61">
            <v>1150</v>
          </cell>
          <cell r="D61">
            <v>1232</v>
          </cell>
          <cell r="E61">
            <v>1476</v>
          </cell>
          <cell r="F61">
            <v>1708</v>
          </cell>
          <cell r="G61">
            <v>1904</v>
          </cell>
          <cell r="H61">
            <v>2102</v>
          </cell>
        </row>
        <row r="62">
          <cell r="A62" t="str">
            <v>Yuba</v>
          </cell>
          <cell r="B62">
            <v>58</v>
          </cell>
          <cell r="C62">
            <v>904</v>
          </cell>
          <cell r="D62">
            <v>970</v>
          </cell>
          <cell r="E62">
            <v>1162</v>
          </cell>
          <cell r="F62">
            <v>1342</v>
          </cell>
          <cell r="G62">
            <v>1500</v>
          </cell>
          <cell r="H62">
            <v>1652</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7" dataDxfId="16"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5" dataCellStyle="Normal 15">
      <calculatedColumnFormula>IFERROR(MIN(4,MATCH(Application!B714,UnitSizes,0)-1),"")</calculatedColumnFormula>
    </tableColumn>
    <tableColumn id="3" xr3:uid="{3C170205-C158-4CBB-8CF5-9AF725351349}" name="Quantity" dataDxfId="14" dataCellStyle="Normal 15">
      <calculatedColumnFormula>Application!G714</calculatedColumnFormula>
    </tableColumn>
    <tableColumn id="6" xr3:uid="{7C05B4DE-3AC1-47F3-9C25-D16553367CFA}" name="iAMI" dataDxfId="13" dataCellStyle="Percent">
      <calculatedColumnFormula>Application!AC714</calculatedColumnFormula>
    </tableColumn>
    <tableColumn id="7" xr3:uid="{2B6706B4-1A54-4104-A649-2FE0A4FF8E92}" name="AMI" dataDxfId="12" dataCellStyle="Percent">
      <calculatedColumnFormula>IF(Cdlac[[#This Row],[Quantity]]&gt;0,IF(Cdlac[[#This Row],[Federal]],30%,IF($G$36,40%,Cdlac[[#This Row],[iAMI]])),"")</calculatedColumnFormula>
    </tableColumn>
    <tableColumn id="8" xr3:uid="{A8EB42BE-4789-45EE-A11C-67C20CB0D91B}" name="Restricted Rent" dataDxfId="11" dataCellStyle="Normal 15">
      <calculatedColumnFormula array="1">IF(Cdlac[[#This Row],[Quantity]]&gt;0,INDEX(TcacRents,$P$18,Cdlac[[#This Row],[Bedrooms]]+1)*Cdlac[[#This Row],[AMI]],"")</calculatedColumnFormula>
    </tableColumn>
    <tableColumn id="9" xr3:uid="{E7AC364D-B07B-4A38-B74E-DAE64921E290}" name="Fair Market Rent" dataDxfId="10" dataCellStyle="Normal 15">
      <calculatedColumnFormula array="1">IF(Cdlac[[#This Row],[Quantity]]&gt;0,INDEX(HudFmrs,$P$18,Cdlac[[#This Row],[Bedrooms]]+1),"")</calculatedColumnFormula>
    </tableColumn>
    <tableColumn id="10" xr3:uid="{630C504C-0251-4207-88FB-451973BE380A}" name="Delta" dataDxfId="9" dataCellStyle="Normal 15">
      <calculatedColumnFormula>IF(Cdlac[[#This Row],[Quantity]]&gt;0,MAX(0,Cdlac[[#This Row],[Fair Market Rent]]-Cdlac[[#This Row],[Restricted Rent]]),"")</calculatedColumnFormula>
    </tableColumn>
    <tableColumn id="11" xr3:uid="{9C619E83-105C-4EED-A831-1DAB5BB5AC88}" name="Population" dataDxfId="8" dataCellStyle="Normal 15">
      <calculatedColumnFormula>IF(Cdlac[[#This Row],[Quantity]]&gt;0,AND(Application!AK714&lt;&gt;"N/A",Application!AK714&lt;&gt;"")*Cdlac[[#This Row],[Quantity]],"")</calculatedColumnFormula>
    </tableColumn>
    <tableColumn id="4" xr3:uid="{5D52F6BE-992B-4621-8785-ED1E8B62A78F}" name="Federal" dataDxfId="7"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7EEF4B-2D93-471C-9DAA-BBE3A81FCCCB}" name="Table2" displayName="Table2" ref="BM8:BM13" totalsRowShown="0" headerRowDxfId="6" dataDxfId="5" headerRowCellStyle="Normal 16 3" dataCellStyle="Normal 16 3">
  <autoFilter ref="BM8:BM13" xr:uid="{EC5E3245-E94C-4732-9264-A1FF7840F5A2}"/>
  <tableColumns count="1">
    <tableColumn id="1" xr3:uid="{65240E69-32D4-48CF-98F7-C12A61079F3B}" name="Construction Type" dataDxfId="4"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3/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treasurer.ca.gov/ctcac/2019/lra/contact.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zoomScaleNormal="100" zoomScaleSheetLayoutView="100" workbookViewId="0">
      <selection activeCell="A3" sqref="A3"/>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559</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2" t="s">
        <v>2432</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90"/>
    </row>
    <row r="8" spans="1:38">
      <c r="A8" s="218"/>
      <c r="B8" s="218"/>
      <c r="C8" s="219"/>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90"/>
    </row>
    <row r="9" spans="1:38">
      <c r="A9" s="218"/>
      <c r="B9" s="218"/>
      <c r="C9" s="219"/>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90"/>
    </row>
    <row r="10" spans="1:38">
      <c r="A10" s="218"/>
      <c r="B10" s="218"/>
      <c r="C10" s="219"/>
      <c r="D10" s="490"/>
      <c r="E10" s="490"/>
      <c r="F10" s="490"/>
      <c r="G10" s="490"/>
      <c r="H10" s="490"/>
      <c r="I10" s="490"/>
      <c r="J10" s="490"/>
      <c r="K10" s="490"/>
      <c r="L10" s="490"/>
      <c r="M10" s="490"/>
      <c r="N10" s="490"/>
      <c r="O10" s="490"/>
      <c r="P10" s="490"/>
      <c r="Q10" s="490"/>
      <c r="R10" s="490"/>
      <c r="S10" s="490"/>
      <c r="T10" s="490"/>
      <c r="U10" s="490"/>
      <c r="V10" s="490"/>
      <c r="W10" s="490"/>
      <c r="X10" s="490"/>
      <c r="Y10" s="490"/>
      <c r="Z10" s="490"/>
      <c r="AA10" s="490"/>
      <c r="AB10" s="490"/>
      <c r="AC10" s="490"/>
      <c r="AD10" s="490"/>
      <c r="AE10" s="490"/>
      <c r="AF10" s="490"/>
      <c r="AG10" s="490"/>
      <c r="AH10" s="490"/>
      <c r="AI10" s="490"/>
      <c r="AJ10" s="490"/>
      <c r="AK10" s="490"/>
      <c r="AL10" s="490"/>
    </row>
    <row r="11" spans="1:38" ht="12.95" customHeight="1">
      <c r="A11" s="218"/>
      <c r="B11" s="218"/>
      <c r="C11" s="219"/>
      <c r="D11" s="1262" t="s">
        <v>2433</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90"/>
    </row>
    <row r="12" spans="1:38">
      <c r="A12" s="218"/>
      <c r="B12" s="218"/>
      <c r="C12" s="219"/>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90"/>
    </row>
    <row r="13" spans="1:38">
      <c r="A13" s="218"/>
      <c r="B13" s="218"/>
      <c r="C13" s="219"/>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90"/>
    </row>
    <row r="14" spans="1:38" ht="13.15" customHeight="1">
      <c r="A14" s="218"/>
      <c r="B14" s="218"/>
      <c r="C14" s="219"/>
      <c r="E14" s="1262" t="s">
        <v>2434</v>
      </c>
      <c r="F14" s="1262"/>
      <c r="G14" s="1262"/>
      <c r="H14" s="1262"/>
      <c r="I14" s="1262"/>
      <c r="J14" s="1262"/>
      <c r="K14" s="1262"/>
      <c r="L14" s="1262"/>
      <c r="M14" s="1262"/>
      <c r="N14" s="1262"/>
      <c r="O14" s="1262"/>
      <c r="P14" s="1262"/>
      <c r="Q14" s="1262"/>
      <c r="R14" s="1262"/>
      <c r="S14" s="1262"/>
      <c r="T14" s="1262"/>
      <c r="U14" s="1262"/>
      <c r="V14" s="1262"/>
      <c r="W14" s="1262"/>
      <c r="X14" s="1262"/>
      <c r="Y14" s="1262"/>
      <c r="Z14" s="1262"/>
      <c r="AA14" s="1262"/>
      <c r="AB14" s="1262"/>
      <c r="AC14" s="1262"/>
      <c r="AD14" s="1262"/>
      <c r="AE14" s="1262"/>
      <c r="AF14" s="1262"/>
      <c r="AG14" s="1262"/>
      <c r="AH14" s="1262"/>
      <c r="AI14" s="1262"/>
      <c r="AJ14" s="1262"/>
      <c r="AK14" s="1262"/>
      <c r="AL14" s="490"/>
    </row>
    <row r="15" spans="1:38" ht="13.15" customHeight="1">
      <c r="A15" s="218"/>
      <c r="B15" s="218"/>
      <c r="C15" s="219"/>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90"/>
    </row>
    <row r="16" spans="1:38">
      <c r="A16" s="218"/>
      <c r="B16" s="218"/>
      <c r="C16" s="219"/>
      <c r="D16" s="490"/>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90"/>
    </row>
    <row r="17" spans="1:38">
      <c r="A17" s="218"/>
      <c r="B17" s="218"/>
      <c r="C17" s="219"/>
      <c r="D17" s="475"/>
      <c r="E17" s="475"/>
      <c r="F17" s="475"/>
      <c r="G17" s="475"/>
      <c r="H17" s="475"/>
      <c r="I17" s="475"/>
      <c r="J17" s="475"/>
      <c r="K17" s="475"/>
      <c r="L17" s="475"/>
      <c r="M17" s="475"/>
      <c r="N17" s="475"/>
      <c r="O17" s="475"/>
      <c r="P17" s="475"/>
      <c r="Q17" s="475"/>
      <c r="R17" s="475"/>
      <c r="S17" s="475"/>
      <c r="T17" s="475"/>
      <c r="U17" s="475"/>
      <c r="V17" s="475"/>
      <c r="W17" s="475"/>
      <c r="X17" s="475"/>
      <c r="Y17" s="475"/>
      <c r="Z17" s="475"/>
      <c r="AA17" s="475"/>
      <c r="AB17" s="475"/>
      <c r="AC17" s="475"/>
      <c r="AD17" s="475"/>
      <c r="AE17" s="475"/>
      <c r="AF17" s="475"/>
      <c r="AG17" s="475"/>
      <c r="AH17" s="475"/>
      <c r="AI17" s="475"/>
      <c r="AJ17" s="475"/>
      <c r="AK17" s="475"/>
      <c r="AL17" s="490"/>
    </row>
    <row r="18" spans="1:38" ht="13.15" customHeight="1">
      <c r="A18" s="218"/>
      <c r="B18" s="218"/>
      <c r="C18" s="219"/>
      <c r="D18" s="1262" t="s">
        <v>2435</v>
      </c>
      <c r="E18" s="1262"/>
      <c r="F18" s="1262"/>
      <c r="G18" s="1262"/>
      <c r="H18" s="1262"/>
      <c r="I18" s="1262"/>
      <c r="J18" s="1262"/>
      <c r="K18" s="1262"/>
      <c r="L18" s="1262"/>
      <c r="M18" s="1262"/>
      <c r="N18" s="1262"/>
      <c r="O18" s="1262"/>
      <c r="P18" s="1262"/>
      <c r="Q18" s="1262"/>
      <c r="R18" s="1262"/>
      <c r="S18" s="1262"/>
      <c r="T18" s="1262"/>
      <c r="U18" s="1262"/>
      <c r="V18" s="1262"/>
      <c r="W18" s="1262"/>
      <c r="X18" s="1262"/>
      <c r="Y18" s="1262"/>
      <c r="Z18" s="1262"/>
      <c r="AA18" s="1262"/>
      <c r="AB18" s="1262"/>
      <c r="AC18" s="1262"/>
      <c r="AD18" s="1262"/>
      <c r="AE18" s="1262"/>
      <c r="AF18" s="1262"/>
      <c r="AG18" s="1262"/>
      <c r="AH18" s="1262"/>
      <c r="AI18" s="1262"/>
      <c r="AJ18" s="1262"/>
      <c r="AK18" s="1262"/>
      <c r="AL18" s="218"/>
    </row>
    <row r="19" spans="1:38">
      <c r="A19" s="218"/>
      <c r="B19" s="218"/>
      <c r="C19" s="219"/>
      <c r="D19" s="1262"/>
      <c r="E19" s="1262"/>
      <c r="F19" s="1262"/>
      <c r="G19" s="1262"/>
      <c r="H19" s="1262"/>
      <c r="I19" s="1262"/>
      <c r="J19" s="1262"/>
      <c r="K19" s="1262"/>
      <c r="L19" s="1262"/>
      <c r="M19" s="1262"/>
      <c r="N19" s="1262"/>
      <c r="O19" s="1262"/>
      <c r="P19" s="1262"/>
      <c r="Q19" s="1262"/>
      <c r="R19" s="1262"/>
      <c r="S19" s="1262"/>
      <c r="T19" s="1262"/>
      <c r="U19" s="1262"/>
      <c r="V19" s="1262"/>
      <c r="W19" s="1262"/>
      <c r="X19" s="1262"/>
      <c r="Y19" s="1262"/>
      <c r="Z19" s="1262"/>
      <c r="AA19" s="1262"/>
      <c r="AB19" s="1262"/>
      <c r="AC19" s="1262"/>
      <c r="AD19" s="1262"/>
      <c r="AE19" s="1262"/>
      <c r="AF19" s="1262"/>
      <c r="AG19" s="1262"/>
      <c r="AH19" s="1262"/>
      <c r="AI19" s="1262"/>
      <c r="AJ19" s="1262"/>
      <c r="AK19" s="1262"/>
      <c r="AL19" s="218"/>
    </row>
    <row r="20" spans="1:38">
      <c r="A20" s="218"/>
      <c r="B20" s="218"/>
      <c r="C20" s="219"/>
      <c r="D20" s="1262"/>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18"/>
    </row>
    <row r="21" spans="1:38" ht="13.15" customHeight="1">
      <c r="A21" s="218"/>
      <c r="B21" s="218"/>
      <c r="C21" s="219"/>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18"/>
    </row>
    <row r="22" spans="1:38">
      <c r="A22" s="218"/>
      <c r="B22" s="218"/>
      <c r="C22" s="219"/>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18"/>
    </row>
    <row r="23" spans="1:38">
      <c r="A23" s="218"/>
      <c r="B23" s="218"/>
      <c r="C23" s="219"/>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18"/>
    </row>
    <row r="24" spans="1:38">
      <c r="A24" s="218"/>
      <c r="B24" s="218"/>
      <c r="C24" s="219"/>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18"/>
    </row>
    <row r="25" spans="1:38">
      <c r="A25" s="218"/>
      <c r="B25" s="218"/>
      <c r="C25" s="219"/>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18"/>
    </row>
    <row r="26" spans="1:38">
      <c r="A26" s="218"/>
      <c r="B26" s="218"/>
      <c r="C26" s="219"/>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18"/>
    </row>
    <row r="27" spans="1:38" ht="11.85" customHeight="1">
      <c r="A27" s="218"/>
      <c r="B27" s="218"/>
      <c r="C27" s="219"/>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18"/>
    </row>
    <row r="28" spans="1:38" ht="13.15" customHeight="1">
      <c r="A28" s="218"/>
      <c r="B28" s="218"/>
      <c r="C28" s="219"/>
      <c r="E28" s="1262" t="s">
        <v>2436</v>
      </c>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18"/>
    </row>
    <row r="29" spans="1:38" ht="13.15" customHeight="1">
      <c r="A29" s="218"/>
      <c r="B29" s="218"/>
      <c r="C29" s="219"/>
      <c r="E29" s="1262"/>
      <c r="F29" s="1262"/>
      <c r="G29" s="1262"/>
      <c r="H29" s="1262"/>
      <c r="I29" s="1262"/>
      <c r="J29" s="1262"/>
      <c r="K29" s="1262"/>
      <c r="L29" s="1262"/>
      <c r="M29" s="1262"/>
      <c r="N29" s="1262"/>
      <c r="O29" s="1262"/>
      <c r="P29" s="1262"/>
      <c r="Q29" s="1262"/>
      <c r="R29" s="1262"/>
      <c r="S29" s="1262"/>
      <c r="T29" s="1262"/>
      <c r="U29" s="1262"/>
      <c r="V29" s="1262"/>
      <c r="W29" s="1262"/>
      <c r="X29" s="1262"/>
      <c r="Y29" s="1262"/>
      <c r="Z29" s="1262"/>
      <c r="AA29" s="1262"/>
      <c r="AB29" s="1262"/>
      <c r="AC29" s="1262"/>
      <c r="AD29" s="1262"/>
      <c r="AE29" s="1262"/>
      <c r="AF29" s="1262"/>
      <c r="AG29" s="1262"/>
      <c r="AH29" s="1262"/>
      <c r="AI29" s="1262"/>
      <c r="AJ29" s="1262"/>
      <c r="AK29" s="1262"/>
      <c r="AL29" s="218"/>
    </row>
    <row r="30" spans="1:38">
      <c r="A30" s="218"/>
      <c r="B30" s="218"/>
      <c r="C30" s="219"/>
      <c r="D30" s="490"/>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18"/>
    </row>
    <row r="31" spans="1:38">
      <c r="A31" s="218"/>
      <c r="B31" s="218"/>
      <c r="C31" s="219"/>
      <c r="D31" s="490"/>
      <c r="E31" s="490"/>
      <c r="F31" s="490"/>
      <c r="G31" s="490"/>
      <c r="H31" s="490"/>
      <c r="I31" s="490"/>
      <c r="J31" s="490"/>
      <c r="K31" s="490"/>
      <c r="L31" s="490"/>
      <c r="M31" s="490"/>
      <c r="N31" s="490"/>
      <c r="O31" s="490"/>
      <c r="P31" s="490"/>
      <c r="Q31" s="490"/>
      <c r="R31" s="490"/>
      <c r="S31" s="490"/>
      <c r="T31" s="490"/>
      <c r="U31" s="490"/>
      <c r="V31" s="490"/>
      <c r="W31" s="490"/>
      <c r="X31" s="490"/>
      <c r="Y31" s="490"/>
      <c r="Z31" s="490"/>
      <c r="AA31" s="490"/>
      <c r="AB31" s="490"/>
      <c r="AC31" s="490"/>
      <c r="AD31" s="490"/>
      <c r="AE31" s="490"/>
      <c r="AF31" s="490"/>
      <c r="AG31" s="490"/>
      <c r="AH31" s="490"/>
      <c r="AI31" s="490"/>
      <c r="AJ31" s="490"/>
      <c r="AK31" s="490"/>
      <c r="AL31" s="218"/>
    </row>
    <row r="32" spans="1:38" ht="13.15" customHeight="1">
      <c r="A32" s="218"/>
      <c r="B32" s="218"/>
      <c r="C32" s="219"/>
      <c r="D32" s="1262" t="s">
        <v>2437</v>
      </c>
      <c r="E32" s="1262"/>
      <c r="F32" s="1262"/>
      <c r="G32" s="1262"/>
      <c r="H32" s="1262"/>
      <c r="I32" s="1262"/>
      <c r="J32" s="1262"/>
      <c r="K32" s="1262"/>
      <c r="L32" s="1262"/>
      <c r="M32" s="1262"/>
      <c r="N32" s="1262"/>
      <c r="O32" s="1262"/>
      <c r="P32" s="1262"/>
      <c r="Q32" s="1262"/>
      <c r="R32" s="1262"/>
      <c r="S32" s="1262"/>
      <c r="T32" s="1262"/>
      <c r="U32" s="1262"/>
      <c r="V32" s="1262"/>
      <c r="W32" s="1262"/>
      <c r="X32" s="1262"/>
      <c r="Y32" s="1262"/>
      <c r="Z32" s="1262"/>
      <c r="AA32" s="1262"/>
      <c r="AB32" s="1262"/>
      <c r="AC32" s="1262"/>
      <c r="AD32" s="1262"/>
      <c r="AE32" s="1262"/>
      <c r="AF32" s="1262"/>
      <c r="AG32" s="1262"/>
      <c r="AH32" s="1262"/>
      <c r="AI32" s="1262"/>
      <c r="AJ32" s="1262"/>
      <c r="AK32" s="1262"/>
      <c r="AL32" s="218"/>
    </row>
    <row r="33" spans="1:38">
      <c r="A33" s="218"/>
      <c r="B33" s="218"/>
      <c r="C33" s="219"/>
      <c r="D33" s="490"/>
      <c r="E33" s="1269" t="s">
        <v>2622</v>
      </c>
      <c r="F33" s="1270"/>
      <c r="G33" s="1270"/>
      <c r="H33" s="1270"/>
      <c r="I33" s="1270"/>
      <c r="J33" s="1270"/>
      <c r="K33" s="1270"/>
      <c r="L33" s="1270"/>
      <c r="M33" s="1270"/>
      <c r="N33" s="1270"/>
      <c r="O33" s="1270"/>
      <c r="P33" s="1270"/>
      <c r="Q33" s="1270"/>
      <c r="R33" s="1270"/>
      <c r="S33" s="1270"/>
      <c r="T33" s="1270"/>
      <c r="U33" s="1270"/>
      <c r="V33" s="1270"/>
      <c r="W33" s="1270"/>
      <c r="X33" s="1270"/>
      <c r="Y33" s="1270"/>
      <c r="Z33" s="1270"/>
      <c r="AA33" s="1270"/>
      <c r="AB33" s="1270"/>
      <c r="AC33" s="1270"/>
      <c r="AD33" s="1270"/>
      <c r="AE33" s="1270"/>
      <c r="AF33" s="1270"/>
      <c r="AG33" s="1270"/>
      <c r="AH33" s="1270"/>
      <c r="AI33" s="1270"/>
      <c r="AJ33" s="1270"/>
      <c r="AK33" s="1270"/>
      <c r="AL33" s="218"/>
    </row>
    <row r="34" spans="1:38">
      <c r="A34" s="4"/>
      <c r="C34" s="2"/>
    </row>
    <row r="35" spans="1:38">
      <c r="A35" s="4"/>
      <c r="D35" s="1263" t="s">
        <v>2617</v>
      </c>
      <c r="E35" s="1263"/>
      <c r="F35" s="1263"/>
      <c r="G35" s="1263"/>
      <c r="H35" s="1263"/>
      <c r="I35" s="1263"/>
      <c r="J35" s="1263"/>
      <c r="K35" s="1263"/>
      <c r="L35" s="1263"/>
      <c r="M35" s="1263"/>
      <c r="N35" s="1263"/>
      <c r="O35" s="1263"/>
      <c r="P35" s="1263"/>
      <c r="Q35" s="1263"/>
      <c r="R35" s="1263"/>
      <c r="S35" s="1263"/>
      <c r="T35" s="1263"/>
      <c r="U35" s="1263"/>
      <c r="V35" s="1263"/>
      <c r="W35" s="1263"/>
      <c r="X35" s="1263"/>
      <c r="Y35" s="1263"/>
      <c r="Z35" s="1263"/>
      <c r="AA35" s="1263"/>
      <c r="AB35" s="1263"/>
      <c r="AC35" s="1263"/>
      <c r="AD35" s="1263"/>
      <c r="AE35" s="1263"/>
      <c r="AF35" s="1263"/>
      <c r="AG35" s="1263"/>
      <c r="AH35" s="1263"/>
      <c r="AI35" s="1263"/>
      <c r="AJ35" s="1263"/>
      <c r="AK35" s="1263"/>
    </row>
    <row r="36" spans="1:38">
      <c r="A36" s="4"/>
      <c r="D36" s="1263"/>
      <c r="E36" s="1263"/>
      <c r="F36" s="1263"/>
      <c r="G36" s="1263"/>
      <c r="H36" s="1263"/>
      <c r="I36" s="1263"/>
      <c r="J36" s="1263"/>
      <c r="K36" s="1263"/>
      <c r="L36" s="1263"/>
      <c r="M36" s="1263"/>
      <c r="N36" s="1263"/>
      <c r="O36" s="1263"/>
      <c r="P36" s="1263"/>
      <c r="Q36" s="1263"/>
      <c r="R36" s="1263"/>
      <c r="S36" s="1263"/>
      <c r="T36" s="1263"/>
      <c r="U36" s="1263"/>
      <c r="V36" s="1263"/>
      <c r="W36" s="1263"/>
      <c r="X36" s="1263"/>
      <c r="Y36" s="1263"/>
      <c r="Z36" s="1263"/>
      <c r="AA36" s="1263"/>
      <c r="AB36" s="1263"/>
      <c r="AC36" s="1263"/>
      <c r="AD36" s="1263"/>
      <c r="AE36" s="1263"/>
      <c r="AF36" s="1263"/>
      <c r="AG36" s="1263"/>
      <c r="AH36" s="1263"/>
      <c r="AI36" s="1263"/>
      <c r="AJ36" s="1263"/>
      <c r="AK36" s="1263"/>
    </row>
    <row r="37" spans="1:38">
      <c r="A37" s="4"/>
      <c r="D37" s="120"/>
      <c r="E37" s="1268" t="s">
        <v>2444</v>
      </c>
      <c r="F37" s="1268"/>
      <c r="G37" s="1268"/>
      <c r="H37" s="1268"/>
      <c r="I37" s="1268"/>
      <c r="J37" s="1268"/>
      <c r="K37" s="1268"/>
      <c r="L37" s="1268"/>
      <c r="M37" s="1268"/>
      <c r="N37" s="1268"/>
      <c r="O37" s="1268"/>
      <c r="P37" s="1268"/>
      <c r="Q37" s="1268"/>
      <c r="R37" s="1268"/>
      <c r="S37" s="1268"/>
      <c r="T37" s="1268"/>
      <c r="U37" s="1268"/>
      <c r="V37" s="1268"/>
      <c r="W37" s="1268"/>
      <c r="X37" s="1268"/>
      <c r="Y37" s="1268"/>
      <c r="Z37" s="1268"/>
      <c r="AA37" s="1268"/>
      <c r="AB37" s="1268"/>
      <c r="AC37" s="1268"/>
      <c r="AD37" s="1268"/>
      <c r="AE37" s="1268"/>
      <c r="AF37" s="1268"/>
      <c r="AG37" s="1268"/>
      <c r="AH37" s="1268"/>
      <c r="AI37" s="1268"/>
      <c r="AJ37" s="1268"/>
      <c r="AK37" s="1268"/>
    </row>
    <row r="38" spans="1:38">
      <c r="A38" s="4"/>
      <c r="D38" s="120"/>
      <c r="E38" s="1268" t="s">
        <v>2445</v>
      </c>
      <c r="F38" s="1268"/>
      <c r="G38" s="1268"/>
      <c r="H38" s="1268"/>
      <c r="I38" s="1268"/>
      <c r="J38" s="1268"/>
      <c r="K38" s="1268"/>
      <c r="L38" s="1268"/>
      <c r="M38" s="1268"/>
      <c r="N38" s="1268"/>
      <c r="O38" s="1268"/>
      <c r="P38" s="1268"/>
      <c r="Q38" s="1268"/>
      <c r="R38" s="1268"/>
      <c r="S38" s="1268"/>
      <c r="T38" s="1268"/>
      <c r="U38" s="1268"/>
      <c r="V38" s="1268"/>
      <c r="W38" s="1268"/>
      <c r="X38" s="1268"/>
      <c r="Y38" s="1268"/>
      <c r="Z38" s="1268"/>
      <c r="AA38" s="1268"/>
      <c r="AB38" s="1268"/>
      <c r="AC38" s="1268"/>
      <c r="AD38" s="1268"/>
      <c r="AE38" s="1268"/>
      <c r="AF38" s="1268"/>
      <c r="AG38" s="1268"/>
      <c r="AH38" s="1268"/>
      <c r="AI38" s="1268"/>
      <c r="AJ38" s="1268"/>
      <c r="AK38" s="1268"/>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749</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113</v>
      </c>
      <c r="E41" s="4" t="s">
        <v>750</v>
      </c>
      <c r="F41" s="4"/>
      <c r="G41" s="4"/>
      <c r="H41" s="4"/>
      <c r="I41" s="4"/>
      <c r="J41" s="4"/>
      <c r="K41" s="4"/>
      <c r="L41" s="4"/>
      <c r="M41" s="4"/>
      <c r="N41" s="4"/>
      <c r="O41" s="4"/>
      <c r="P41" s="4"/>
      <c r="Q41" s="4"/>
      <c r="R41" s="4"/>
      <c r="S41" s="4"/>
      <c r="T41" s="4"/>
      <c r="U41" s="4"/>
      <c r="V41" s="4"/>
      <c r="W41" s="4"/>
      <c r="X41" s="4"/>
      <c r="Y41" s="4"/>
      <c r="Z41" s="4"/>
      <c r="AA41" s="4"/>
      <c r="AB41" s="4"/>
    </row>
    <row r="42" spans="1:38" s="1262" customFormat="1" ht="13.15" customHeight="1">
      <c r="A42" s="4"/>
      <c r="B42"/>
      <c r="C42" s="2"/>
      <c r="D42" s="4"/>
      <c r="E42" s="4" t="s">
        <v>662</v>
      </c>
      <c r="F42" s="1262" t="s">
        <v>1307</v>
      </c>
    </row>
    <row r="43" spans="1:38" s="1262" customFormat="1" ht="13.15" customHeight="1">
      <c r="A43" s="4"/>
      <c r="B43"/>
      <c r="C43" s="2"/>
      <c r="D43" s="4"/>
      <c r="E43" s="4"/>
    </row>
    <row r="44" spans="1:38">
      <c r="A44" s="4"/>
      <c r="C44" s="2"/>
      <c r="D44" s="4"/>
      <c r="E44" s="4"/>
      <c r="F44" s="35" t="s">
        <v>697</v>
      </c>
      <c r="G44" s="4" t="s">
        <v>176</v>
      </c>
      <c r="H44" s="490"/>
      <c r="I44" s="490"/>
      <c r="J44" s="490"/>
      <c r="K44" s="490"/>
      <c r="L44" s="490"/>
      <c r="M44" s="490"/>
      <c r="N44" s="490"/>
      <c r="O44" s="490"/>
      <c r="P44" s="490"/>
      <c r="Q44" s="490"/>
      <c r="R44" s="490"/>
      <c r="S44" s="490"/>
      <c r="T44" s="490"/>
      <c r="U44" s="490"/>
      <c r="V44" s="490"/>
      <c r="W44" s="490"/>
      <c r="X44" s="490"/>
      <c r="Y44" s="490"/>
      <c r="Z44" s="490"/>
      <c r="AA44" s="490"/>
      <c r="AB44" s="490"/>
      <c r="AC44" s="490"/>
      <c r="AD44" s="490"/>
      <c r="AE44" s="490"/>
      <c r="AF44" s="490"/>
      <c r="AG44" s="490"/>
      <c r="AH44" s="490"/>
      <c r="AI44" s="490"/>
      <c r="AJ44" s="490"/>
      <c r="AK44" s="490"/>
    </row>
    <row r="45" spans="1:38" s="118" customFormat="1" ht="13.15" customHeight="1">
      <c r="A45" s="4"/>
      <c r="B45"/>
      <c r="C45" s="2"/>
      <c r="D45" s="4"/>
      <c r="E45" s="3" t="s">
        <v>349</v>
      </c>
      <c r="F45" s="1266" t="s">
        <v>1402</v>
      </c>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s="118" customFormat="1">
      <c r="A46" s="4"/>
      <c r="B46"/>
      <c r="C46" s="2"/>
      <c r="D46" s="4"/>
      <c r="E46" s="4"/>
      <c r="F46" s="1266"/>
      <c r="G46" s="1266"/>
      <c r="H46" s="1266"/>
      <c r="I46" s="1266"/>
      <c r="J46" s="1266"/>
      <c r="K46" s="1266"/>
      <c r="L46" s="1266"/>
      <c r="M46" s="1266"/>
      <c r="N46" s="1266"/>
      <c r="O46" s="1266"/>
      <c r="P46" s="1266"/>
      <c r="Q46" s="1266"/>
      <c r="R46" s="1266"/>
      <c r="S46" s="1266"/>
      <c r="T46" s="1266"/>
      <c r="U46" s="1266"/>
      <c r="V46" s="1266"/>
      <c r="W46" s="1266"/>
      <c r="X46" s="1266"/>
      <c r="Y46" s="1266"/>
      <c r="Z46" s="1266"/>
      <c r="AA46" s="1266"/>
      <c r="AB46" s="1266"/>
      <c r="AC46" s="1266"/>
      <c r="AD46" s="1266"/>
      <c r="AE46" s="1266"/>
      <c r="AF46" s="1266"/>
      <c r="AG46" s="1266"/>
      <c r="AH46" s="1266"/>
      <c r="AI46" s="1266"/>
      <c r="AJ46" s="1266"/>
      <c r="AK46" s="1266"/>
      <c r="AL46" s="1266"/>
    </row>
    <row r="47" spans="1:38" s="118" customFormat="1" ht="13.15" customHeight="1">
      <c r="A47" s="4"/>
      <c r="B47"/>
      <c r="C47" s="2"/>
      <c r="D47" s="4"/>
      <c r="E47" s="4"/>
      <c r="F47" s="1266"/>
      <c r="G47" s="1266"/>
      <c r="H47" s="1266"/>
      <c r="I47" s="1266"/>
      <c r="J47" s="1266"/>
      <c r="K47" s="1266"/>
      <c r="L47" s="1266"/>
      <c r="M47" s="1266"/>
      <c r="N47" s="1266"/>
      <c r="O47" s="1266"/>
      <c r="P47" s="1266"/>
      <c r="Q47" s="1266"/>
      <c r="R47" s="1266"/>
      <c r="S47" s="1266"/>
      <c r="T47" s="1266"/>
      <c r="U47" s="1266"/>
      <c r="V47" s="1266"/>
      <c r="W47" s="1266"/>
      <c r="X47" s="1266"/>
      <c r="Y47" s="1266"/>
      <c r="Z47" s="1266"/>
      <c r="AA47" s="1266"/>
      <c r="AB47" s="1266"/>
      <c r="AC47" s="1266"/>
      <c r="AD47" s="1266"/>
      <c r="AE47" s="1266"/>
      <c r="AF47" s="1266"/>
      <c r="AG47" s="1266"/>
      <c r="AH47" s="1266"/>
      <c r="AI47" s="1266"/>
      <c r="AJ47" s="1266"/>
      <c r="AK47" s="1266"/>
      <c r="AL47" s="1266"/>
    </row>
    <row r="48" spans="1:38">
      <c r="A48" s="4"/>
      <c r="C48" s="2"/>
      <c r="D48" s="4"/>
      <c r="E48" s="4"/>
      <c r="F48" s="118" t="s">
        <v>697</v>
      </c>
      <c r="G48" s="3" t="s">
        <v>2438</v>
      </c>
      <c r="H48" s="512"/>
      <c r="I48" s="512"/>
      <c r="J48" s="512"/>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512"/>
      <c r="AL48" s="512"/>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2" t="s">
        <v>2439</v>
      </c>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row>
    <row r="52" spans="1:38">
      <c r="A52" s="4"/>
      <c r="C52" s="2"/>
      <c r="D52" s="4"/>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114</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1335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4" t="s">
        <v>1334</v>
      </c>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218"/>
    </row>
    <row r="57" spans="1:38" ht="13.15" customHeight="1">
      <c r="A57" s="218"/>
      <c r="B57" s="218"/>
      <c r="C57" s="219"/>
      <c r="D57" s="219"/>
      <c r="E57" s="218"/>
      <c r="F57" s="220"/>
      <c r="G57" s="513" t="s">
        <v>1336</v>
      </c>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8"/>
      <c r="AI57" s="488"/>
      <c r="AJ57" s="488"/>
      <c r="AK57" s="488"/>
      <c r="AL57" s="218"/>
    </row>
    <row r="58" spans="1:38">
      <c r="A58" s="218"/>
      <c r="B58" s="218"/>
      <c r="C58" s="219"/>
      <c r="D58" s="219"/>
      <c r="E58" s="218"/>
      <c r="F58" s="220"/>
      <c r="G58" s="1264" t="s">
        <v>584</v>
      </c>
      <c r="H58" s="1264"/>
      <c r="I58" s="1264"/>
      <c r="J58" s="487"/>
      <c r="K58" s="487"/>
      <c r="L58" s="487"/>
      <c r="M58" s="487"/>
      <c r="N58" s="487"/>
      <c r="O58" s="487"/>
      <c r="P58" s="487"/>
      <c r="Q58" s="487"/>
      <c r="R58" s="487"/>
      <c r="S58" s="487"/>
      <c r="T58" s="487"/>
      <c r="U58" s="487"/>
      <c r="V58" s="487"/>
      <c r="W58" s="487"/>
      <c r="X58" s="487"/>
      <c r="Y58" s="487"/>
      <c r="Z58" s="487"/>
      <c r="AA58" s="487"/>
      <c r="AB58" s="487"/>
      <c r="AC58" s="487"/>
      <c r="AD58" s="487"/>
      <c r="AE58" s="487"/>
      <c r="AF58" s="487"/>
      <c r="AG58" s="487"/>
      <c r="AH58" s="487"/>
      <c r="AI58" s="487"/>
      <c r="AJ58" s="487"/>
      <c r="AK58" s="487"/>
      <c r="AL58" s="218"/>
    </row>
    <row r="59" spans="1:38" ht="13.15" customHeight="1">
      <c r="A59" s="218"/>
      <c r="B59" s="219"/>
      <c r="C59" s="219"/>
      <c r="D59" s="219"/>
      <c r="E59" s="218"/>
      <c r="F59" s="220" t="s">
        <v>518</v>
      </c>
      <c r="G59" s="1264" t="s">
        <v>2440</v>
      </c>
      <c r="H59" s="1264"/>
      <c r="I59" s="1264"/>
      <c r="J59" s="1264"/>
      <c r="K59" s="1264"/>
      <c r="L59" s="1264"/>
      <c r="M59" s="1264"/>
      <c r="N59" s="1264"/>
      <c r="O59" s="1264"/>
      <c r="P59" s="1264"/>
      <c r="Q59" s="1264"/>
      <c r="R59" s="1264"/>
      <c r="S59" s="1264"/>
      <c r="T59" s="1264"/>
      <c r="U59" s="1264"/>
      <c r="V59" s="1264"/>
      <c r="W59" s="1264"/>
      <c r="X59" s="1264"/>
      <c r="Y59" s="1264"/>
      <c r="Z59" s="1264"/>
      <c r="AA59" s="1264"/>
      <c r="AB59" s="1264"/>
      <c r="AC59" s="1264"/>
      <c r="AD59" s="1264"/>
      <c r="AE59" s="1264"/>
      <c r="AF59" s="1264"/>
      <c r="AG59" s="1264"/>
      <c r="AH59" s="1264"/>
      <c r="AI59" s="1264"/>
      <c r="AJ59" s="1264"/>
      <c r="AK59" s="1264"/>
      <c r="AL59" s="1264"/>
    </row>
    <row r="60" spans="1:38">
      <c r="A60" s="218"/>
      <c r="B60" s="218"/>
      <c r="C60" s="219"/>
      <c r="D60" s="219"/>
      <c r="E60" s="218"/>
      <c r="F60" s="220"/>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row>
    <row r="61" spans="1:38">
      <c r="A61" s="218"/>
      <c r="B61" s="218"/>
      <c r="C61" s="219"/>
      <c r="D61" s="219"/>
      <c r="E61" s="218"/>
      <c r="F61" s="220"/>
      <c r="G61" s="514" t="s">
        <v>1443</v>
      </c>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120</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1308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2" t="s">
        <v>1309</v>
      </c>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c r="A67" s="4"/>
      <c r="C67" s="2"/>
      <c r="D67" s="4"/>
      <c r="E67" s="4"/>
      <c r="G67" s="1262"/>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15" customHeight="1">
      <c r="A69" s="4"/>
      <c r="C69" s="2"/>
      <c r="D69" s="4"/>
      <c r="E69" s="4"/>
      <c r="F69" t="s">
        <v>518</v>
      </c>
      <c r="G69" s="1262" t="s">
        <v>1310</v>
      </c>
      <c r="H69" s="1262"/>
      <c r="I69" s="1262"/>
      <c r="J69" s="1262"/>
      <c r="K69" s="1262"/>
      <c r="L69" s="1262"/>
      <c r="M69" s="1262"/>
      <c r="N69" s="1262"/>
      <c r="O69" s="1262"/>
      <c r="P69" s="1262"/>
      <c r="Q69" s="1262"/>
      <c r="R69" s="1262"/>
      <c r="S69" s="1262"/>
      <c r="T69" s="1262"/>
      <c r="U69" s="1262"/>
      <c r="V69" s="1262"/>
      <c r="W69" s="1262"/>
      <c r="X69" s="1262"/>
      <c r="Y69" s="1262"/>
      <c r="Z69" s="1262"/>
      <c r="AA69" s="1262"/>
      <c r="AB69" s="1262"/>
      <c r="AC69" s="1262"/>
      <c r="AD69" s="1262"/>
      <c r="AE69" s="1262"/>
      <c r="AF69" s="1262"/>
      <c r="AG69" s="1262"/>
      <c r="AH69" s="1262"/>
      <c r="AI69" s="1262"/>
      <c r="AJ69" s="1262"/>
      <c r="AK69" s="1262"/>
    </row>
    <row r="70" spans="1:37">
      <c r="A70" s="4"/>
      <c r="C70" s="2"/>
      <c r="D70" s="4"/>
      <c r="E70" s="4"/>
      <c r="F70" s="27"/>
      <c r="G70" s="1262"/>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t="s">
        <v>349</v>
      </c>
      <c r="F71" s="4" t="s">
        <v>422</v>
      </c>
      <c r="G71" s="490"/>
      <c r="H71" s="490"/>
      <c r="I71" s="490"/>
      <c r="J71" s="490"/>
      <c r="K71" s="490"/>
      <c r="L71" s="490"/>
      <c r="M71" s="490"/>
      <c r="N71" s="490"/>
      <c r="O71" s="490"/>
      <c r="P71" s="490"/>
      <c r="Q71" s="490"/>
      <c r="R71" s="490"/>
      <c r="S71" s="490"/>
      <c r="T71" s="490"/>
      <c r="U71" s="490"/>
      <c r="V71" s="490"/>
      <c r="W71" s="490"/>
      <c r="X71" s="490"/>
      <c r="Y71" s="490"/>
      <c r="Z71" s="490"/>
      <c r="AA71" s="490"/>
      <c r="AB71" s="490"/>
      <c r="AC71" s="490"/>
      <c r="AD71" s="490"/>
      <c r="AE71" s="490"/>
      <c r="AF71" s="490"/>
      <c r="AG71" s="490"/>
      <c r="AH71" s="490"/>
      <c r="AI71" s="490"/>
      <c r="AJ71" s="490"/>
      <c r="AK71" s="490"/>
    </row>
    <row r="72" spans="1:37">
      <c r="A72" s="4"/>
      <c r="C72" s="2"/>
      <c r="D72" s="4"/>
      <c r="E72" s="4"/>
      <c r="F72" s="8" t="s">
        <v>697</v>
      </c>
      <c r="G72" s="1262" t="s">
        <v>1311</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t="s">
        <v>518</v>
      </c>
      <c r="G74" s="1262" t="s">
        <v>1312</v>
      </c>
      <c r="H74" s="1262"/>
      <c r="I74" s="1262"/>
      <c r="J74" s="1262"/>
      <c r="K74" s="1262"/>
      <c r="L74" s="1262"/>
      <c r="M74" s="1262"/>
      <c r="N74" s="1262"/>
      <c r="O74" s="1262"/>
      <c r="P74" s="1262"/>
      <c r="Q74" s="1262"/>
      <c r="R74" s="1262"/>
      <c r="S74" s="1262"/>
      <c r="T74" s="1262"/>
      <c r="U74" s="1262"/>
      <c r="V74" s="1262"/>
      <c r="W74" s="1262"/>
      <c r="X74" s="1262"/>
      <c r="Y74" s="1262"/>
      <c r="Z74" s="1262"/>
      <c r="AA74" s="1262"/>
      <c r="AB74" s="1262"/>
      <c r="AC74" s="1262"/>
      <c r="AD74" s="1262"/>
      <c r="AE74" s="1262"/>
      <c r="AF74" s="1262"/>
      <c r="AG74" s="1262"/>
      <c r="AH74" s="1262"/>
      <c r="AI74" s="1262"/>
      <c r="AJ74" s="1262"/>
      <c r="AK74" s="1262"/>
    </row>
    <row r="75" spans="1:37">
      <c r="A75" s="4"/>
      <c r="C75" s="2"/>
      <c r="D75" s="4"/>
      <c r="E75" s="4"/>
      <c r="F75" s="8"/>
      <c r="G75" s="1262"/>
      <c r="H75" s="1262"/>
      <c r="I75" s="1262"/>
      <c r="J75" s="1262"/>
      <c r="K75" s="1262"/>
      <c r="L75" s="1262"/>
      <c r="M75" s="1262"/>
      <c r="N75" s="1262"/>
      <c r="O75" s="1262"/>
      <c r="P75" s="1262"/>
      <c r="Q75" s="1262"/>
      <c r="R75" s="1262"/>
      <c r="S75" s="1262"/>
      <c r="T75" s="1262"/>
      <c r="U75" s="1262"/>
      <c r="V75" s="1262"/>
      <c r="W75" s="1262"/>
      <c r="X75" s="1262"/>
      <c r="Y75" s="1262"/>
      <c r="Z75" s="1262"/>
      <c r="AA75" s="1262"/>
      <c r="AB75" s="1262"/>
      <c r="AC75" s="1262"/>
      <c r="AD75" s="1262"/>
      <c r="AE75" s="1262"/>
      <c r="AF75" s="1262"/>
      <c r="AG75" s="1262"/>
      <c r="AH75" s="1262"/>
      <c r="AI75" s="1262"/>
      <c r="AJ75" s="1262"/>
      <c r="AK75" s="1262"/>
    </row>
    <row r="76" spans="1:37">
      <c r="A76" s="4"/>
      <c r="C76" s="2"/>
      <c r="D76" s="4"/>
      <c r="E76" s="4"/>
      <c r="F76" s="8"/>
      <c r="G76" s="120" t="s">
        <v>762</v>
      </c>
      <c r="H76" s="4"/>
      <c r="J76" s="120"/>
      <c r="K76" s="120"/>
      <c r="L76" s="120"/>
      <c r="P76" s="4"/>
      <c r="Q76" s="4"/>
      <c r="R76" s="4"/>
      <c r="S76" s="4"/>
      <c r="T76" s="4"/>
      <c r="U76" s="4"/>
      <c r="V76" s="4"/>
      <c r="W76" s="4"/>
      <c r="X76" s="4"/>
      <c r="Y76" s="4"/>
      <c r="Z76" s="4"/>
      <c r="AA76" s="4"/>
      <c r="AB76" s="4"/>
    </row>
    <row r="77" spans="1:37">
      <c r="A77" s="4"/>
      <c r="C77" s="2"/>
      <c r="D77" s="4"/>
      <c r="E77" s="4"/>
      <c r="F77" s="8"/>
      <c r="G77" s="120" t="s">
        <v>892</v>
      </c>
      <c r="J77" s="120"/>
      <c r="K77" s="120"/>
      <c r="L77" s="120"/>
      <c r="P77" s="4"/>
      <c r="Q77" s="4"/>
      <c r="R77" s="4"/>
      <c r="S77" s="4"/>
      <c r="T77" s="4"/>
      <c r="U77" s="4"/>
      <c r="V77" s="4"/>
      <c r="W77" s="4"/>
      <c r="X77" s="4"/>
      <c r="Y77" s="4"/>
      <c r="Z77" s="4"/>
      <c r="AA77" s="4"/>
      <c r="AB77" s="4"/>
    </row>
    <row r="78" spans="1:37">
      <c r="A78" s="4"/>
      <c r="C78" s="2"/>
      <c r="D78" s="4"/>
      <c r="E78" s="4"/>
      <c r="F78" s="8" t="s">
        <v>279</v>
      </c>
      <c r="G78" s="4" t="s">
        <v>1072</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893</v>
      </c>
      <c r="K79" s="4"/>
      <c r="L79" s="4"/>
      <c r="M79" s="4"/>
      <c r="P79" s="4"/>
      <c r="Q79" s="4"/>
      <c r="R79" s="4"/>
      <c r="S79" s="4"/>
      <c r="T79" s="4"/>
      <c r="U79" s="4"/>
      <c r="V79" s="4"/>
      <c r="W79" s="4"/>
      <c r="X79" s="4"/>
      <c r="Y79" s="4"/>
      <c r="Z79" s="4"/>
      <c r="AA79" s="4"/>
      <c r="AB79" s="4"/>
    </row>
    <row r="80" spans="1:37">
      <c r="A80" s="4"/>
      <c r="C80" s="2"/>
      <c r="D80" s="4"/>
      <c r="E80" s="4"/>
      <c r="F80" s="4"/>
      <c r="G80" s="4" t="s">
        <v>769</v>
      </c>
      <c r="H80" s="4" t="s">
        <v>765</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2" t="s">
        <v>1313</v>
      </c>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c r="F83" s="4"/>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row>
    <row r="84" spans="1:37">
      <c r="A84" s="4"/>
      <c r="C84" s="2"/>
      <c r="D84" s="4"/>
      <c r="E84" s="4"/>
      <c r="F84" s="4"/>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2" t="s">
        <v>1314</v>
      </c>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c r="F87" s="4"/>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row>
    <row r="88" spans="1:37">
      <c r="A88" s="4"/>
      <c r="C88" s="2"/>
      <c r="D88" s="4"/>
      <c r="E88" s="4"/>
      <c r="G88" s="1262"/>
      <c r="H88" s="1262"/>
      <c r="I88" s="1262"/>
      <c r="J88" s="1262"/>
      <c r="K88" s="1262"/>
      <c r="L88" s="1262"/>
      <c r="M88" s="1262"/>
      <c r="N88" s="1262"/>
      <c r="O88" s="1262"/>
      <c r="P88" s="1262"/>
      <c r="Q88" s="1262"/>
      <c r="R88" s="1262"/>
      <c r="S88" s="1262"/>
      <c r="T88" s="1262"/>
      <c r="U88" s="1262"/>
      <c r="V88" s="1262"/>
      <c r="W88" s="1262"/>
      <c r="X88" s="1262"/>
      <c r="Y88" s="1262"/>
      <c r="Z88" s="1262"/>
      <c r="AA88" s="1262"/>
      <c r="AB88" s="1262"/>
      <c r="AC88" s="1262"/>
      <c r="AD88" s="1262"/>
      <c r="AE88" s="1262"/>
      <c r="AF88" s="1262"/>
      <c r="AG88" s="1262"/>
      <c r="AH88" s="1262"/>
      <c r="AI88" s="1262"/>
      <c r="AJ88" s="1262"/>
      <c r="AK88" s="1262"/>
    </row>
    <row r="89" spans="1:37">
      <c r="A89" s="4"/>
      <c r="C89" s="2"/>
      <c r="D89" s="4"/>
      <c r="E89" s="4" t="s">
        <v>263</v>
      </c>
      <c r="F89" t="s">
        <v>894</v>
      </c>
      <c r="G89" s="4"/>
      <c r="L89" s="4"/>
      <c r="M89" s="4"/>
      <c r="P89" s="4"/>
      <c r="Q89" s="4"/>
      <c r="R89" s="4"/>
      <c r="S89" s="4"/>
      <c r="T89" s="4"/>
      <c r="U89" s="4"/>
      <c r="V89" s="4"/>
      <c r="W89" s="4"/>
      <c r="X89" s="4"/>
      <c r="Y89" s="4"/>
      <c r="Z89" s="4"/>
      <c r="AA89" s="4"/>
      <c r="AB89" s="4"/>
    </row>
    <row r="90" spans="1:37">
      <c r="A90" s="4"/>
      <c r="C90" s="2"/>
      <c r="D90" s="4"/>
      <c r="E90" s="4"/>
      <c r="G90" s="1271" t="s">
        <v>1315</v>
      </c>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1271"/>
      <c r="AD91" s="1271"/>
      <c r="AE91" s="1271"/>
      <c r="AF91" s="1271"/>
      <c r="AG91" s="1271"/>
      <c r="AH91" s="1271"/>
      <c r="AI91" s="1271"/>
      <c r="AJ91" s="1271"/>
      <c r="AK91" s="1271"/>
    </row>
    <row r="92" spans="1:37">
      <c r="A92" s="4"/>
      <c r="C92" s="2"/>
      <c r="D92" s="4"/>
      <c r="E92" s="4"/>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2" t="s">
        <v>1316</v>
      </c>
      <c r="H94" s="1262"/>
      <c r="I94" s="1262"/>
      <c r="J94" s="1262"/>
      <c r="K94" s="1262"/>
      <c r="L94" s="1262"/>
      <c r="M94" s="1262"/>
      <c r="N94" s="1262"/>
      <c r="O94" s="1262"/>
      <c r="P94" s="1262"/>
      <c r="Q94" s="1262"/>
      <c r="R94" s="1262"/>
      <c r="S94" s="1262"/>
      <c r="T94" s="1262"/>
      <c r="U94" s="1262"/>
      <c r="V94" s="1262"/>
      <c r="W94" s="1262"/>
      <c r="X94" s="1262"/>
      <c r="Y94" s="1262"/>
      <c r="Z94" s="1262"/>
      <c r="AA94" s="1262"/>
      <c r="AB94" s="1262"/>
      <c r="AC94" s="1262"/>
      <c r="AD94" s="1262"/>
      <c r="AE94" s="1262"/>
      <c r="AF94" s="1262"/>
      <c r="AG94" s="1262"/>
      <c r="AH94" s="1262"/>
      <c r="AI94" s="1262"/>
      <c r="AJ94" s="1262"/>
      <c r="AK94" s="1262"/>
    </row>
    <row r="95" spans="1:37">
      <c r="A95" s="4"/>
      <c r="C95" s="2"/>
      <c r="D95" s="4"/>
      <c r="E95" s="4"/>
      <c r="G95" s="1262"/>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t="s">
        <v>937</v>
      </c>
      <c r="F96" s="218" t="s">
        <v>938</v>
      </c>
      <c r="G96" s="218"/>
      <c r="L96" s="4"/>
      <c r="M96" s="4"/>
      <c r="P96" s="4"/>
      <c r="Q96" s="4"/>
      <c r="R96" s="4"/>
      <c r="S96" s="4"/>
      <c r="T96" s="4"/>
      <c r="U96" s="4"/>
      <c r="V96" s="4"/>
      <c r="W96" s="4"/>
      <c r="X96" s="4"/>
      <c r="Y96" s="4"/>
      <c r="Z96" s="4"/>
      <c r="AA96" s="4"/>
      <c r="AB96" s="4"/>
    </row>
    <row r="97" spans="1:38">
      <c r="A97" s="4"/>
      <c r="C97" s="2"/>
      <c r="D97" s="4"/>
      <c r="E97" s="4"/>
      <c r="G97" s="1262" t="s">
        <v>1317</v>
      </c>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C98" s="2"/>
      <c r="D98" s="4"/>
      <c r="E98" s="4"/>
      <c r="G98" s="1262"/>
      <c r="H98" s="1262"/>
      <c r="I98" s="1262"/>
      <c r="J98" s="1262"/>
      <c r="K98" s="1262"/>
      <c r="L98" s="1262"/>
      <c r="M98" s="1262"/>
      <c r="N98" s="1262"/>
      <c r="O98" s="1262"/>
      <c r="P98" s="1262"/>
      <c r="Q98" s="1262"/>
      <c r="R98" s="1262"/>
      <c r="S98" s="1262"/>
      <c r="T98" s="1262"/>
      <c r="U98" s="1262"/>
      <c r="V98" s="1262"/>
      <c r="W98" s="1262"/>
      <c r="X98" s="1262"/>
      <c r="Y98" s="1262"/>
      <c r="Z98" s="1262"/>
      <c r="AA98" s="1262"/>
      <c r="AB98" s="1262"/>
      <c r="AC98" s="1262"/>
      <c r="AD98" s="1262"/>
      <c r="AE98" s="1262"/>
      <c r="AF98" s="1262"/>
      <c r="AG98" s="1262"/>
      <c r="AH98" s="1262"/>
      <c r="AI98" s="1262"/>
      <c r="AJ98" s="1262"/>
      <c r="AK98" s="1262"/>
    </row>
    <row r="99" spans="1:38">
      <c r="A99" s="4"/>
      <c r="C99" s="2"/>
      <c r="D99" s="4"/>
      <c r="E99" s="4"/>
      <c r="G99" s="1262"/>
      <c r="H99" s="1262"/>
      <c r="I99" s="1262"/>
      <c r="J99" s="1262"/>
      <c r="K99" s="1262"/>
      <c r="L99" s="1262"/>
      <c r="M99" s="1262"/>
      <c r="N99" s="1262"/>
      <c r="O99" s="1262"/>
      <c r="P99" s="1262"/>
      <c r="Q99" s="1262"/>
      <c r="R99" s="1262"/>
      <c r="S99" s="1262"/>
      <c r="T99" s="1262"/>
      <c r="U99" s="1262"/>
      <c r="V99" s="1262"/>
      <c r="W99" s="1262"/>
      <c r="X99" s="1262"/>
      <c r="Y99" s="1262"/>
      <c r="Z99" s="1262"/>
      <c r="AA99" s="1262"/>
      <c r="AB99" s="1262"/>
      <c r="AC99" s="1262"/>
      <c r="AD99" s="1262"/>
      <c r="AE99" s="1262"/>
      <c r="AF99" s="1262"/>
      <c r="AG99" s="1262"/>
      <c r="AH99" s="1262"/>
      <c r="AI99" s="1262"/>
      <c r="AJ99" s="1262"/>
      <c r="AK99" s="1262"/>
    </row>
    <row r="100" spans="1:38">
      <c r="A100" s="4"/>
      <c r="D100" s="99"/>
      <c r="E100" s="1272" t="s">
        <v>1318</v>
      </c>
      <c r="F100" s="1272"/>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1272"/>
      <c r="AB100" s="1272"/>
      <c r="AC100" s="1272"/>
      <c r="AD100" s="1272"/>
      <c r="AE100" s="1272"/>
      <c r="AF100" s="1272"/>
      <c r="AG100" s="1272"/>
      <c r="AH100" s="1272"/>
      <c r="AI100" s="1272"/>
      <c r="AJ100" s="1272"/>
      <c r="AK100" s="1272"/>
    </row>
    <row r="101" spans="1:38">
      <c r="A101" s="4"/>
      <c r="D101" s="99"/>
      <c r="E101" s="1272"/>
      <c r="F101" s="1272"/>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1272"/>
      <c r="AB101" s="1272"/>
      <c r="AC101" s="1272"/>
      <c r="AD101" s="1272"/>
      <c r="AE101" s="1272"/>
      <c r="AF101" s="1272"/>
      <c r="AG101" s="1272"/>
      <c r="AH101" s="1272"/>
      <c r="AI101" s="1272"/>
      <c r="AJ101" s="1272"/>
      <c r="AK101" s="1272"/>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1329</v>
      </c>
      <c r="H105" s="2"/>
      <c r="I105" s="2"/>
      <c r="K105" s="2"/>
    </row>
    <row r="106" spans="1:38">
      <c r="B106" s="2"/>
      <c r="C106" s="2"/>
      <c r="D106" s="2" t="s">
        <v>208</v>
      </c>
      <c r="E106" s="2" t="s">
        <v>1331</v>
      </c>
      <c r="F106" s="2"/>
      <c r="G106" s="2"/>
      <c r="H106" s="2"/>
      <c r="I106" s="2"/>
      <c r="J106" s="2"/>
      <c r="K106" s="2"/>
      <c r="L106" s="2"/>
      <c r="M106" s="2"/>
    </row>
    <row r="107" spans="1:38">
      <c r="B107" s="2"/>
      <c r="C107" s="2"/>
      <c r="E107" s="4" t="s">
        <v>113</v>
      </c>
      <c r="F107" s="98" t="s">
        <v>661</v>
      </c>
      <c r="G107" s="2"/>
      <c r="H107" s="2"/>
      <c r="I107" s="2"/>
      <c r="J107" s="2"/>
      <c r="K107" s="2"/>
    </row>
    <row r="108" spans="1:38">
      <c r="E108" s="4"/>
      <c r="F108" t="s">
        <v>663</v>
      </c>
    </row>
    <row r="109" spans="1:38">
      <c r="E109" s="4"/>
      <c r="F109" t="s">
        <v>664</v>
      </c>
    </row>
    <row r="110" spans="1:38">
      <c r="E110" s="4"/>
    </row>
    <row r="111" spans="1:38">
      <c r="E111" s="4" t="s">
        <v>114</v>
      </c>
      <c r="F111" s="98" t="s">
        <v>665</v>
      </c>
      <c r="G111" s="2"/>
      <c r="H111" s="2"/>
      <c r="I111" s="2"/>
      <c r="J111" s="2"/>
    </row>
    <row r="112" spans="1:38">
      <c r="E112" s="4"/>
      <c r="F112" t="s">
        <v>666</v>
      </c>
    </row>
    <row r="113" spans="2:16">
      <c r="E113" s="4"/>
    </row>
    <row r="114" spans="2:16">
      <c r="E114" s="4" t="s">
        <v>120</v>
      </c>
      <c r="F114" s="98" t="s">
        <v>667</v>
      </c>
      <c r="G114" s="2"/>
      <c r="H114" s="2"/>
      <c r="I114" s="2"/>
      <c r="J114" s="2"/>
      <c r="K114" s="2"/>
      <c r="L114" s="2"/>
      <c r="M114" s="2"/>
      <c r="N114" s="2"/>
      <c r="O114" s="2"/>
      <c r="P114" s="2"/>
    </row>
    <row r="115" spans="2:16">
      <c r="E115" s="4"/>
      <c r="F115" s="4" t="s">
        <v>960</v>
      </c>
    </row>
    <row r="116" spans="2:16" ht="12.75" customHeight="1">
      <c r="F116" s="4" t="s">
        <v>990</v>
      </c>
    </row>
    <row r="117" spans="2:16"/>
    <row r="118" spans="2:16">
      <c r="E118" t="s">
        <v>590</v>
      </c>
      <c r="F118" s="98" t="s">
        <v>961</v>
      </c>
    </row>
    <row r="119" spans="2:16">
      <c r="F119" s="4" t="s">
        <v>1073</v>
      </c>
      <c r="G119" s="4"/>
    </row>
    <row r="120" spans="2:16">
      <c r="F120" s="99" t="s">
        <v>1330</v>
      </c>
      <c r="G120" s="99"/>
    </row>
    <row r="121" spans="2:16">
      <c r="G121" s="99"/>
    </row>
    <row r="122" spans="2:16">
      <c r="E122" s="4" t="s">
        <v>787</v>
      </c>
      <c r="F122" s="98" t="s">
        <v>379</v>
      </c>
    </row>
    <row r="123" spans="2:16">
      <c r="E123" s="4"/>
      <c r="F123" s="4" t="s">
        <v>1064</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962</v>
      </c>
      <c r="F127" s="4"/>
    </row>
    <row r="128" spans="2:16"/>
    <row r="129" spans="4:37">
      <c r="D129" s="2" t="s">
        <v>342</v>
      </c>
      <c r="E129" s="2" t="s">
        <v>586</v>
      </c>
    </row>
    <row r="130" spans="4:37">
      <c r="E130" s="4" t="s">
        <v>962</v>
      </c>
      <c r="F130" s="4"/>
    </row>
    <row r="131" spans="4:37"/>
    <row r="132" spans="4:37">
      <c r="D132" s="2" t="s">
        <v>583</v>
      </c>
      <c r="E132" s="2" t="s">
        <v>736</v>
      </c>
      <c r="G132" s="2"/>
      <c r="H132" s="2"/>
      <c r="I132" s="2"/>
      <c r="J132" s="2"/>
      <c r="K132" s="2"/>
      <c r="L132" s="2"/>
      <c r="M132" s="2"/>
      <c r="N132" s="2"/>
    </row>
    <row r="133" spans="4:37">
      <c r="D133" s="2"/>
      <c r="E133" s="119" t="s">
        <v>1415</v>
      </c>
      <c r="G133" s="2"/>
      <c r="H133" s="2"/>
      <c r="I133" s="2"/>
      <c r="J133" s="2"/>
      <c r="K133" s="2"/>
      <c r="L133" s="2"/>
      <c r="M133" s="2"/>
      <c r="N133" s="2"/>
    </row>
    <row r="134" spans="4:37" ht="12.75" customHeight="1">
      <c r="E134" s="119" t="s">
        <v>1413</v>
      </c>
      <c r="F134" s="490"/>
      <c r="G134" s="490"/>
      <c r="H134" s="490"/>
      <c r="I134" s="490"/>
      <c r="J134" s="490"/>
      <c r="K134" s="490"/>
      <c r="L134" s="490"/>
      <c r="M134" s="490"/>
      <c r="N134" s="490"/>
      <c r="O134" s="490"/>
      <c r="P134" s="490"/>
      <c r="Q134" s="490"/>
      <c r="R134" s="490"/>
      <c r="S134" s="490"/>
      <c r="T134" s="490"/>
      <c r="U134" s="490"/>
      <c r="V134" s="490"/>
      <c r="W134" s="490"/>
      <c r="X134" s="490"/>
      <c r="Y134" s="490"/>
      <c r="Z134" s="490"/>
      <c r="AA134" s="490"/>
      <c r="AB134" s="490"/>
      <c r="AC134" s="490"/>
      <c r="AD134" s="490"/>
      <c r="AE134" s="490"/>
      <c r="AF134" s="490"/>
      <c r="AG134" s="490"/>
      <c r="AH134" s="490"/>
      <c r="AI134" s="490"/>
      <c r="AJ134" s="490"/>
      <c r="AK134" s="490"/>
    </row>
    <row r="135" spans="4:37">
      <c r="E135" s="119" t="s">
        <v>1414</v>
      </c>
      <c r="F135" s="490"/>
      <c r="G135" s="490"/>
      <c r="H135" s="490"/>
      <c r="I135" s="490"/>
      <c r="J135" s="490"/>
      <c r="K135" s="490"/>
      <c r="L135" s="490"/>
      <c r="M135" s="490"/>
      <c r="N135" s="490"/>
      <c r="O135" s="490"/>
      <c r="P135" s="490"/>
      <c r="Q135" s="490"/>
      <c r="R135" s="490"/>
      <c r="S135" s="490"/>
      <c r="T135" s="490"/>
      <c r="U135" s="490"/>
      <c r="V135" s="490"/>
      <c r="W135" s="490"/>
      <c r="X135" s="490"/>
      <c r="Y135" s="490"/>
      <c r="Z135" s="490"/>
      <c r="AA135" s="490"/>
      <c r="AB135" s="490"/>
      <c r="AC135" s="490"/>
      <c r="AD135" s="490"/>
      <c r="AE135" s="490"/>
      <c r="AF135" s="490"/>
      <c r="AG135" s="490"/>
      <c r="AH135" s="490"/>
      <c r="AI135" s="490"/>
      <c r="AJ135" s="490"/>
      <c r="AK135" s="490"/>
    </row>
    <row r="136" spans="4:37">
      <c r="F136" s="4"/>
    </row>
    <row r="137" spans="4:37">
      <c r="D137" s="2" t="s">
        <v>523</v>
      </c>
      <c r="E137" s="2" t="s">
        <v>526</v>
      </c>
      <c r="F137" s="2"/>
    </row>
    <row r="138" spans="4:37">
      <c r="E138" s="3" t="s">
        <v>1356</v>
      </c>
      <c r="F138" s="4"/>
    </row>
    <row r="139" spans="4:37">
      <c r="F139" s="4"/>
    </row>
    <row r="140" spans="4:37">
      <c r="D140" s="2" t="s">
        <v>304</v>
      </c>
      <c r="E140" s="2" t="s">
        <v>2441</v>
      </c>
      <c r="F140" s="2"/>
      <c r="G140" s="2"/>
      <c r="H140" s="2"/>
    </row>
    <row r="141" spans="4:37">
      <c r="E141" t="s">
        <v>113</v>
      </c>
      <c r="F141" t="s">
        <v>52</v>
      </c>
    </row>
    <row r="142" spans="4:37">
      <c r="E142" t="s">
        <v>114</v>
      </c>
      <c r="F142" t="s">
        <v>475</v>
      </c>
    </row>
    <row r="143" spans="4:37"/>
    <row r="144" spans="4:37">
      <c r="D144" s="2" t="s">
        <v>430</v>
      </c>
      <c r="E144" s="2" t="s">
        <v>2442</v>
      </c>
    </row>
    <row r="145" spans="3:7">
      <c r="E145" s="218" t="s">
        <v>2443</v>
      </c>
      <c r="F145" s="218"/>
    </row>
    <row r="146" spans="3:7"/>
    <row r="147" spans="3:7">
      <c r="C147" s="2" t="s">
        <v>6</v>
      </c>
      <c r="G147" s="2" t="s">
        <v>381</v>
      </c>
    </row>
    <row r="148" spans="3:7">
      <c r="D148" s="2" t="s">
        <v>208</v>
      </c>
      <c r="E148" s="2" t="s">
        <v>136</v>
      </c>
    </row>
    <row r="149" spans="3:7">
      <c r="E149" t="s">
        <v>821</v>
      </c>
    </row>
    <row r="150" spans="3:7"/>
    <row r="151" spans="3:7">
      <c r="D151" s="2" t="s">
        <v>342</v>
      </c>
      <c r="E151" s="2" t="s">
        <v>533</v>
      </c>
      <c r="F151" s="2"/>
    </row>
    <row r="152" spans="3:7">
      <c r="E152" s="4" t="s">
        <v>964</v>
      </c>
      <c r="F152" s="4"/>
    </row>
    <row r="153" spans="3:7"/>
    <row r="154" spans="3:7">
      <c r="D154" s="2" t="s">
        <v>583</v>
      </c>
      <c r="E154" s="2" t="s">
        <v>562</v>
      </c>
    </row>
    <row r="155" spans="3:7">
      <c r="E155" s="4" t="s">
        <v>965</v>
      </c>
    </row>
    <row r="156" spans="3:7">
      <c r="E156" s="4" t="s">
        <v>963</v>
      </c>
      <c r="G156" s="4"/>
    </row>
    <row r="157" spans="3:7"/>
    <row r="158" spans="3:7">
      <c r="D158" s="2" t="s">
        <v>523</v>
      </c>
      <c r="E158" s="2" t="s">
        <v>542</v>
      </c>
    </row>
    <row r="159" spans="3:7">
      <c r="E159" t="s">
        <v>113</v>
      </c>
      <c r="F159" s="4" t="s">
        <v>966</v>
      </c>
    </row>
    <row r="160" spans="3:7">
      <c r="E160" s="4" t="s">
        <v>114</v>
      </c>
      <c r="F160" s="4" t="s">
        <v>967</v>
      </c>
    </row>
    <row r="161" spans="3:20">
      <c r="E161" s="4" t="s">
        <v>120</v>
      </c>
      <c r="F161" t="s">
        <v>737</v>
      </c>
    </row>
    <row r="162" spans="3:20"/>
    <row r="163" spans="3:20">
      <c r="D163" s="2" t="s">
        <v>304</v>
      </c>
      <c r="E163" s="2" t="s">
        <v>382</v>
      </c>
    </row>
    <row r="164" spans="3:20">
      <c r="E164" s="4" t="s">
        <v>968</v>
      </c>
      <c r="F164" s="4"/>
    </row>
    <row r="165" spans="3:20"/>
    <row r="166" spans="3:20">
      <c r="D166" s="2" t="s">
        <v>430</v>
      </c>
      <c r="E166" s="2" t="s">
        <v>172</v>
      </c>
    </row>
    <row r="167" spans="3:20">
      <c r="E167" s="4" t="s">
        <v>970</v>
      </c>
    </row>
    <row r="168" spans="3:20">
      <c r="E168" s="4" t="s">
        <v>969</v>
      </c>
    </row>
    <row r="169" spans="3:20"/>
    <row r="170" spans="3:20">
      <c r="D170" s="2" t="s">
        <v>566</v>
      </c>
      <c r="E170" s="2" t="s">
        <v>631</v>
      </c>
    </row>
    <row r="171" spans="3:20">
      <c r="E171" t="s">
        <v>113</v>
      </c>
      <c r="F171" t="s">
        <v>738</v>
      </c>
    </row>
    <row r="172" spans="3:20">
      <c r="E172" t="s">
        <v>114</v>
      </c>
      <c r="F172" t="s">
        <v>298</v>
      </c>
    </row>
    <row r="173" spans="3:20">
      <c r="F173" s="4"/>
    </row>
    <row r="174" spans="3:20">
      <c r="C174" s="2" t="s">
        <v>7</v>
      </c>
      <c r="E174" s="4"/>
      <c r="G174" s="2" t="s">
        <v>383</v>
      </c>
    </row>
    <row r="175" spans="3:20">
      <c r="E175" s="4" t="s">
        <v>895</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113</v>
      </c>
      <c r="F179" s="4" t="s">
        <v>971</v>
      </c>
    </row>
    <row r="180" spans="2:19">
      <c r="F180" s="120" t="s">
        <v>1287</v>
      </c>
      <c r="I180" s="120"/>
    </row>
    <row r="181" spans="2:19">
      <c r="I181" s="120"/>
    </row>
    <row r="182" spans="2:19">
      <c r="B182" s="4"/>
      <c r="C182" s="4"/>
      <c r="E182" t="s">
        <v>114</v>
      </c>
      <c r="F182" s="3" t="s">
        <v>896</v>
      </c>
      <c r="H182" s="4"/>
    </row>
    <row r="183" spans="2:19">
      <c r="B183" s="4"/>
      <c r="C183" s="4"/>
      <c r="F183" t="s">
        <v>662</v>
      </c>
      <c r="G183" t="s">
        <v>720</v>
      </c>
      <c r="H183" s="4"/>
      <c r="O183" s="4"/>
      <c r="P183" s="4"/>
      <c r="Q183" s="4"/>
      <c r="R183" s="4"/>
      <c r="S183" s="4"/>
    </row>
    <row r="184" spans="2:19">
      <c r="B184" s="4"/>
      <c r="C184" s="4"/>
      <c r="H184" s="4"/>
      <c r="O184" s="4"/>
      <c r="P184" s="4"/>
      <c r="Q184" s="4"/>
      <c r="R184" s="4"/>
      <c r="S184" s="4"/>
    </row>
    <row r="185" spans="2:19">
      <c r="D185" s="2" t="s">
        <v>342</v>
      </c>
      <c r="E185" s="2" t="s">
        <v>1065</v>
      </c>
    </row>
    <row r="186" spans="2:19">
      <c r="B186" s="4"/>
      <c r="C186" s="4"/>
      <c r="E186" s="4" t="s">
        <v>721</v>
      </c>
      <c r="F186" s="4"/>
      <c r="I186" s="4"/>
    </row>
    <row r="187" spans="2:19">
      <c r="B187" s="4"/>
      <c r="C187" s="4"/>
      <c r="E187" s="4" t="s">
        <v>1063</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112</v>
      </c>
    </row>
    <row r="193" spans="2:37">
      <c r="B193" s="4"/>
      <c r="C193" s="2"/>
      <c r="E193" t="s">
        <v>113</v>
      </c>
      <c r="F193" s="4" t="s">
        <v>1074</v>
      </c>
      <c r="G193" s="4"/>
      <c r="H193" s="4"/>
      <c r="I193" s="4"/>
    </row>
    <row r="194" spans="2:37">
      <c r="B194" s="4"/>
      <c r="C194" s="2"/>
      <c r="F194" s="4" t="s">
        <v>662</v>
      </c>
      <c r="G194" s="3" t="s">
        <v>1350</v>
      </c>
    </row>
    <row r="195" spans="2:37">
      <c r="B195" s="4"/>
      <c r="C195" s="4"/>
      <c r="F195" s="4" t="s">
        <v>349</v>
      </c>
      <c r="G195" s="3" t="s">
        <v>1351</v>
      </c>
      <c r="I195" s="4"/>
      <c r="J195" s="4"/>
      <c r="M195" s="4"/>
      <c r="N195" s="4"/>
      <c r="O195" s="4"/>
      <c r="P195" s="4"/>
      <c r="Q195" s="4"/>
      <c r="R195" s="4"/>
      <c r="S195" s="4"/>
    </row>
    <row r="196" spans="2:37">
      <c r="B196" s="4"/>
      <c r="C196" s="4"/>
      <c r="F196" s="4" t="s">
        <v>350</v>
      </c>
      <c r="G196" s="4" t="s">
        <v>972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115</v>
      </c>
      <c r="G198" s="4"/>
      <c r="H198" s="4"/>
      <c r="I198" s="4"/>
      <c r="J198" s="4"/>
      <c r="M198" s="4"/>
      <c r="N198" s="4"/>
      <c r="O198" s="4"/>
      <c r="P198" s="4"/>
      <c r="Q198" s="4"/>
      <c r="R198" s="4"/>
      <c r="S198" s="4"/>
    </row>
    <row r="199" spans="2:37">
      <c r="B199" s="4"/>
      <c r="C199" s="4"/>
      <c r="D199" s="4"/>
      <c r="E199" s="4" t="s">
        <v>973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121</v>
      </c>
      <c r="G201" s="4"/>
      <c r="H201" s="4"/>
      <c r="I201" s="4"/>
      <c r="J201" s="4"/>
      <c r="M201" s="4"/>
      <c r="N201" s="4"/>
      <c r="O201" s="4"/>
      <c r="P201" s="4"/>
      <c r="Q201" s="4"/>
      <c r="R201" s="4"/>
      <c r="S201" s="4"/>
    </row>
    <row r="202" spans="2:37">
      <c r="B202" s="4"/>
      <c r="C202" s="4"/>
      <c r="D202" s="2"/>
      <c r="E202" s="4" t="s">
        <v>113</v>
      </c>
      <c r="F202" s="4" t="s">
        <v>974</v>
      </c>
      <c r="M202" s="4"/>
      <c r="N202" s="4"/>
      <c r="O202" s="4"/>
      <c r="P202" s="4"/>
      <c r="Q202" s="4"/>
      <c r="R202" s="4"/>
      <c r="S202" s="4"/>
    </row>
    <row r="203" spans="2:37">
      <c r="B203" s="4"/>
      <c r="C203" s="4"/>
      <c r="D203" s="2"/>
      <c r="E203" s="4" t="s">
        <v>114</v>
      </c>
      <c r="F203" s="4" t="s">
        <v>1075</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120</v>
      </c>
      <c r="F204" s="4" t="s">
        <v>722</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975</v>
      </c>
      <c r="I205" s="4"/>
      <c r="J205" s="4"/>
      <c r="M205" s="4"/>
      <c r="N205" s="4"/>
      <c r="O205" s="4"/>
      <c r="P205" s="4"/>
      <c r="Q205" s="4"/>
      <c r="R205" s="4"/>
      <c r="S205" s="4"/>
      <c r="T205" s="4"/>
      <c r="U205" s="4"/>
      <c r="V205" s="4"/>
      <c r="W205" s="4"/>
      <c r="X205" s="4"/>
      <c r="Y205" s="4"/>
    </row>
    <row r="206" spans="2:37">
      <c r="B206" s="4"/>
      <c r="C206" s="4"/>
      <c r="D206" s="2"/>
      <c r="E206" s="4" t="s">
        <v>590</v>
      </c>
      <c r="F206" s="4" t="s">
        <v>976</v>
      </c>
      <c r="M206" s="4"/>
      <c r="N206" s="4"/>
      <c r="O206" s="4"/>
      <c r="P206" s="4"/>
      <c r="Q206" s="4"/>
      <c r="R206" s="4"/>
      <c r="S206" s="4"/>
    </row>
    <row r="207" spans="2:37">
      <c r="B207" s="4"/>
      <c r="C207" s="4"/>
      <c r="D207" s="2"/>
      <c r="F207" t="s">
        <v>662</v>
      </c>
      <c r="G207" s="1262" t="s">
        <v>1319</v>
      </c>
      <c r="H207" s="1262"/>
      <c r="I207" s="1262"/>
      <c r="J207" s="1262"/>
      <c r="K207" s="1262"/>
      <c r="L207" s="1262"/>
      <c r="M207" s="1262"/>
      <c r="N207" s="1262"/>
      <c r="O207" s="1262"/>
      <c r="P207" s="1262"/>
      <c r="Q207" s="1262"/>
      <c r="R207" s="1262"/>
      <c r="S207" s="1262"/>
      <c r="T207" s="1262"/>
      <c r="U207" s="1262"/>
      <c r="V207" s="1262"/>
      <c r="W207" s="1262"/>
      <c r="X207" s="1262"/>
      <c r="Y207" s="1262"/>
      <c r="Z207" s="1262"/>
      <c r="AA207" s="1262"/>
      <c r="AB207" s="1262"/>
      <c r="AC207" s="1262"/>
      <c r="AD207" s="1262"/>
      <c r="AE207" s="1262"/>
      <c r="AF207" s="1262"/>
      <c r="AG207" s="1262"/>
      <c r="AH207" s="1262"/>
      <c r="AI207" s="1262"/>
      <c r="AJ207" s="1262"/>
      <c r="AK207" s="1262"/>
    </row>
    <row r="208" spans="2:37">
      <c r="B208" s="4"/>
      <c r="C208" s="4"/>
      <c r="D208" s="2"/>
      <c r="G208" s="1262"/>
      <c r="H208" s="1262"/>
      <c r="I208" s="1262"/>
      <c r="J208" s="1262"/>
      <c r="K208" s="1262"/>
      <c r="L208" s="1262"/>
      <c r="M208" s="1262"/>
      <c r="N208" s="1262"/>
      <c r="O208" s="1262"/>
      <c r="P208" s="1262"/>
      <c r="Q208" s="1262"/>
      <c r="R208" s="1262"/>
      <c r="S208" s="1262"/>
      <c r="T208" s="1262"/>
      <c r="U208" s="1262"/>
      <c r="V208" s="1262"/>
      <c r="W208" s="1262"/>
      <c r="X208" s="1262"/>
      <c r="Y208" s="1262"/>
      <c r="Z208" s="1262"/>
      <c r="AA208" s="1262"/>
      <c r="AB208" s="1262"/>
      <c r="AC208" s="1262"/>
      <c r="AD208" s="1262"/>
      <c r="AE208" s="1262"/>
      <c r="AF208" s="1262"/>
      <c r="AG208" s="1262"/>
      <c r="AH208" s="1262"/>
      <c r="AI208" s="1262"/>
      <c r="AJ208" s="1262"/>
      <c r="AK208" s="1262"/>
    </row>
    <row r="209" spans="1:38">
      <c r="B209" s="4"/>
      <c r="C209" s="4"/>
      <c r="D209" s="2"/>
      <c r="M209" s="4"/>
      <c r="N209" s="4"/>
      <c r="O209" s="4"/>
      <c r="P209" s="4"/>
      <c r="Q209" s="4"/>
      <c r="R209" s="4"/>
      <c r="S209" s="4"/>
    </row>
    <row r="210" spans="1:38">
      <c r="B210" s="4"/>
      <c r="C210" s="4"/>
      <c r="D210" s="2" t="s">
        <v>566</v>
      </c>
      <c r="E210" s="2" t="s">
        <v>788</v>
      </c>
      <c r="G210" s="4"/>
      <c r="H210" s="4"/>
      <c r="I210" s="4"/>
      <c r="J210" s="4"/>
      <c r="M210" s="4"/>
      <c r="N210" s="4"/>
      <c r="O210" s="4"/>
      <c r="P210" s="4"/>
      <c r="Q210" s="4"/>
      <c r="R210" s="4"/>
      <c r="S210" s="4"/>
      <c r="T210" s="4"/>
      <c r="U210" s="4"/>
      <c r="V210" s="4"/>
      <c r="W210" s="4"/>
    </row>
    <row r="211" spans="1:38">
      <c r="B211" s="4"/>
      <c r="C211" s="4"/>
      <c r="E211" s="4" t="s">
        <v>723</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724</v>
      </c>
      <c r="D216" s="2"/>
      <c r="G216" s="2" t="s">
        <v>834</v>
      </c>
      <c r="M216" s="4"/>
      <c r="N216" s="4"/>
      <c r="O216" s="4"/>
      <c r="P216" s="4"/>
      <c r="Q216" s="4"/>
      <c r="R216" s="4"/>
      <c r="S216" s="4"/>
    </row>
    <row r="217" spans="1:38">
      <c r="B217" s="4"/>
      <c r="C217" s="4"/>
      <c r="E217" t="s">
        <v>113</v>
      </c>
      <c r="F217" s="4" t="s">
        <v>833</v>
      </c>
      <c r="G217" s="4"/>
      <c r="H217" s="4"/>
      <c r="I217" s="4"/>
      <c r="L217" s="4"/>
      <c r="N217" s="4"/>
      <c r="O217" s="4"/>
      <c r="P217" s="4"/>
      <c r="Q217" s="4"/>
      <c r="R217" s="4"/>
      <c r="S217" s="4"/>
    </row>
    <row r="218" spans="1:38">
      <c r="B218" s="4"/>
      <c r="C218" s="4"/>
      <c r="F218" s="4" t="s">
        <v>662</v>
      </c>
      <c r="G218" s="4" t="s">
        <v>727</v>
      </c>
      <c r="I218" s="4"/>
      <c r="M218" s="4"/>
      <c r="N218" s="4"/>
      <c r="O218" s="4"/>
      <c r="P218" s="4"/>
      <c r="Q218" s="4"/>
      <c r="R218" s="4"/>
      <c r="S218" s="4"/>
    </row>
    <row r="219" spans="1:38">
      <c r="B219" s="4"/>
      <c r="C219" s="4"/>
      <c r="E219" t="s">
        <v>114</v>
      </c>
      <c r="F219" s="4" t="s">
        <v>401</v>
      </c>
      <c r="G219" s="4"/>
      <c r="H219" s="4"/>
      <c r="I219" s="4"/>
      <c r="M219" s="4"/>
      <c r="N219" s="4"/>
      <c r="O219" s="4"/>
      <c r="P219" s="4"/>
      <c r="Q219" s="4"/>
      <c r="R219" s="4"/>
      <c r="S219" s="4"/>
    </row>
    <row r="220" spans="1:38">
      <c r="B220" s="4"/>
      <c r="C220" s="4"/>
      <c r="F220" s="4" t="s">
        <v>662</v>
      </c>
      <c r="G220" s="4" t="s">
        <v>725</v>
      </c>
      <c r="I220" s="4"/>
      <c r="M220" s="4"/>
      <c r="N220" s="4"/>
      <c r="O220" s="4"/>
      <c r="P220" s="4"/>
      <c r="Q220" s="4"/>
      <c r="R220" s="4"/>
      <c r="S220" s="4"/>
    </row>
    <row r="221" spans="1:38">
      <c r="B221" s="4"/>
      <c r="C221" s="4"/>
      <c r="F221" s="4"/>
      <c r="G221" s="4" t="s">
        <v>726</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113</v>
      </c>
      <c r="F226" s="4" t="s">
        <v>728</v>
      </c>
      <c r="G226" s="4"/>
      <c r="I226" s="4"/>
      <c r="J226" s="4"/>
      <c r="K226" s="4"/>
      <c r="L226" s="4"/>
      <c r="M226" s="4"/>
      <c r="N226" s="4"/>
      <c r="O226" s="4"/>
      <c r="P226" s="4"/>
      <c r="Q226" s="4"/>
      <c r="R226" s="4"/>
      <c r="S226" s="4"/>
    </row>
    <row r="227" spans="2:19">
      <c r="B227" s="2"/>
      <c r="E227" s="4" t="s">
        <v>114</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113</v>
      </c>
      <c r="F230" s="4" t="s">
        <v>729</v>
      </c>
      <c r="G230" s="4"/>
      <c r="I230" s="4"/>
      <c r="J230" s="4"/>
      <c r="K230" s="4"/>
      <c r="L230" s="4"/>
      <c r="M230" s="4"/>
      <c r="N230" s="4"/>
      <c r="O230" s="4"/>
      <c r="P230" s="4"/>
      <c r="Q230" s="4"/>
      <c r="R230" s="4"/>
      <c r="S230" s="4"/>
    </row>
    <row r="231" spans="2:19">
      <c r="B231" s="2"/>
      <c r="E231" s="4"/>
      <c r="F231" s="4" t="s">
        <v>730</v>
      </c>
      <c r="G231" s="4"/>
      <c r="H231" s="4"/>
      <c r="I231" s="4"/>
      <c r="J231" s="4"/>
      <c r="K231" s="4"/>
      <c r="L231" s="4"/>
      <c r="M231" s="4"/>
      <c r="N231" s="4"/>
      <c r="O231" s="4"/>
      <c r="P231" s="4"/>
      <c r="Q231" s="4"/>
      <c r="R231" s="4"/>
      <c r="S231" s="4"/>
    </row>
    <row r="232" spans="2:19">
      <c r="B232" s="2"/>
      <c r="D232" s="4"/>
      <c r="E232" s="4" t="s">
        <v>114</v>
      </c>
      <c r="F232" s="4" t="s">
        <v>689</v>
      </c>
      <c r="G232" s="4"/>
      <c r="I232" s="4"/>
      <c r="J232" s="4"/>
      <c r="K232" s="4"/>
      <c r="L232" s="4"/>
      <c r="M232" s="4"/>
      <c r="N232" s="4"/>
      <c r="O232" s="4"/>
      <c r="P232" s="4"/>
      <c r="Q232" s="4"/>
      <c r="R232" s="4"/>
      <c r="S232" s="4"/>
    </row>
    <row r="233" spans="2:19">
      <c r="B233" s="2"/>
      <c r="E233" s="4" t="s">
        <v>120</v>
      </c>
      <c r="F233" s="98" t="s">
        <v>991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113</v>
      </c>
      <c r="F236" s="4" t="s">
        <v>328</v>
      </c>
      <c r="G236" s="2"/>
      <c r="H236" s="2"/>
      <c r="I236" s="2"/>
      <c r="L236" s="2"/>
      <c r="M236" s="2"/>
      <c r="N236" s="2"/>
      <c r="O236" s="2"/>
      <c r="P236" s="2"/>
      <c r="Q236" s="2"/>
      <c r="R236" s="4"/>
      <c r="S236" s="4"/>
    </row>
    <row r="237" spans="2:19">
      <c r="B237" s="4"/>
      <c r="C237" s="4"/>
      <c r="F237" s="4" t="s">
        <v>662</v>
      </c>
      <c r="G237" s="4" t="s">
        <v>731</v>
      </c>
      <c r="I237" s="4"/>
      <c r="M237" s="4"/>
      <c r="N237" s="4"/>
      <c r="O237" s="4"/>
      <c r="P237" s="4"/>
      <c r="Q237" s="4"/>
      <c r="R237" s="4"/>
      <c r="S237" s="4"/>
    </row>
    <row r="238" spans="2:19">
      <c r="B238" s="4"/>
      <c r="C238" s="4"/>
      <c r="F238" s="4"/>
      <c r="G238" s="4" t="s">
        <v>822</v>
      </c>
      <c r="I238" s="4"/>
      <c r="M238" s="4"/>
      <c r="N238" s="4"/>
      <c r="O238" s="4"/>
      <c r="P238" s="4"/>
      <c r="Q238" s="4"/>
      <c r="R238" s="4"/>
      <c r="S238" s="4"/>
    </row>
    <row r="239" spans="2:19">
      <c r="B239" s="4"/>
      <c r="C239" s="4"/>
      <c r="E239" t="s">
        <v>114</v>
      </c>
      <c r="F239" s="136" t="s">
        <v>448</v>
      </c>
      <c r="G239" s="2"/>
      <c r="H239" s="2"/>
      <c r="I239" s="2"/>
      <c r="L239" s="2"/>
      <c r="M239" s="2"/>
      <c r="N239" s="2"/>
      <c r="O239" s="2"/>
      <c r="P239" s="2"/>
      <c r="Q239" s="2"/>
      <c r="R239" s="2"/>
      <c r="S239" s="2"/>
    </row>
    <row r="240" spans="2:19">
      <c r="B240" s="4"/>
      <c r="C240" s="4"/>
      <c r="F240" s="4" t="s">
        <v>662</v>
      </c>
      <c r="G240" s="4" t="s">
        <v>734</v>
      </c>
      <c r="I240" s="4"/>
      <c r="M240" s="4"/>
      <c r="N240" s="4"/>
      <c r="O240" s="4"/>
      <c r="P240" s="4"/>
      <c r="Q240" s="4"/>
      <c r="R240" s="4"/>
      <c r="S240" s="4"/>
    </row>
    <row r="241" spans="2:21">
      <c r="B241" s="4"/>
      <c r="C241" s="4"/>
      <c r="F241" s="4"/>
      <c r="G241" s="4" t="s">
        <v>697</v>
      </c>
      <c r="H241" s="4" t="s">
        <v>980</v>
      </c>
      <c r="I241" s="4"/>
      <c r="M241" s="4"/>
      <c r="N241" s="4"/>
      <c r="O241" s="4"/>
      <c r="P241" s="4"/>
      <c r="Q241" s="4"/>
      <c r="R241" s="4"/>
      <c r="S241" s="4"/>
    </row>
    <row r="242" spans="2:21">
      <c r="B242" s="4"/>
      <c r="C242" s="4"/>
      <c r="F242" s="4" t="s">
        <v>349</v>
      </c>
      <c r="G242" s="136" t="s">
        <v>735</v>
      </c>
      <c r="I242" s="4"/>
      <c r="M242" s="4"/>
      <c r="N242" s="4"/>
      <c r="O242" s="4"/>
      <c r="P242" s="4"/>
      <c r="Q242" s="4"/>
      <c r="R242" s="4"/>
      <c r="S242" s="4"/>
    </row>
    <row r="243" spans="2:21">
      <c r="B243" s="4"/>
      <c r="C243" s="4"/>
      <c r="E243" t="s">
        <v>120</v>
      </c>
      <c r="F243" s="4" t="s">
        <v>662</v>
      </c>
      <c r="G243" s="136" t="s">
        <v>981</v>
      </c>
      <c r="I243" s="4"/>
      <c r="M243" s="4"/>
      <c r="N243" s="4"/>
      <c r="O243" s="4"/>
      <c r="P243" s="4"/>
      <c r="Q243" s="4"/>
      <c r="R243" s="4"/>
      <c r="S243" s="4"/>
    </row>
    <row r="244" spans="2:21">
      <c r="B244" s="4"/>
      <c r="C244" s="4"/>
      <c r="F244" s="4" t="s">
        <v>349</v>
      </c>
      <c r="G244" s="136" t="s">
        <v>982</v>
      </c>
      <c r="I244" s="4"/>
      <c r="M244" s="4"/>
      <c r="N244" s="4"/>
      <c r="O244" s="4"/>
      <c r="P244" s="4"/>
      <c r="Q244" s="4"/>
      <c r="R244" s="4"/>
      <c r="S244" s="4"/>
    </row>
    <row r="245" spans="2:21">
      <c r="B245" s="4"/>
      <c r="C245" s="4"/>
      <c r="F245" s="4" t="s">
        <v>350</v>
      </c>
      <c r="G245" s="136" t="s">
        <v>732</v>
      </c>
      <c r="I245" s="4"/>
      <c r="M245" s="4"/>
      <c r="N245" s="4"/>
      <c r="O245" s="4"/>
      <c r="P245" s="4"/>
      <c r="Q245" s="4"/>
      <c r="R245" s="4"/>
      <c r="S245" s="4"/>
    </row>
    <row r="246" spans="2:21">
      <c r="B246" s="4"/>
      <c r="C246" s="4"/>
      <c r="F246" s="4"/>
      <c r="G246" s="136" t="s">
        <v>733</v>
      </c>
      <c r="I246" s="4"/>
      <c r="M246" s="4"/>
      <c r="N246" s="4"/>
      <c r="O246" s="4"/>
      <c r="P246" s="4"/>
      <c r="Q246" s="4"/>
      <c r="R246" s="4"/>
      <c r="S246" s="4"/>
    </row>
    <row r="247" spans="2:21">
      <c r="B247" s="4"/>
      <c r="C247" s="4"/>
      <c r="D247" s="2"/>
      <c r="E247" s="4" t="s">
        <v>120</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113</v>
      </c>
      <c r="F252" s="4" t="s">
        <v>72</v>
      </c>
      <c r="G252" s="4"/>
      <c r="I252" s="4"/>
      <c r="J252" s="4"/>
      <c r="K252" s="4"/>
      <c r="L252" s="4"/>
      <c r="M252" s="4"/>
      <c r="N252" s="4"/>
      <c r="O252" s="4"/>
      <c r="P252" s="4"/>
      <c r="Q252" s="4"/>
      <c r="R252" s="4"/>
      <c r="S252" s="4"/>
      <c r="T252" s="4"/>
      <c r="U252" s="4"/>
    </row>
    <row r="253" spans="2:21">
      <c r="B253" s="2"/>
      <c r="C253" s="2"/>
      <c r="E253" s="4"/>
      <c r="F253" s="120" t="s">
        <v>1288</v>
      </c>
      <c r="G253" s="4"/>
      <c r="I253" s="120"/>
      <c r="J253" s="4"/>
      <c r="K253" s="4"/>
      <c r="L253" s="4"/>
      <c r="M253" s="4"/>
      <c r="N253" s="4"/>
      <c r="O253" s="4"/>
      <c r="P253" s="4"/>
      <c r="Q253" s="4"/>
      <c r="R253" s="4"/>
      <c r="S253" s="4"/>
      <c r="T253" s="4"/>
      <c r="U253" s="4"/>
    </row>
    <row r="254" spans="2:21">
      <c r="B254" s="2"/>
      <c r="C254" s="2"/>
      <c r="E254" s="4" t="s">
        <v>114</v>
      </c>
      <c r="F254" s="4" t="s">
        <v>977</v>
      </c>
      <c r="I254" s="4"/>
      <c r="J254" s="4"/>
      <c r="K254" s="4"/>
      <c r="L254" s="4"/>
      <c r="M254" s="4"/>
      <c r="N254" s="4"/>
      <c r="O254" s="4"/>
      <c r="P254" s="4"/>
      <c r="Q254" s="4"/>
      <c r="R254" s="4"/>
      <c r="S254" s="4"/>
      <c r="T254" s="4"/>
      <c r="U254" s="4"/>
    </row>
    <row r="255" spans="2:21">
      <c r="B255" s="2"/>
      <c r="C255" s="2"/>
      <c r="E255" s="4"/>
      <c r="F255" s="218" t="s">
        <v>662</v>
      </c>
      <c r="G255" s="218" t="s">
        <v>836</v>
      </c>
      <c r="I255" s="3"/>
      <c r="K255" s="3"/>
      <c r="L255" s="3"/>
      <c r="M255" s="3"/>
      <c r="N255" s="3"/>
      <c r="O255" s="3"/>
      <c r="Q255" s="4"/>
      <c r="R255" s="4"/>
      <c r="S255" s="4"/>
      <c r="T255" s="4"/>
      <c r="U255" s="4"/>
    </row>
    <row r="256" spans="2:21">
      <c r="B256" s="2"/>
      <c r="C256" s="2"/>
      <c r="E256" s="4"/>
      <c r="F256" s="218"/>
      <c r="G256" s="218" t="s">
        <v>837</v>
      </c>
      <c r="I256" s="3"/>
      <c r="K256" s="3"/>
      <c r="L256" s="3"/>
      <c r="M256" s="3"/>
      <c r="N256" s="3"/>
      <c r="O256" s="3"/>
      <c r="P256" s="3"/>
    </row>
    <row r="257" spans="2:21">
      <c r="B257" s="2"/>
      <c r="C257" s="2"/>
      <c r="E257" s="4"/>
      <c r="F257" s="218" t="s">
        <v>349</v>
      </c>
      <c r="G257" s="218" t="s">
        <v>983</v>
      </c>
      <c r="I257" s="4"/>
      <c r="K257" s="4"/>
      <c r="L257" s="4"/>
      <c r="M257" s="4"/>
      <c r="N257" s="4"/>
      <c r="O257" s="4"/>
      <c r="P257" s="3"/>
    </row>
    <row r="258" spans="2:21">
      <c r="B258" s="2"/>
      <c r="C258" s="2"/>
      <c r="E258" s="4"/>
      <c r="F258" s="218"/>
      <c r="G258" s="218" t="s">
        <v>898</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113</v>
      </c>
      <c r="F261" s="4" t="s">
        <v>254</v>
      </c>
      <c r="G261" s="4"/>
      <c r="I261" s="4"/>
      <c r="J261" s="4"/>
      <c r="K261" s="4"/>
      <c r="L261" s="4"/>
      <c r="M261" s="4"/>
      <c r="N261" s="4"/>
      <c r="O261" s="4"/>
      <c r="P261" s="4"/>
      <c r="Q261" s="4"/>
      <c r="R261" s="4"/>
      <c r="S261" s="4"/>
    </row>
    <row r="262" spans="2:21">
      <c r="B262" s="2"/>
      <c r="C262" s="2"/>
      <c r="E262" s="4" t="s">
        <v>114</v>
      </c>
      <c r="F262" s="4" t="s">
        <v>828</v>
      </c>
      <c r="G262" s="4"/>
      <c r="I262" s="4"/>
      <c r="J262" s="4"/>
      <c r="K262" s="4"/>
      <c r="L262" s="4"/>
      <c r="M262" s="4"/>
      <c r="N262" s="4"/>
      <c r="O262" s="4"/>
      <c r="P262" s="4"/>
      <c r="Q262" s="4"/>
      <c r="R262" s="4"/>
      <c r="S262" s="4"/>
    </row>
    <row r="263" spans="2:21">
      <c r="B263" s="2"/>
      <c r="C263" s="2"/>
      <c r="E263" s="4" t="s">
        <v>120</v>
      </c>
      <c r="F263" s="4" t="s">
        <v>255</v>
      </c>
      <c r="I263" s="4"/>
      <c r="J263" s="4"/>
      <c r="K263" s="4"/>
      <c r="L263" s="4"/>
      <c r="M263" s="4"/>
      <c r="N263" s="4"/>
      <c r="O263" s="4"/>
      <c r="P263" s="4"/>
      <c r="Q263" s="4"/>
      <c r="R263" s="4"/>
      <c r="S263" s="4"/>
    </row>
    <row r="264" spans="2:21">
      <c r="B264" s="2"/>
      <c r="C264" s="2"/>
      <c r="E264" s="2"/>
      <c r="F264" s="4" t="s">
        <v>829</v>
      </c>
      <c r="I264" s="4"/>
      <c r="J264" s="4"/>
      <c r="K264" s="4"/>
      <c r="L264" s="4"/>
      <c r="M264" s="4"/>
      <c r="N264" s="4"/>
      <c r="O264" s="4"/>
      <c r="P264" s="4"/>
      <c r="Q264" s="4"/>
      <c r="R264" s="4"/>
      <c r="S264" s="4"/>
    </row>
    <row r="265" spans="2:21">
      <c r="B265" s="2"/>
      <c r="C265" s="2"/>
      <c r="E265" s="4" t="s">
        <v>590</v>
      </c>
      <c r="F265" s="218" t="s">
        <v>838</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73</v>
      </c>
      <c r="G267" s="4"/>
      <c r="H267" s="4"/>
      <c r="I267" s="4"/>
      <c r="J267" s="4"/>
      <c r="K267" s="4"/>
      <c r="L267" s="4"/>
      <c r="M267" s="4"/>
      <c r="N267" s="4"/>
      <c r="O267" s="4"/>
      <c r="P267" s="4"/>
      <c r="Q267" s="4"/>
      <c r="R267" s="4"/>
      <c r="S267" s="4"/>
    </row>
    <row r="268" spans="2:21">
      <c r="B268" s="2"/>
      <c r="C268" s="2"/>
      <c r="E268" s="4" t="s">
        <v>1076</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984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1068</v>
      </c>
      <c r="J275" s="4"/>
      <c r="K275" s="4"/>
      <c r="L275" s="4"/>
      <c r="M275" s="4"/>
      <c r="N275" s="4"/>
      <c r="O275" s="4"/>
      <c r="P275" s="4"/>
      <c r="Q275" s="4"/>
      <c r="R275" s="4"/>
      <c r="S275" s="4"/>
      <c r="T275" s="4"/>
      <c r="U275" s="4"/>
    </row>
    <row r="276" spans="2:21">
      <c r="B276" s="2"/>
      <c r="D276" s="4"/>
      <c r="E276" s="4" t="s">
        <v>978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985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986</v>
      </c>
      <c r="F285" s="120"/>
      <c r="G285" s="4"/>
      <c r="H285" s="120"/>
      <c r="I285" s="120"/>
      <c r="J285" s="4"/>
      <c r="K285" s="4"/>
      <c r="L285" s="4"/>
      <c r="M285" s="4"/>
      <c r="P285" s="4"/>
      <c r="Q285" s="4"/>
      <c r="R285" s="4"/>
      <c r="S285" s="4"/>
    </row>
    <row r="286" spans="2:21">
      <c r="B286" s="2"/>
      <c r="D286" s="2"/>
      <c r="E286" s="484" t="s">
        <v>897</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113</v>
      </c>
      <c r="F289" s="4" t="s">
        <v>568</v>
      </c>
      <c r="G289" s="4"/>
      <c r="O289" s="4"/>
      <c r="P289" s="4"/>
      <c r="Q289" s="4"/>
      <c r="R289" s="4"/>
      <c r="S289" s="4"/>
      <c r="T289" s="4"/>
      <c r="U289" s="4"/>
      <c r="V289" s="4"/>
      <c r="W289" s="4"/>
    </row>
    <row r="290" spans="2:23">
      <c r="B290" s="2"/>
      <c r="D290" s="4"/>
      <c r="E290" s="4"/>
      <c r="F290" s="120" t="s">
        <v>1289</v>
      </c>
      <c r="G290" s="120"/>
      <c r="H290" s="120"/>
      <c r="I290" s="120"/>
      <c r="J290" s="120"/>
      <c r="K290" s="120"/>
      <c r="L290" s="120"/>
      <c r="M290" s="120"/>
      <c r="N290" s="120"/>
      <c r="O290" s="4"/>
      <c r="P290" s="4"/>
      <c r="Q290" s="4"/>
      <c r="R290" s="4"/>
      <c r="S290" s="4"/>
      <c r="T290" s="4"/>
      <c r="U290" s="4"/>
      <c r="V290" s="4"/>
      <c r="W290" s="4"/>
    </row>
    <row r="291" spans="2:23">
      <c r="B291" s="2"/>
      <c r="D291" s="4"/>
      <c r="E291" s="4" t="s">
        <v>114</v>
      </c>
      <c r="F291" s="4" t="s">
        <v>569</v>
      </c>
      <c r="G291" s="4"/>
      <c r="L291" s="4"/>
      <c r="M291" s="4"/>
      <c r="N291" s="4"/>
      <c r="O291" s="4"/>
      <c r="P291" s="4"/>
      <c r="Q291" s="4"/>
      <c r="R291" s="4"/>
      <c r="S291" s="4"/>
      <c r="T291" s="4"/>
      <c r="U291" s="4"/>
      <c r="V291" s="4"/>
      <c r="W291" s="4"/>
    </row>
    <row r="292" spans="2:23">
      <c r="B292" s="2"/>
      <c r="D292" s="4"/>
      <c r="E292" s="4" t="s">
        <v>120</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979</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754</v>
      </c>
      <c r="G299" s="4"/>
      <c r="K299" s="4"/>
      <c r="L299" s="4"/>
      <c r="M299" s="4"/>
      <c r="N299" s="4"/>
      <c r="O299" s="4"/>
      <c r="P299" s="4"/>
      <c r="Q299" s="4"/>
      <c r="R299" s="4"/>
      <c r="S299" s="4"/>
      <c r="T299" s="4"/>
      <c r="U299" s="4"/>
      <c r="V299" s="4"/>
      <c r="W299" s="4"/>
    </row>
    <row r="300" spans="2:23">
      <c r="B300" s="2"/>
      <c r="D300" s="4"/>
      <c r="E300" s="4" t="s">
        <v>787</v>
      </c>
      <c r="F300" s="4" t="s">
        <v>761</v>
      </c>
      <c r="G300" s="4"/>
      <c r="K300" s="4"/>
      <c r="L300" s="4"/>
      <c r="M300" s="4"/>
      <c r="N300" s="4"/>
      <c r="O300" s="4"/>
      <c r="P300" s="4"/>
      <c r="Q300" s="4"/>
      <c r="R300" s="4"/>
      <c r="S300" s="4"/>
      <c r="T300" s="4"/>
      <c r="U300" s="4"/>
      <c r="V300" s="4"/>
      <c r="W300" s="4"/>
    </row>
    <row r="301" spans="2:23">
      <c r="B301" s="2"/>
      <c r="D301" s="4"/>
      <c r="E301" s="4"/>
      <c r="F301" s="120" t="s">
        <v>1003</v>
      </c>
      <c r="G301" s="120"/>
      <c r="H301" s="120"/>
      <c r="I301" s="120"/>
      <c r="J301" s="120"/>
      <c r="K301" s="120"/>
      <c r="L301" s="120"/>
      <c r="M301" s="4"/>
      <c r="N301" s="4"/>
      <c r="O301" s="4"/>
      <c r="P301" s="4"/>
      <c r="Q301" s="4"/>
      <c r="R301" s="4"/>
      <c r="S301" s="4"/>
      <c r="T301" s="4"/>
      <c r="U301" s="4"/>
      <c r="V301" s="4"/>
      <c r="W301" s="4"/>
    </row>
    <row r="302" spans="2:23">
      <c r="B302" s="2"/>
      <c r="D302" s="4"/>
      <c r="E302" s="4"/>
      <c r="F302" s="120" t="s">
        <v>1004</v>
      </c>
      <c r="G302" s="120"/>
      <c r="H302" s="120"/>
      <c r="I302" s="120"/>
      <c r="J302" s="120"/>
      <c r="K302" s="120"/>
      <c r="L302" s="120"/>
      <c r="M302" s="4"/>
      <c r="N302" s="4"/>
      <c r="O302" s="4"/>
      <c r="P302" s="4"/>
      <c r="Q302" s="4"/>
      <c r="R302" s="4"/>
      <c r="S302" s="4"/>
      <c r="T302" s="4"/>
      <c r="U302" s="4"/>
      <c r="V302" s="4"/>
      <c r="W302" s="4"/>
    </row>
    <row r="303" spans="2:23">
      <c r="B303" s="2"/>
      <c r="D303" s="4"/>
      <c r="E303" s="4"/>
      <c r="F303" s="120" t="s">
        <v>1005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987</v>
      </c>
      <c r="F306" s="4"/>
      <c r="K306" s="4"/>
      <c r="L306" s="4"/>
      <c r="M306" s="4"/>
      <c r="N306" s="4"/>
      <c r="O306" s="4"/>
      <c r="P306" s="4"/>
      <c r="Q306" s="4"/>
      <c r="R306" s="4"/>
      <c r="S306" s="4"/>
      <c r="T306" s="4"/>
      <c r="U306" s="4"/>
      <c r="V306" s="4"/>
      <c r="W306" s="4"/>
    </row>
    <row r="307" spans="2:23">
      <c r="B307" s="2"/>
      <c r="D307" s="2"/>
      <c r="E307" s="4" t="s">
        <v>985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823</v>
      </c>
      <c r="F312" s="4"/>
      <c r="G312" s="4"/>
      <c r="I312" s="4"/>
      <c r="K312" s="4"/>
    </row>
    <row r="313" spans="2:23">
      <c r="B313" s="2"/>
      <c r="D313" s="2"/>
      <c r="E313" s="4" t="s">
        <v>988</v>
      </c>
      <c r="F313" s="4"/>
      <c r="G313" s="4"/>
      <c r="I313" s="4"/>
      <c r="K313" s="4"/>
    </row>
    <row r="314" spans="2:23">
      <c r="B314" s="2"/>
      <c r="D314" s="2"/>
      <c r="E314" s="4" t="s">
        <v>824</v>
      </c>
      <c r="F314" s="4"/>
      <c r="G314" s="4"/>
      <c r="I314" s="4"/>
      <c r="K314" s="4"/>
    </row>
    <row r="315" spans="2:23">
      <c r="B315" s="2"/>
      <c r="D315" s="2"/>
      <c r="G315" s="4"/>
      <c r="I315" s="4"/>
      <c r="K315" s="4"/>
    </row>
    <row r="316" spans="2:23">
      <c r="B316" s="2"/>
      <c r="D316" s="2" t="s">
        <v>342</v>
      </c>
      <c r="E316" s="2" t="s">
        <v>763</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747</v>
      </c>
      <c r="F319" s="3"/>
      <c r="G319" s="4"/>
      <c r="H319" s="4"/>
      <c r="I319" s="4"/>
      <c r="J319" s="4"/>
      <c r="K319" s="4"/>
      <c r="L319" s="4"/>
      <c r="M319" s="4"/>
      <c r="N319" s="4"/>
      <c r="O319" s="4"/>
      <c r="P319" s="4"/>
      <c r="Q319" s="4"/>
      <c r="R319" s="4"/>
      <c r="S319" s="4"/>
    </row>
    <row r="320" spans="2:23">
      <c r="B320" s="2"/>
      <c r="E320" t="s">
        <v>744</v>
      </c>
      <c r="I320" s="4"/>
      <c r="J320" s="4"/>
      <c r="K320" s="4"/>
      <c r="L320" s="4"/>
      <c r="M320" s="4"/>
      <c r="N320" s="4"/>
      <c r="O320" s="4"/>
      <c r="P320" s="4"/>
      <c r="Q320" s="4"/>
      <c r="R320" s="4"/>
      <c r="S320" s="4"/>
    </row>
    <row r="321" spans="1:38">
      <c r="B321" s="2"/>
      <c r="E321" t="s">
        <v>745</v>
      </c>
      <c r="I321" s="4"/>
      <c r="J321" s="4"/>
      <c r="K321" s="4"/>
      <c r="L321" s="4"/>
      <c r="M321" s="4"/>
      <c r="N321" s="4"/>
      <c r="O321" s="4"/>
      <c r="P321" s="4"/>
      <c r="Q321" s="4"/>
      <c r="R321" s="4"/>
      <c r="S321" s="4"/>
    </row>
    <row r="322" spans="1:38">
      <c r="B322" s="2"/>
      <c r="E322" t="s">
        <v>746</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113</v>
      </c>
      <c r="F326" s="4" t="s">
        <v>989</v>
      </c>
      <c r="J326" s="4"/>
      <c r="K326" s="4"/>
      <c r="L326" s="4"/>
      <c r="M326" s="4"/>
      <c r="N326" s="4"/>
      <c r="O326" s="4"/>
      <c r="P326" s="4"/>
      <c r="Q326" s="4"/>
      <c r="R326" s="4"/>
      <c r="S326" s="4"/>
    </row>
    <row r="327" spans="1:38">
      <c r="E327" s="4" t="s">
        <v>114</v>
      </c>
      <c r="F327" t="s">
        <v>748</v>
      </c>
      <c r="J327" s="4"/>
      <c r="K327" s="4"/>
      <c r="L327" s="4"/>
      <c r="M327" s="4"/>
      <c r="N327" s="4"/>
      <c r="O327" s="4"/>
      <c r="P327" s="4"/>
      <c r="Q327" s="4"/>
      <c r="R327" s="4"/>
      <c r="S327" s="4"/>
    </row>
    <row r="328" spans="1:38">
      <c r="F328" s="120" t="s">
        <v>1290</v>
      </c>
      <c r="I328" s="120"/>
      <c r="J328" s="4"/>
      <c r="K328" s="4"/>
      <c r="L328" s="4"/>
      <c r="M328" s="4"/>
      <c r="N328" s="4"/>
      <c r="O328" s="4"/>
      <c r="P328" s="4"/>
      <c r="Q328" s="4"/>
      <c r="R328" s="4"/>
      <c r="S328" s="4"/>
    </row>
    <row r="329" spans="1:38">
      <c r="F329" s="120" t="s">
        <v>1291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113</v>
      </c>
      <c r="F335" t="s">
        <v>751</v>
      </c>
      <c r="J335" s="4"/>
      <c r="K335" s="4"/>
      <c r="L335" s="4"/>
      <c r="M335" s="4"/>
      <c r="N335" s="4"/>
      <c r="O335" s="4"/>
      <c r="P335" s="4"/>
      <c r="Q335" s="4"/>
      <c r="R335" s="4"/>
      <c r="S335" s="4"/>
    </row>
    <row r="336" spans="1:38">
      <c r="B336" s="2"/>
      <c r="E336" s="4"/>
      <c r="F336" s="4" t="s">
        <v>752</v>
      </c>
      <c r="J336" s="4"/>
      <c r="K336" s="4"/>
      <c r="L336" s="4"/>
      <c r="M336" s="4"/>
      <c r="N336" s="4"/>
      <c r="O336" s="4"/>
      <c r="P336" s="4"/>
      <c r="Q336" s="4"/>
      <c r="R336" s="4"/>
      <c r="S336" s="4"/>
    </row>
    <row r="337" spans="2:37">
      <c r="B337" s="2"/>
      <c r="E337" s="4"/>
      <c r="F337" s="4" t="s">
        <v>753</v>
      </c>
      <c r="I337" s="4"/>
      <c r="J337" s="4"/>
      <c r="K337" s="4"/>
      <c r="L337" s="4"/>
      <c r="M337" s="4"/>
      <c r="N337" s="4"/>
      <c r="O337" s="4"/>
      <c r="P337" s="4"/>
      <c r="Q337" s="4"/>
      <c r="R337" s="4"/>
      <c r="S337" s="4"/>
    </row>
    <row r="338" spans="2:37">
      <c r="B338" s="2"/>
      <c r="E338" s="4" t="s">
        <v>114</v>
      </c>
      <c r="F338" s="1262" t="s">
        <v>1294</v>
      </c>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E339" s="4"/>
      <c r="F339" s="1262"/>
      <c r="G339" s="1262"/>
      <c r="H339" s="1262"/>
      <c r="I339" s="1262"/>
      <c r="J339" s="1262"/>
      <c r="K339" s="1262"/>
      <c r="L339" s="1262"/>
      <c r="M339" s="1262"/>
      <c r="N339" s="1262"/>
      <c r="O339" s="1262"/>
      <c r="P339" s="1262"/>
      <c r="Q339" s="1262"/>
      <c r="R339" s="1262"/>
      <c r="S339" s="1262"/>
      <c r="T339" s="1262"/>
      <c r="U339" s="1262"/>
      <c r="V339" s="1262"/>
      <c r="W339" s="1262"/>
      <c r="X339" s="1262"/>
      <c r="Y339" s="1262"/>
      <c r="Z339" s="1262"/>
      <c r="AA339" s="1262"/>
      <c r="AB339" s="1262"/>
      <c r="AC339" s="1262"/>
      <c r="AD339" s="1262"/>
      <c r="AE339" s="1262"/>
      <c r="AF339" s="1262"/>
      <c r="AG339" s="1262"/>
      <c r="AH339" s="1262"/>
      <c r="AI339" s="1262"/>
      <c r="AJ339" s="1262"/>
      <c r="AK339" s="1262"/>
    </row>
    <row r="340" spans="2:37">
      <c r="B340" s="2"/>
      <c r="E340" s="4"/>
      <c r="F340" s="1262"/>
      <c r="G340" s="1262"/>
      <c r="H340" s="1262"/>
      <c r="I340" s="1262"/>
      <c r="J340" s="1262"/>
      <c r="K340" s="1262"/>
      <c r="L340" s="1262"/>
      <c r="M340" s="1262"/>
      <c r="N340" s="1262"/>
      <c r="O340" s="1262"/>
      <c r="P340" s="1262"/>
      <c r="Q340" s="1262"/>
      <c r="R340" s="1262"/>
      <c r="S340" s="1262"/>
      <c r="T340" s="1262"/>
      <c r="U340" s="1262"/>
      <c r="V340" s="1262"/>
      <c r="W340" s="1262"/>
      <c r="X340" s="1262"/>
      <c r="Y340" s="1262"/>
      <c r="Z340" s="1262"/>
      <c r="AA340" s="1262"/>
      <c r="AB340" s="1262"/>
      <c r="AC340" s="1262"/>
      <c r="AD340" s="1262"/>
      <c r="AE340" s="1262"/>
      <c r="AF340" s="1262"/>
      <c r="AG340" s="1262"/>
      <c r="AH340" s="1262"/>
      <c r="AI340" s="1262"/>
      <c r="AJ340" s="1262"/>
      <c r="AK340" s="1262"/>
    </row>
    <row r="341" spans="2:37">
      <c r="B341" s="2"/>
      <c r="F341" s="4"/>
      <c r="H341" s="4"/>
      <c r="I341" s="4"/>
      <c r="J341" s="4"/>
      <c r="K341" s="4"/>
      <c r="L341" s="4"/>
      <c r="M341" s="4"/>
      <c r="N341" s="4"/>
      <c r="O341" s="4"/>
      <c r="P341" s="4"/>
      <c r="Q341" s="4"/>
      <c r="R341" s="4"/>
      <c r="S341" s="4"/>
    </row>
    <row r="342" spans="2:37">
      <c r="B342" s="2"/>
      <c r="C342" s="2" t="s">
        <v>432</v>
      </c>
      <c r="G342" s="2" t="s">
        <v>1375</v>
      </c>
      <c r="I342" s="2"/>
      <c r="J342" s="4"/>
      <c r="K342" s="4"/>
      <c r="L342" s="4"/>
      <c r="M342" s="4"/>
      <c r="N342" s="4"/>
      <c r="O342" s="4"/>
      <c r="P342" s="4"/>
      <c r="Q342" s="4"/>
      <c r="R342" s="4"/>
      <c r="S342" s="4"/>
    </row>
    <row r="343" spans="2:37" ht="13.15" customHeight="1">
      <c r="B343" s="2"/>
      <c r="E343" s="1264" t="s">
        <v>1382</v>
      </c>
      <c r="F343" s="1264"/>
      <c r="G343" s="1264"/>
      <c r="H343" s="1264"/>
      <c r="I343" s="1264"/>
      <c r="J343" s="1264"/>
      <c r="K343" s="1264"/>
      <c r="L343" s="1264"/>
      <c r="M343" s="1264"/>
      <c r="N343" s="1264"/>
      <c r="O343" s="1264"/>
      <c r="P343" s="1264"/>
      <c r="Q343" s="1264"/>
      <c r="R343" s="1264"/>
      <c r="S343" s="1264"/>
      <c r="T343" s="1264"/>
      <c r="U343" s="1264"/>
      <c r="V343" s="1264"/>
      <c r="W343" s="1264"/>
      <c r="X343" s="1264"/>
      <c r="Y343" s="1264"/>
      <c r="Z343" s="1264"/>
      <c r="AA343" s="1264"/>
      <c r="AB343" s="1264"/>
      <c r="AC343" s="1264"/>
      <c r="AD343" s="1264"/>
      <c r="AE343" s="1264"/>
      <c r="AF343" s="1264"/>
      <c r="AG343" s="1264"/>
      <c r="AH343" s="1264"/>
      <c r="AI343" s="1264"/>
      <c r="AJ343" s="1264"/>
      <c r="AK343" s="1264"/>
    </row>
    <row r="344" spans="2:37">
      <c r="B344" s="2"/>
      <c r="E344" s="1264"/>
      <c r="F344" s="1264"/>
      <c r="G344" s="1264"/>
      <c r="H344" s="1264"/>
      <c r="I344" s="1264"/>
      <c r="J344" s="1264"/>
      <c r="K344" s="1264"/>
      <c r="L344" s="1264"/>
      <c r="M344" s="1264"/>
      <c r="N344" s="1264"/>
      <c r="O344" s="1264"/>
      <c r="P344" s="1264"/>
      <c r="Q344" s="1264"/>
      <c r="R344" s="1264"/>
      <c r="S344" s="1264"/>
      <c r="T344" s="1264"/>
      <c r="U344" s="1264"/>
      <c r="V344" s="1264"/>
      <c r="W344" s="1264"/>
      <c r="X344" s="1264"/>
      <c r="Y344" s="1264"/>
      <c r="Z344" s="1264"/>
      <c r="AA344" s="1264"/>
      <c r="AB344" s="1264"/>
      <c r="AC344" s="1264"/>
      <c r="AD344" s="1264"/>
      <c r="AE344" s="1264"/>
      <c r="AF344" s="1264"/>
      <c r="AG344" s="1264"/>
      <c r="AH344" s="1264"/>
      <c r="AI344" s="1264"/>
      <c r="AJ344" s="1264"/>
      <c r="AK344" s="1264"/>
    </row>
    <row r="345" spans="2:37">
      <c r="B345" s="2"/>
      <c r="E345" s="1264"/>
      <c r="F345" s="1264"/>
      <c r="G345" s="1264"/>
      <c r="H345" s="1264"/>
      <c r="I345" s="1264"/>
      <c r="J345" s="1264"/>
      <c r="K345" s="1264"/>
      <c r="L345" s="1264"/>
      <c r="M345" s="1264"/>
      <c r="N345" s="1264"/>
      <c r="O345" s="1264"/>
      <c r="P345" s="1264"/>
      <c r="Q345" s="1264"/>
      <c r="R345" s="1264"/>
      <c r="S345" s="1264"/>
      <c r="T345" s="1264"/>
      <c r="U345" s="1264"/>
      <c r="V345" s="1264"/>
      <c r="W345" s="1264"/>
      <c r="X345" s="1264"/>
      <c r="Y345" s="1264"/>
      <c r="Z345" s="1264"/>
      <c r="AA345" s="1264"/>
      <c r="AB345" s="1264"/>
      <c r="AC345" s="1264"/>
      <c r="AD345" s="1264"/>
      <c r="AE345" s="1264"/>
      <c r="AF345" s="1264"/>
      <c r="AG345" s="1264"/>
      <c r="AH345" s="1264"/>
      <c r="AI345" s="1264"/>
      <c r="AJ345" s="1264"/>
      <c r="AK345" s="1264"/>
    </row>
    <row r="346" spans="2:37">
      <c r="B346" s="2"/>
      <c r="E346" s="1264"/>
      <c r="F346" s="1264"/>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1264"/>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t="s">
        <v>113</v>
      </c>
      <c r="F348" s="1262" t="s">
        <v>1384</v>
      </c>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c r="F350" s="1262"/>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E351" s="3"/>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E352" s="3" t="s">
        <v>114</v>
      </c>
      <c r="F352" s="1262" t="s">
        <v>1383</v>
      </c>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1262"/>
      <c r="G353" s="1262"/>
      <c r="H353" s="1262"/>
      <c r="I353" s="1262"/>
      <c r="J353" s="1262"/>
      <c r="K353" s="1262"/>
      <c r="L353" s="1262"/>
      <c r="M353" s="1262"/>
      <c r="N353" s="1262"/>
      <c r="O353" s="1262"/>
      <c r="P353" s="1262"/>
      <c r="Q353" s="1262"/>
      <c r="R353" s="1262"/>
      <c r="S353" s="1262"/>
      <c r="T353" s="1262"/>
      <c r="U353" s="1262"/>
      <c r="V353" s="1262"/>
      <c r="W353" s="1262"/>
      <c r="X353" s="1262"/>
      <c r="Y353" s="1262"/>
      <c r="Z353" s="1262"/>
      <c r="AA353" s="1262"/>
      <c r="AB353" s="1262"/>
      <c r="AC353" s="1262"/>
      <c r="AD353" s="1262"/>
      <c r="AE353" s="1262"/>
      <c r="AF353" s="1262"/>
      <c r="AG353" s="1262"/>
      <c r="AH353" s="1262"/>
      <c r="AI353" s="1262"/>
      <c r="AJ353" s="1262"/>
      <c r="AK353" s="1262"/>
    </row>
    <row r="354" spans="1:38">
      <c r="B354" s="2"/>
      <c r="F354" s="1262"/>
      <c r="G354" s="1262"/>
      <c r="H354" s="1262"/>
      <c r="I354" s="1262"/>
      <c r="J354" s="1262"/>
      <c r="K354" s="1262"/>
      <c r="L354" s="1262"/>
      <c r="M354" s="1262"/>
      <c r="N354" s="1262"/>
      <c r="O354" s="1262"/>
      <c r="P354" s="1262"/>
      <c r="Q354" s="1262"/>
      <c r="R354" s="1262"/>
      <c r="S354" s="1262"/>
      <c r="T354" s="1262"/>
      <c r="U354" s="1262"/>
      <c r="V354" s="1262"/>
      <c r="W354" s="1262"/>
      <c r="X354" s="1262"/>
      <c r="Y354" s="1262"/>
      <c r="Z354" s="1262"/>
      <c r="AA354" s="1262"/>
      <c r="AB354" s="1262"/>
      <c r="AC354" s="1262"/>
      <c r="AD354" s="1262"/>
      <c r="AE354" s="1262"/>
      <c r="AF354" s="1262"/>
      <c r="AG354" s="1262"/>
      <c r="AH354" s="1262"/>
      <c r="AI354" s="1262"/>
      <c r="AJ354" s="1262"/>
      <c r="AK354" s="1262"/>
    </row>
    <row r="355" spans="1:38">
      <c r="B355" s="2"/>
      <c r="F355" s="4"/>
      <c r="H355" s="4"/>
      <c r="I355" s="4"/>
      <c r="J355" s="4"/>
      <c r="K355" s="4"/>
      <c r="L355" s="4"/>
      <c r="M355" s="4"/>
      <c r="N355" s="4"/>
      <c r="O355" s="4"/>
      <c r="P355" s="4"/>
      <c r="Q355" s="4"/>
      <c r="R355" s="4"/>
      <c r="S355" s="4"/>
    </row>
    <row r="356" spans="1:38">
      <c r="A356" s="5"/>
      <c r="B356" s="11" t="s">
        <v>764</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7"/>
      <c r="E357" s="2"/>
      <c r="M357" s="4"/>
      <c r="N357" s="4"/>
      <c r="O357" s="4"/>
      <c r="P357" s="4"/>
      <c r="Q357" s="4"/>
      <c r="R357" s="4"/>
      <c r="S357" s="4"/>
      <c r="T357" s="4"/>
    </row>
    <row r="358" spans="1:38" ht="13.15" customHeight="1">
      <c r="B358" s="2"/>
      <c r="C358" s="11" t="s">
        <v>1362</v>
      </c>
      <c r="D358" s="5"/>
      <c r="E358" s="5"/>
      <c r="F358" s="5"/>
      <c r="G358" s="5"/>
      <c r="H358" s="5"/>
      <c r="I358" s="487"/>
      <c r="J358" s="487"/>
      <c r="K358" s="487"/>
      <c r="L358" s="487"/>
      <c r="M358" s="487"/>
      <c r="N358" s="487"/>
      <c r="O358" s="487"/>
      <c r="P358" s="487"/>
      <c r="Q358" s="487"/>
      <c r="R358" s="487"/>
      <c r="S358" s="487"/>
      <c r="T358" s="487"/>
      <c r="U358" s="487"/>
      <c r="V358" s="487"/>
      <c r="W358" s="487"/>
      <c r="X358" s="487"/>
      <c r="Y358" s="487"/>
      <c r="Z358" s="487"/>
      <c r="AA358" s="487"/>
      <c r="AB358" s="487"/>
      <c r="AC358" s="487"/>
      <c r="AD358" s="487"/>
      <c r="AE358" s="487"/>
      <c r="AF358" s="487"/>
      <c r="AG358" s="487"/>
      <c r="AH358" s="487"/>
      <c r="AI358" s="487"/>
      <c r="AJ358" s="487"/>
      <c r="AK358" s="487"/>
    </row>
    <row r="359" spans="1:38" ht="13.15" customHeight="1">
      <c r="B359" s="2"/>
      <c r="C359" s="2"/>
      <c r="E359" s="488"/>
      <c r="F359" s="488"/>
      <c r="G359" s="488"/>
      <c r="H359" s="488"/>
      <c r="I359" s="488"/>
      <c r="J359" s="488"/>
      <c r="K359" s="488"/>
      <c r="L359" s="488"/>
      <c r="M359" s="488"/>
      <c r="N359" s="488"/>
      <c r="O359" s="488"/>
      <c r="P359" s="488"/>
      <c r="Q359" s="488"/>
      <c r="R359" s="488"/>
      <c r="S359" s="488"/>
      <c r="T359" s="488"/>
      <c r="U359" s="488"/>
      <c r="V359" s="488"/>
      <c r="W359" s="488"/>
      <c r="X359" s="488"/>
      <c r="Y359" s="488"/>
      <c r="Z359" s="488"/>
      <c r="AA359" s="488"/>
      <c r="AB359" s="488"/>
      <c r="AC359" s="488"/>
      <c r="AD359" s="488"/>
      <c r="AE359" s="488"/>
      <c r="AF359" s="488"/>
      <c r="AG359" s="488"/>
      <c r="AH359" s="488"/>
      <c r="AI359" s="488"/>
      <c r="AJ359" s="488"/>
      <c r="AK359" s="488"/>
    </row>
    <row r="360" spans="1:38">
      <c r="B360" s="2"/>
      <c r="D360" s="2" t="s">
        <v>208</v>
      </c>
      <c r="E360" s="2" t="s">
        <v>123</v>
      </c>
      <c r="I360" s="4"/>
      <c r="J360" s="4"/>
      <c r="K360" s="4"/>
      <c r="L360" s="4"/>
      <c r="M360" s="4"/>
      <c r="N360" s="4"/>
      <c r="O360" s="4"/>
      <c r="P360" s="4"/>
      <c r="Q360" s="4"/>
      <c r="R360" s="4"/>
      <c r="S360" s="4"/>
    </row>
    <row r="361" spans="1:38">
      <c r="B361" s="2"/>
      <c r="E361" t="s">
        <v>113</v>
      </c>
      <c r="F361" s="4" t="s">
        <v>755</v>
      </c>
      <c r="I361" s="4"/>
      <c r="J361" s="4"/>
      <c r="K361" s="4"/>
      <c r="L361" s="4"/>
      <c r="M361" s="4"/>
      <c r="N361" s="4"/>
      <c r="O361" s="4"/>
      <c r="P361" s="4"/>
      <c r="Q361" s="4"/>
      <c r="R361" s="4"/>
      <c r="S361" s="4"/>
    </row>
    <row r="362" spans="1:38">
      <c r="B362" s="2"/>
      <c r="F362" s="4" t="s">
        <v>756</v>
      </c>
      <c r="I362" s="4"/>
      <c r="J362" s="4"/>
      <c r="K362" s="4"/>
      <c r="L362" s="4"/>
      <c r="M362" s="4"/>
      <c r="N362" s="4"/>
      <c r="O362" s="4"/>
      <c r="P362" s="4"/>
      <c r="Q362" s="4"/>
      <c r="R362" s="4"/>
      <c r="S362" s="4"/>
    </row>
    <row r="363" spans="1:38">
      <c r="B363" s="2"/>
      <c r="F363" s="4" t="s">
        <v>900</v>
      </c>
      <c r="G363" s="4"/>
      <c r="K363" s="4"/>
      <c r="L363" s="4"/>
      <c r="M363" s="4"/>
      <c r="N363" s="4"/>
      <c r="O363" s="4"/>
      <c r="P363" s="4"/>
      <c r="Q363" s="4"/>
      <c r="R363" s="4"/>
      <c r="S363" s="4"/>
    </row>
    <row r="364" spans="1:38">
      <c r="B364" s="2"/>
      <c r="E364" t="s">
        <v>114</v>
      </c>
      <c r="F364" s="4" t="s">
        <v>899</v>
      </c>
      <c r="I364" s="4"/>
      <c r="J364" s="4"/>
      <c r="K364" s="4"/>
      <c r="L364" s="4"/>
      <c r="M364" s="4"/>
      <c r="N364" s="4"/>
      <c r="O364" s="4"/>
      <c r="P364" s="4"/>
      <c r="Q364" s="4"/>
      <c r="R364" s="4"/>
      <c r="S364" s="4"/>
    </row>
    <row r="365" spans="1:38">
      <c r="B365" s="2"/>
      <c r="E365" t="s">
        <v>120</v>
      </c>
      <c r="F365" s="4" t="s">
        <v>757</v>
      </c>
      <c r="I365" s="4"/>
      <c r="J365" s="4"/>
      <c r="K365" s="4"/>
      <c r="L365" s="4"/>
      <c r="M365" s="4"/>
      <c r="N365" s="4"/>
      <c r="O365" s="4"/>
      <c r="P365" s="4"/>
      <c r="Q365" s="4"/>
      <c r="R365" s="4"/>
      <c r="S365" s="4"/>
    </row>
    <row r="366" spans="1:38">
      <c r="B366" s="2"/>
      <c r="F366" s="4" t="s">
        <v>758</v>
      </c>
      <c r="J366" s="4"/>
      <c r="K366" s="4"/>
      <c r="L366" s="4"/>
      <c r="M366" s="4"/>
      <c r="N366" s="4"/>
      <c r="O366" s="4"/>
      <c r="P366" s="4"/>
      <c r="Q366" s="4"/>
      <c r="R366" s="4"/>
      <c r="S366" s="4"/>
    </row>
    <row r="367" spans="1:38">
      <c r="B367" s="2"/>
      <c r="E367" s="1265" t="s">
        <v>1373</v>
      </c>
      <c r="F367" s="1265"/>
      <c r="G367" s="1265"/>
      <c r="H367" s="1265"/>
      <c r="I367" s="1265"/>
      <c r="J367" s="1265"/>
      <c r="K367" s="1265"/>
      <c r="L367" s="1265"/>
      <c r="M367" s="1265"/>
      <c r="N367" s="1265"/>
      <c r="O367" s="1265"/>
      <c r="P367" s="1265"/>
      <c r="Q367" s="1265"/>
      <c r="R367" s="1265"/>
      <c r="S367" s="1265"/>
      <c r="T367" s="1265"/>
      <c r="U367" s="1265"/>
      <c r="V367" s="1265"/>
      <c r="W367" s="1265"/>
      <c r="X367" s="1265"/>
      <c r="Y367" s="1265"/>
      <c r="Z367" s="1265"/>
      <c r="AA367" s="1265"/>
      <c r="AB367" s="1265"/>
      <c r="AC367" s="1265"/>
      <c r="AD367" s="1265"/>
      <c r="AE367" s="1265"/>
      <c r="AF367" s="1265"/>
      <c r="AG367" s="1265"/>
      <c r="AH367" s="1265"/>
      <c r="AI367" s="1265"/>
      <c r="AJ367" s="1265"/>
      <c r="AK367" s="1265"/>
      <c r="AL367" s="1265"/>
    </row>
    <row r="368" spans="1:38">
      <c r="B368" s="2"/>
      <c r="E368" s="1265"/>
      <c r="F368" s="1265"/>
      <c r="G368" s="1265"/>
      <c r="H368" s="1265"/>
      <c r="I368" s="1265"/>
      <c r="J368" s="1265"/>
      <c r="K368" s="1265"/>
      <c r="L368" s="1265"/>
      <c r="M368" s="1265"/>
      <c r="N368" s="1265"/>
      <c r="O368" s="1265"/>
      <c r="P368" s="1265"/>
      <c r="Q368" s="1265"/>
      <c r="R368" s="1265"/>
      <c r="S368" s="1265"/>
      <c r="T368" s="1265"/>
      <c r="U368" s="1265"/>
      <c r="V368" s="1265"/>
      <c r="W368" s="1265"/>
      <c r="X368" s="1265"/>
      <c r="Y368" s="1265"/>
      <c r="Z368" s="1265"/>
      <c r="AA368" s="1265"/>
      <c r="AB368" s="1265"/>
      <c r="AC368" s="1265"/>
      <c r="AD368" s="1265"/>
      <c r="AE368" s="1265"/>
      <c r="AF368" s="1265"/>
      <c r="AG368" s="1265"/>
      <c r="AH368" s="1265"/>
      <c r="AI368" s="1265"/>
      <c r="AJ368" s="1265"/>
      <c r="AK368" s="1265"/>
      <c r="AL368" s="1265"/>
    </row>
    <row r="369" spans="1:37" s="1267" customFormat="1">
      <c r="A369"/>
      <c r="B369" s="2"/>
      <c r="C369"/>
      <c r="D369"/>
      <c r="E369" s="1266" t="s">
        <v>1416</v>
      </c>
    </row>
    <row r="370" spans="1:37" s="1267" customFormat="1">
      <c r="A370"/>
      <c r="B370" s="2"/>
      <c r="C370" s="2"/>
      <c r="D370"/>
    </row>
    <row r="371" spans="1:37">
      <c r="B371" s="2"/>
      <c r="E371" s="4"/>
      <c r="F371" s="490"/>
      <c r="G371" s="490"/>
      <c r="H371" s="490"/>
      <c r="I371" s="490"/>
      <c r="J371" s="490"/>
      <c r="K371" s="490"/>
      <c r="L371" s="490"/>
      <c r="M371" s="490"/>
      <c r="N371" s="490"/>
      <c r="O371" s="490"/>
      <c r="P371" s="490"/>
      <c r="Q371" s="490"/>
      <c r="R371" s="490"/>
      <c r="S371" s="490"/>
      <c r="T371" s="490"/>
      <c r="U371" s="490"/>
      <c r="V371" s="490"/>
      <c r="W371" s="490"/>
      <c r="X371" s="490"/>
      <c r="Y371" s="490"/>
      <c r="Z371" s="490"/>
      <c r="AA371" s="490"/>
      <c r="AB371" s="490"/>
      <c r="AC371" s="490"/>
      <c r="AD371" s="490"/>
      <c r="AE371" s="490"/>
      <c r="AF371" s="490"/>
      <c r="AG371" s="490"/>
      <c r="AH371" s="490"/>
      <c r="AI371" s="490"/>
      <c r="AJ371" s="490"/>
      <c r="AK371" s="490"/>
    </row>
    <row r="372" spans="1:37">
      <c r="B372" s="2"/>
      <c r="D372" s="2" t="s">
        <v>342</v>
      </c>
      <c r="E372" s="2" t="s">
        <v>577</v>
      </c>
      <c r="J372" s="4"/>
      <c r="K372" s="4"/>
      <c r="L372" s="4"/>
      <c r="M372" s="4"/>
      <c r="N372" s="4"/>
      <c r="O372" s="4"/>
      <c r="P372" s="4"/>
      <c r="Q372" s="4"/>
      <c r="R372" s="4"/>
      <c r="S372" s="4"/>
    </row>
    <row r="373" spans="1:37">
      <c r="B373" s="2"/>
      <c r="E373" s="4" t="s">
        <v>759</v>
      </c>
      <c r="F373" s="4"/>
      <c r="G373" s="4"/>
      <c r="H373" s="4"/>
      <c r="I373" s="4"/>
      <c r="J373" s="4"/>
      <c r="K373" s="4"/>
      <c r="L373" s="4"/>
      <c r="M373" s="4"/>
      <c r="N373" s="4"/>
      <c r="O373" s="4"/>
      <c r="P373" s="4"/>
      <c r="Q373" s="4"/>
      <c r="R373" s="4"/>
      <c r="S373" s="4"/>
    </row>
    <row r="374" spans="1:37">
      <c r="B374" s="2"/>
      <c r="E374" s="4" t="s">
        <v>760</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113</v>
      </c>
      <c r="F377" s="4" t="s">
        <v>252</v>
      </c>
      <c r="G377" s="4"/>
      <c r="I377" s="4"/>
      <c r="J377" s="4"/>
      <c r="K377" s="4"/>
      <c r="L377" s="4"/>
      <c r="M377" s="4"/>
      <c r="N377" s="4"/>
      <c r="O377" s="4"/>
      <c r="P377" s="4"/>
      <c r="Q377" s="4"/>
      <c r="R377" s="4"/>
      <c r="S377" s="4"/>
    </row>
    <row r="378" spans="1:37">
      <c r="B378" s="2"/>
      <c r="E378" s="4"/>
      <c r="F378" s="120" t="s">
        <v>1292</v>
      </c>
      <c r="G378" s="4"/>
      <c r="I378" s="120"/>
      <c r="J378" s="4"/>
      <c r="K378" s="4"/>
      <c r="L378" s="4"/>
      <c r="M378" s="4"/>
      <c r="N378" s="4"/>
      <c r="O378" s="4"/>
      <c r="P378" s="4"/>
      <c r="Q378" s="4"/>
      <c r="R378" s="4"/>
      <c r="S378" s="4"/>
    </row>
    <row r="379" spans="1:37">
      <c r="B379" s="2"/>
      <c r="E379" s="4" t="s">
        <v>114</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1417</v>
      </c>
      <c r="J381" s="3"/>
      <c r="K381" s="3"/>
      <c r="L381" s="3"/>
      <c r="M381" s="3"/>
      <c r="N381" s="3"/>
      <c r="O381" s="3"/>
      <c r="P381" s="3"/>
      <c r="Q381" s="3"/>
      <c r="R381" s="3"/>
      <c r="S381" s="3"/>
    </row>
    <row r="382" spans="1:37">
      <c r="B382" s="2"/>
      <c r="D382" s="2"/>
      <c r="E382" s="3" t="s">
        <v>759</v>
      </c>
      <c r="F382" s="3"/>
      <c r="G382" s="3"/>
      <c r="J382" s="3"/>
      <c r="K382" s="3"/>
      <c r="L382" s="3"/>
      <c r="M382" s="3"/>
      <c r="N382" s="3"/>
      <c r="O382" s="3"/>
      <c r="P382" s="3"/>
      <c r="Q382" s="3"/>
      <c r="R382" s="3"/>
      <c r="S382" s="3"/>
    </row>
    <row r="383" spans="1:37">
      <c r="B383" s="2"/>
      <c r="D383" s="2"/>
      <c r="E383" s="3" t="s">
        <v>1295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113</v>
      </c>
      <c r="F386" s="3" t="s">
        <v>1418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1292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114</v>
      </c>
      <c r="F388" s="1262" t="s">
        <v>1427</v>
      </c>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3"/>
      <c r="F389" s="1262"/>
      <c r="G389" s="1262"/>
      <c r="H389" s="1262"/>
      <c r="I389" s="1262"/>
      <c r="J389" s="1262"/>
      <c r="K389" s="1262"/>
      <c r="L389" s="1262"/>
      <c r="M389" s="1262"/>
      <c r="N389" s="1262"/>
      <c r="O389" s="1262"/>
      <c r="P389" s="1262"/>
      <c r="Q389" s="1262"/>
      <c r="R389" s="1262"/>
      <c r="S389" s="1262"/>
      <c r="T389" s="1262"/>
      <c r="U389" s="1262"/>
      <c r="V389" s="1262"/>
      <c r="W389" s="1262"/>
      <c r="X389" s="1262"/>
      <c r="Y389" s="1262"/>
      <c r="Z389" s="1262"/>
      <c r="AA389" s="1262"/>
      <c r="AB389" s="1262"/>
      <c r="AC389" s="1262"/>
      <c r="AD389" s="1262"/>
      <c r="AE389" s="1262"/>
      <c r="AF389" s="1262"/>
      <c r="AG389" s="1262"/>
      <c r="AH389" s="1262"/>
      <c r="AI389" s="1262"/>
      <c r="AJ389" s="1262"/>
      <c r="AK389" s="1262"/>
    </row>
    <row r="390" spans="1:38">
      <c r="B390" s="2"/>
      <c r="E390" s="3"/>
      <c r="F390" s="1262"/>
      <c r="G390" s="1262"/>
      <c r="H390" s="1262"/>
      <c r="I390" s="1262"/>
      <c r="J390" s="1262"/>
      <c r="K390" s="1262"/>
      <c r="L390" s="1262"/>
      <c r="M390" s="1262"/>
      <c r="N390" s="1262"/>
      <c r="O390" s="1262"/>
      <c r="P390" s="1262"/>
      <c r="Q390" s="1262"/>
      <c r="R390" s="1262"/>
      <c r="S390" s="1262"/>
      <c r="T390" s="1262"/>
      <c r="U390" s="1262"/>
      <c r="V390" s="1262"/>
      <c r="W390" s="1262"/>
      <c r="X390" s="1262"/>
      <c r="Y390" s="1262"/>
      <c r="Z390" s="1262"/>
      <c r="AA390" s="1262"/>
      <c r="AB390" s="1262"/>
      <c r="AC390" s="1262"/>
      <c r="AD390" s="1262"/>
      <c r="AE390" s="1262"/>
      <c r="AF390" s="1262"/>
      <c r="AG390" s="1262"/>
      <c r="AH390" s="1262"/>
      <c r="AI390" s="1262"/>
      <c r="AJ390" s="1262"/>
      <c r="AK390" s="1262"/>
    </row>
    <row r="391" spans="1:38">
      <c r="B391" s="2"/>
      <c r="E391" s="4"/>
      <c r="F391" s="475"/>
      <c r="G391" s="475"/>
      <c r="H391" s="475"/>
      <c r="I391" s="475"/>
      <c r="J391" s="475"/>
      <c r="K391" s="475"/>
      <c r="L391" s="475"/>
      <c r="M391" s="475"/>
      <c r="N391" s="475"/>
      <c r="O391" s="475"/>
      <c r="P391" s="475"/>
      <c r="Q391" s="475"/>
      <c r="R391" s="475"/>
      <c r="S391" s="475"/>
      <c r="T391" s="475"/>
      <c r="U391" s="475"/>
      <c r="V391" s="475"/>
      <c r="W391" s="475"/>
      <c r="X391" s="475"/>
      <c r="Y391" s="475"/>
      <c r="Z391" s="475"/>
      <c r="AA391" s="475"/>
      <c r="AB391" s="475"/>
      <c r="AC391" s="475"/>
      <c r="AD391" s="475"/>
      <c r="AE391" s="475"/>
      <c r="AF391" s="475"/>
      <c r="AG391" s="475"/>
      <c r="AH391" s="475"/>
      <c r="AI391" s="475"/>
      <c r="AJ391" s="475"/>
      <c r="AK391" s="475"/>
      <c r="AL391" s="488"/>
    </row>
    <row r="392" spans="1:38">
      <c r="B392" s="2"/>
      <c r="C392" s="2"/>
      <c r="D392" s="2" t="s">
        <v>430</v>
      </c>
      <c r="E392" s="2" t="s">
        <v>1433</v>
      </c>
      <c r="F392" s="3"/>
      <c r="G392" s="2"/>
      <c r="I392" s="120"/>
      <c r="J392" s="3"/>
      <c r="K392" s="3"/>
      <c r="L392" s="3"/>
      <c r="M392" s="3"/>
      <c r="N392" s="3"/>
      <c r="O392" s="3"/>
      <c r="P392" s="3"/>
      <c r="Q392" s="3"/>
      <c r="R392" s="3"/>
      <c r="S392" s="3"/>
    </row>
    <row r="393" spans="1:38" ht="13.15" customHeight="1">
      <c r="B393" s="2"/>
      <c r="D393" s="2"/>
      <c r="E393" s="3" t="s">
        <v>1432</v>
      </c>
      <c r="F393" s="490"/>
      <c r="G393" s="490"/>
      <c r="H393" s="490"/>
      <c r="I393" s="490"/>
      <c r="J393" s="490"/>
      <c r="K393" s="490"/>
      <c r="L393" s="490"/>
      <c r="M393" s="490"/>
      <c r="N393" s="490"/>
      <c r="O393" s="490"/>
      <c r="P393" s="490"/>
      <c r="Q393" s="490"/>
      <c r="R393" s="490"/>
      <c r="S393" s="490"/>
      <c r="T393" s="490"/>
      <c r="U393" s="490"/>
      <c r="V393" s="490"/>
      <c r="W393" s="490"/>
      <c r="X393" s="490"/>
      <c r="Y393" s="490"/>
      <c r="Z393" s="490"/>
      <c r="AA393" s="490"/>
      <c r="AB393" s="490"/>
      <c r="AC393" s="490"/>
      <c r="AD393" s="490"/>
      <c r="AE393" s="490"/>
      <c r="AF393" s="490"/>
      <c r="AG393" s="490"/>
      <c r="AH393" s="490"/>
      <c r="AI393" s="490"/>
      <c r="AJ393" s="490"/>
      <c r="AK393" s="490"/>
    </row>
    <row r="394" spans="1:38">
      <c r="B394" s="2"/>
      <c r="E394" t="s">
        <v>1295</v>
      </c>
      <c r="F394" s="487"/>
      <c r="G394" s="487"/>
      <c r="H394" s="487"/>
      <c r="I394" s="487"/>
      <c r="J394" s="487"/>
      <c r="K394" s="487"/>
      <c r="L394" s="487"/>
      <c r="M394" s="487"/>
      <c r="N394" s="487"/>
      <c r="O394" s="487"/>
      <c r="P394" s="487"/>
      <c r="Q394" s="487"/>
      <c r="R394" s="487"/>
      <c r="S394" s="487"/>
      <c r="T394" s="487"/>
      <c r="U394" s="487"/>
      <c r="V394" s="487"/>
      <c r="W394" s="487"/>
      <c r="X394" s="487"/>
      <c r="Y394" s="487"/>
      <c r="Z394" s="487"/>
      <c r="AA394" s="487"/>
      <c r="AB394" s="487"/>
      <c r="AC394" s="487"/>
      <c r="AD394" s="487"/>
      <c r="AE394" s="487"/>
      <c r="AF394" s="487"/>
      <c r="AG394" s="487"/>
      <c r="AH394" s="487"/>
      <c r="AI394" s="487"/>
      <c r="AJ394" s="487"/>
      <c r="AK394" s="487"/>
      <c r="AL394" s="487"/>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V4dGUaVdYrVco+SqT8TTG8Q1PIhkDItj4wK5JhdQawwDyDAsgwMkIFBSGdvnZD36nUceJJ5+9wwA3zqpjhK1Q==" saltValue="FDKGvGP+nii7L6HUP6ODmg=="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F4A5-B2D2-49FD-95B4-68CB61B99F09}">
  <sheetPr>
    <pageSetUpPr fitToPage="1"/>
  </sheetPr>
  <dimension ref="A1:BM203"/>
  <sheetViews>
    <sheetView zoomScaleNormal="100" workbookViewId="0">
      <selection activeCell="AP4" sqref="AP4:AU4"/>
    </sheetView>
  </sheetViews>
  <sheetFormatPr defaultColWidth="2.7109375" defaultRowHeight="15.75" customHeight="1"/>
  <cols>
    <col min="1" max="37" width="2.7109375" style="1204"/>
    <col min="38" max="38" width="3" style="1204" customWidth="1"/>
    <col min="39" max="64" width="2.7109375" style="1204"/>
    <col min="65" max="65" width="10.42578125" style="1204" hidden="1" customWidth="1"/>
    <col min="66" max="70" width="5.5703125" style="1204" bestFit="1" customWidth="1"/>
    <col min="71" max="71" width="6.140625" style="1204" bestFit="1" customWidth="1"/>
    <col min="72" max="76" width="5.5703125" style="1204" bestFit="1" customWidth="1"/>
    <col min="77" max="77" width="6.140625" style="1204" bestFit="1" customWidth="1"/>
    <col min="78" max="78" width="5.5703125" style="1204" bestFit="1" customWidth="1"/>
    <col min="79" max="16384" width="2.7109375" style="1204"/>
  </cols>
  <sheetData>
    <row r="1" spans="1:65" ht="15.75" customHeight="1">
      <c r="A1" s="2454" t="s">
        <v>2520</v>
      </c>
      <c r="B1" s="2455"/>
      <c r="C1" s="2455"/>
      <c r="D1" s="2455"/>
      <c r="E1" s="2455"/>
      <c r="F1" s="2455"/>
      <c r="G1" s="2455"/>
      <c r="H1" s="2455"/>
      <c r="I1" s="2455"/>
      <c r="J1" s="2455"/>
      <c r="K1" s="2455"/>
      <c r="L1" s="2455"/>
      <c r="M1" s="2455"/>
      <c r="N1" s="2455"/>
      <c r="O1" s="2455"/>
      <c r="P1" s="2455"/>
      <c r="Q1" s="2455"/>
      <c r="R1" s="2455"/>
      <c r="S1" s="2455"/>
      <c r="T1" s="2455"/>
      <c r="U1" s="2455"/>
      <c r="V1" s="2455"/>
      <c r="W1" s="2455"/>
      <c r="X1" s="2455"/>
      <c r="Y1" s="2455"/>
      <c r="Z1" s="2455"/>
      <c r="AA1" s="2455"/>
      <c r="AB1" s="2455"/>
      <c r="AC1" s="2455"/>
      <c r="AD1" s="2455"/>
      <c r="AE1" s="2455"/>
      <c r="AF1" s="2455"/>
      <c r="AG1" s="2455"/>
      <c r="AH1" s="2455"/>
      <c r="AI1" s="2455"/>
      <c r="AJ1" s="2455"/>
      <c r="AK1" s="2455"/>
      <c r="AL1" s="2455"/>
      <c r="AM1" s="2455"/>
      <c r="AN1" s="2455"/>
      <c r="AO1" s="2455"/>
      <c r="AP1" s="2455"/>
      <c r="AQ1" s="2455"/>
      <c r="AR1" s="2455"/>
      <c r="AS1" s="2455"/>
      <c r="AT1" s="2455"/>
      <c r="AU1" s="2455"/>
      <c r="AV1" s="2455"/>
      <c r="AW1" s="2455"/>
      <c r="AX1" s="2455"/>
      <c r="AY1" s="2455"/>
      <c r="AZ1" s="2455"/>
      <c r="BA1" s="2455"/>
      <c r="BB1" s="2455"/>
      <c r="BC1" s="2455"/>
      <c r="BD1" s="2455"/>
      <c r="BE1" s="2456"/>
    </row>
    <row r="2" spans="1:65" ht="15.75" customHeight="1">
      <c r="A2" s="2457" t="s">
        <v>2568</v>
      </c>
      <c r="B2" s="2458"/>
      <c r="C2" s="2458"/>
      <c r="D2" s="2458"/>
      <c r="E2" s="2458"/>
      <c r="F2" s="2458"/>
      <c r="G2" s="2458"/>
      <c r="H2" s="2458"/>
      <c r="I2" s="2458"/>
      <c r="J2" s="2458"/>
      <c r="K2" s="2458"/>
      <c r="L2" s="2458"/>
      <c r="M2" s="2458"/>
      <c r="N2" s="2458"/>
      <c r="O2" s="2458"/>
      <c r="P2" s="2458"/>
      <c r="Q2" s="2458"/>
      <c r="R2" s="2458"/>
      <c r="S2" s="2458"/>
      <c r="T2" s="2458"/>
      <c r="U2" s="2458"/>
      <c r="V2" s="2458"/>
      <c r="W2" s="2458"/>
      <c r="X2" s="2458"/>
      <c r="Y2" s="2458"/>
      <c r="Z2" s="2458"/>
      <c r="AA2" s="2458"/>
      <c r="AB2" s="2458"/>
      <c r="AC2" s="2458"/>
      <c r="AD2" s="2458"/>
      <c r="AE2" s="2458"/>
      <c r="AF2" s="2458"/>
      <c r="AG2" s="2458"/>
      <c r="AH2" s="2458"/>
      <c r="AI2" s="2458"/>
      <c r="AJ2" s="2458"/>
      <c r="AK2" s="2458"/>
      <c r="AL2" s="2458"/>
      <c r="AM2" s="2458"/>
      <c r="AN2" s="2458"/>
      <c r="AO2" s="2458"/>
      <c r="AP2" s="2458"/>
      <c r="AQ2" s="2458"/>
      <c r="AR2" s="2458"/>
      <c r="AS2" s="2458"/>
      <c r="AT2" s="2458"/>
      <c r="AU2" s="2458"/>
      <c r="AV2" s="2458"/>
      <c r="AW2" s="2458"/>
      <c r="AX2" s="2458"/>
      <c r="AY2" s="2458"/>
      <c r="AZ2" s="2458"/>
      <c r="BA2" s="2458"/>
      <c r="BB2" s="2458"/>
      <c r="BC2" s="2458"/>
      <c r="BD2" s="2458"/>
      <c r="BE2" s="2459"/>
      <c r="BF2" s="1205"/>
    </row>
    <row r="3" spans="1:65" ht="15.75" customHeight="1" thickBot="1">
      <c r="A3" s="1206"/>
      <c r="B3" s="1207"/>
      <c r="C3" s="1207"/>
      <c r="D3" s="1207"/>
      <c r="E3" s="1207"/>
      <c r="F3" s="1207"/>
      <c r="G3" s="1207"/>
      <c r="H3" s="1207"/>
      <c r="I3" s="1207"/>
      <c r="J3" s="1207"/>
      <c r="K3" s="1207"/>
      <c r="L3" s="1207"/>
      <c r="M3" s="1207"/>
      <c r="N3" s="1207"/>
      <c r="O3" s="1207"/>
      <c r="P3" s="1207"/>
      <c r="Q3" s="1207"/>
      <c r="R3" s="1207"/>
      <c r="S3" s="1207"/>
      <c r="T3" s="1207"/>
      <c r="U3" s="1207"/>
      <c r="V3" s="1207"/>
      <c r="W3" s="1207"/>
      <c r="X3" s="1207"/>
      <c r="Y3" s="1207"/>
      <c r="Z3" s="1207"/>
      <c r="AA3" s="1207"/>
      <c r="AB3" s="1207"/>
      <c r="AC3" s="1207"/>
      <c r="AD3" s="1207"/>
      <c r="AE3" s="1207"/>
      <c r="AF3" s="1207"/>
      <c r="AG3" s="1207"/>
      <c r="AH3" s="1207"/>
      <c r="AI3" s="1207"/>
      <c r="AJ3" s="1207"/>
      <c r="AK3" s="1207"/>
      <c r="AL3" s="1207"/>
      <c r="AM3" s="1207"/>
      <c r="AN3" s="1207"/>
      <c r="AO3" s="1207"/>
      <c r="AP3" s="1207"/>
      <c r="AQ3" s="1207"/>
      <c r="AR3" s="1207"/>
      <c r="AS3" s="1207"/>
      <c r="AT3" s="1207"/>
      <c r="AU3" s="1207"/>
      <c r="AV3" s="1207"/>
      <c r="AW3" s="1207"/>
      <c r="AX3" s="1207"/>
      <c r="AY3" s="1207"/>
      <c r="AZ3" s="1207"/>
      <c r="BA3" s="1207"/>
      <c r="BB3" s="1207"/>
      <c r="BC3" s="1207"/>
      <c r="BD3" s="1207"/>
      <c r="BE3" s="1208"/>
    </row>
    <row r="4" spans="1:65" ht="15.75" customHeight="1" thickBot="1">
      <c r="A4" s="1206"/>
      <c r="B4" s="1209" t="s">
        <v>665</v>
      </c>
      <c r="C4" s="1209"/>
      <c r="D4" s="1209"/>
      <c r="E4" s="1209"/>
      <c r="F4" s="1209"/>
      <c r="G4" s="1207"/>
      <c r="H4" s="1207"/>
      <c r="I4" s="1207"/>
      <c r="J4" s="1207"/>
      <c r="K4" s="1207"/>
      <c r="L4" s="2446" t="str">
        <f>IF(Application!H18="","",Application!H18)</f>
        <v>Creekview Affordable - C-40</v>
      </c>
      <c r="M4" s="2447"/>
      <c r="N4" s="2447"/>
      <c r="O4" s="2447"/>
      <c r="P4" s="2447"/>
      <c r="Q4" s="2447"/>
      <c r="R4" s="2447"/>
      <c r="S4" s="2447"/>
      <c r="T4" s="2447"/>
      <c r="U4" s="2447"/>
      <c r="V4" s="2447"/>
      <c r="W4" s="2447"/>
      <c r="X4" s="2447"/>
      <c r="Y4" s="2447"/>
      <c r="Z4" s="2447"/>
      <c r="AA4" s="2447"/>
      <c r="AB4" s="2447"/>
      <c r="AC4" s="2448"/>
      <c r="AD4" s="1207"/>
      <c r="AE4" s="1207"/>
      <c r="AF4" s="2460" t="s">
        <v>2569</v>
      </c>
      <c r="AG4" s="2460"/>
      <c r="AH4" s="2460"/>
      <c r="AI4" s="2460"/>
      <c r="AJ4" s="2460"/>
      <c r="AK4" s="2460"/>
      <c r="AL4" s="2460"/>
      <c r="AM4" s="2460"/>
      <c r="AN4" s="2460"/>
      <c r="AO4" s="2460"/>
      <c r="AP4" s="2461"/>
      <c r="AQ4" s="2462"/>
      <c r="AR4" s="2462"/>
      <c r="AS4" s="2462"/>
      <c r="AT4" s="2462"/>
      <c r="AU4" s="2462"/>
      <c r="AV4" s="1207"/>
      <c r="AW4" s="1207"/>
      <c r="AX4" s="1207"/>
      <c r="AY4" s="1207"/>
      <c r="AZ4" s="1207"/>
      <c r="BA4" s="1207"/>
      <c r="BB4" s="1207"/>
      <c r="BC4" s="1207"/>
      <c r="BD4" s="1207"/>
      <c r="BE4" s="1208"/>
    </row>
    <row r="5" spans="1:65" ht="15.75" customHeight="1" thickBot="1">
      <c r="A5" s="1206"/>
      <c r="B5" s="1207"/>
      <c r="C5" s="1207"/>
      <c r="D5" s="1207"/>
      <c r="E5" s="1207"/>
      <c r="F5" s="1207"/>
      <c r="G5" s="1207"/>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2460" t="s">
        <v>2570</v>
      </c>
      <c r="AG5" s="2460"/>
      <c r="AH5" s="2460"/>
      <c r="AI5" s="2460"/>
      <c r="AJ5" s="2460"/>
      <c r="AK5" s="2460"/>
      <c r="AL5" s="2460"/>
      <c r="AM5" s="2460"/>
      <c r="AN5" s="2460"/>
      <c r="AO5" s="2460"/>
      <c r="AP5" s="2461"/>
      <c r="AQ5" s="2462"/>
      <c r="AR5" s="2462"/>
      <c r="AS5" s="2462"/>
      <c r="AT5" s="2462"/>
      <c r="AU5" s="2462"/>
      <c r="AV5" s="1207"/>
      <c r="AW5" s="1207"/>
      <c r="AX5" s="1207"/>
      <c r="AY5" s="1207"/>
      <c r="AZ5" s="1207"/>
      <c r="BA5" s="1207"/>
      <c r="BB5" s="1207"/>
      <c r="BC5" s="1207"/>
      <c r="BD5" s="1207"/>
      <c r="BE5" s="1208"/>
    </row>
    <row r="6" spans="1:65" ht="15.75" customHeight="1" thickBot="1">
      <c r="A6" s="1206"/>
      <c r="B6" s="1209" t="s">
        <v>1857</v>
      </c>
      <c r="C6" s="1207"/>
      <c r="D6" s="1207"/>
      <c r="E6" s="1207"/>
      <c r="F6" s="1207"/>
      <c r="G6" s="1207"/>
      <c r="H6" s="1207"/>
      <c r="I6" s="1207"/>
      <c r="J6" s="1207"/>
      <c r="K6" s="1207"/>
      <c r="L6" s="2446" t="str">
        <f>IF(Application!H16="","",Application!H16)</f>
        <v>Roseville 712, L.P.</v>
      </c>
      <c r="M6" s="2447"/>
      <c r="N6" s="2447"/>
      <c r="O6" s="2447"/>
      <c r="P6" s="2447"/>
      <c r="Q6" s="2447"/>
      <c r="R6" s="2447"/>
      <c r="S6" s="2447"/>
      <c r="T6" s="2447"/>
      <c r="U6" s="2447"/>
      <c r="V6" s="2447"/>
      <c r="W6" s="2447"/>
      <c r="X6" s="2447"/>
      <c r="Y6" s="2447"/>
      <c r="Z6" s="2447"/>
      <c r="AA6" s="2447"/>
      <c r="AB6" s="2447"/>
      <c r="AC6" s="2448"/>
      <c r="AD6" s="1207"/>
      <c r="AE6" s="1207"/>
      <c r="AF6" s="2449" t="s">
        <v>2571</v>
      </c>
      <c r="AG6" s="2449"/>
      <c r="AH6" s="2449"/>
      <c r="AI6" s="2449"/>
      <c r="AJ6" s="2449"/>
      <c r="AK6" s="2449"/>
      <c r="AL6" s="2449"/>
      <c r="AM6" s="2449"/>
      <c r="AN6" s="2449"/>
      <c r="AO6" s="2449"/>
      <c r="AP6" s="2450">
        <v>0</v>
      </c>
      <c r="AQ6" s="2450"/>
      <c r="AR6" s="2450"/>
      <c r="AS6" s="2450"/>
      <c r="AT6" s="2450"/>
      <c r="AU6" s="2450"/>
      <c r="AV6" s="1207"/>
      <c r="AW6" s="1207"/>
      <c r="AX6" s="1207"/>
      <c r="AY6" s="1207"/>
      <c r="AZ6" s="1207"/>
      <c r="BA6" s="1207"/>
      <c r="BB6" s="1207"/>
      <c r="BC6" s="1207"/>
      <c r="BD6" s="1207"/>
      <c r="BE6" s="1208"/>
    </row>
    <row r="7" spans="1:65" thickBot="1">
      <c r="A7" s="1206"/>
      <c r="B7" s="1207"/>
      <c r="C7" s="1207"/>
      <c r="D7" s="1207"/>
      <c r="E7" s="1207"/>
      <c r="F7" s="1207"/>
      <c r="G7" s="1207"/>
      <c r="H7" s="1207"/>
      <c r="I7" s="1207"/>
      <c r="J7" s="1207"/>
      <c r="K7" s="1207"/>
      <c r="L7" s="1207"/>
      <c r="M7" s="1207"/>
      <c r="N7" s="1207"/>
      <c r="O7" s="1207"/>
      <c r="P7" s="1207"/>
      <c r="Q7" s="1207"/>
      <c r="R7" s="1207"/>
      <c r="S7" s="1207"/>
      <c r="T7" s="1207"/>
      <c r="U7" s="1207"/>
      <c r="V7" s="1207"/>
      <c r="W7" s="1207"/>
      <c r="X7" s="1207"/>
      <c r="Y7" s="1207"/>
      <c r="Z7" s="1207"/>
      <c r="AA7" s="1207"/>
      <c r="AB7" s="1207"/>
      <c r="AC7" s="1207"/>
      <c r="AD7" s="1207"/>
      <c r="AE7" s="1207"/>
      <c r="AF7" s="2449" t="s">
        <v>2572</v>
      </c>
      <c r="AG7" s="2449"/>
      <c r="AH7" s="2449"/>
      <c r="AI7" s="2449"/>
      <c r="AJ7" s="2449"/>
      <c r="AK7" s="2449"/>
      <c r="AL7" s="2449"/>
      <c r="AM7" s="2449"/>
      <c r="AN7" s="2449"/>
      <c r="AO7" s="2449"/>
      <c r="AP7" s="2450">
        <v>0</v>
      </c>
      <c r="AQ7" s="2450"/>
      <c r="AR7" s="2450"/>
      <c r="AS7" s="2450"/>
      <c r="AT7" s="2450"/>
      <c r="AU7" s="2450"/>
      <c r="AV7" s="1207"/>
      <c r="AW7" s="1207"/>
      <c r="AX7" s="1207"/>
      <c r="AY7" s="1207"/>
      <c r="AZ7" s="1207"/>
      <c r="BA7" s="1207"/>
      <c r="BB7" s="1207"/>
      <c r="BC7" s="1207"/>
      <c r="BD7" s="1207"/>
      <c r="BE7" s="1208"/>
    </row>
    <row r="8" spans="1:65" thickBot="1">
      <c r="A8" s="1206"/>
      <c r="B8" s="1209" t="s">
        <v>1858</v>
      </c>
      <c r="C8" s="1207"/>
      <c r="D8" s="1207"/>
      <c r="E8" s="1207"/>
      <c r="F8" s="1207"/>
      <c r="G8" s="1207"/>
      <c r="H8" s="1207"/>
      <c r="I8" s="1207"/>
      <c r="J8" s="1207"/>
      <c r="K8" s="1207"/>
      <c r="L8" s="1207"/>
      <c r="M8" s="1207"/>
      <c r="N8" s="1207"/>
      <c r="O8" s="1207"/>
      <c r="P8" s="1207"/>
      <c r="Q8" s="1207"/>
      <c r="R8" s="1207"/>
      <c r="S8" s="1207"/>
      <c r="T8" s="1207"/>
      <c r="U8" s="1207"/>
      <c r="V8" s="1207"/>
      <c r="W8" s="1207"/>
      <c r="X8" s="1207"/>
      <c r="Y8" s="1207"/>
      <c r="Z8" s="1207"/>
      <c r="AA8" s="1207"/>
      <c r="AB8" s="2451" t="str">
        <f>Application!T196</f>
        <v>No</v>
      </c>
      <c r="AC8" s="2452"/>
      <c r="AD8" s="2453"/>
      <c r="AE8" s="1207"/>
      <c r="AF8" s="2449" t="s">
        <v>2573</v>
      </c>
      <c r="AG8" s="2449"/>
      <c r="AH8" s="2449"/>
      <c r="AI8" s="2449"/>
      <c r="AJ8" s="2449"/>
      <c r="AK8" s="2449"/>
      <c r="AL8" s="2449"/>
      <c r="AM8" s="2449"/>
      <c r="AN8" s="2449"/>
      <c r="AO8" s="2449"/>
      <c r="AP8" s="2450" t="s">
        <v>2525</v>
      </c>
      <c r="AQ8" s="2450"/>
      <c r="AR8" s="2450"/>
      <c r="AS8" s="2450"/>
      <c r="AT8" s="2450"/>
      <c r="AU8" s="2450"/>
      <c r="AV8" s="1207"/>
      <c r="AW8" s="1207"/>
      <c r="AX8" s="1207"/>
      <c r="AY8" s="1207"/>
      <c r="AZ8" s="1207"/>
      <c r="BA8" s="1207"/>
      <c r="BB8" s="1207"/>
      <c r="BC8" s="1207"/>
      <c r="BD8" s="1207"/>
      <c r="BE8" s="1208"/>
      <c r="BM8" s="1204" t="s">
        <v>2376</v>
      </c>
    </row>
    <row r="9" spans="1:65" ht="15">
      <c r="A9" s="1207"/>
      <c r="B9" s="1207"/>
      <c r="C9" s="1207"/>
      <c r="D9" s="1207"/>
      <c r="E9" s="1207"/>
      <c r="F9" s="1207"/>
      <c r="G9" s="1207"/>
      <c r="H9" s="1207"/>
      <c r="I9" s="1207"/>
      <c r="J9" s="1207"/>
      <c r="K9" s="1207"/>
      <c r="L9" s="1207"/>
      <c r="M9" s="1207"/>
      <c r="N9" s="1207"/>
      <c r="O9" s="1207"/>
      <c r="P9" s="1207"/>
      <c r="Q9" s="1207"/>
      <c r="R9" s="1207"/>
      <c r="S9" s="1207"/>
      <c r="T9" s="1207"/>
      <c r="U9" s="1207"/>
      <c r="V9" s="1207"/>
      <c r="W9" s="1207"/>
      <c r="X9" s="1207"/>
      <c r="Y9" s="1207"/>
      <c r="Z9" s="1207"/>
      <c r="AA9" s="1207"/>
      <c r="AB9" s="1207"/>
      <c r="AC9" s="1207"/>
      <c r="AD9" s="1207"/>
      <c r="AE9" s="1207"/>
      <c r="AF9" s="1207"/>
      <c r="AG9" s="1207"/>
      <c r="AH9" s="1207"/>
      <c r="AI9" s="1207"/>
      <c r="AJ9" s="1207"/>
      <c r="AK9" s="1207"/>
      <c r="AL9" s="1207"/>
      <c r="AM9" s="1207"/>
      <c r="AN9" s="1207"/>
      <c r="AO9" s="1207"/>
      <c r="AP9" s="1207"/>
      <c r="AQ9" s="1210"/>
      <c r="AR9" s="1210"/>
      <c r="AS9" s="1207"/>
      <c r="AT9" s="1207"/>
      <c r="AU9" s="1207"/>
      <c r="AV9" s="1207"/>
      <c r="AW9" s="1207"/>
      <c r="AX9" s="1207"/>
      <c r="AY9" s="1207"/>
      <c r="AZ9" s="1207"/>
      <c r="BA9" s="1207"/>
      <c r="BB9" s="1207"/>
      <c r="BC9" s="1207"/>
      <c r="BD9" s="1207"/>
      <c r="BE9" s="1208"/>
      <c r="BM9" s="1204" t="s">
        <v>2574</v>
      </c>
    </row>
    <row r="10" spans="1:65" ht="15">
      <c r="A10" s="1206"/>
      <c r="B10" s="1209" t="s">
        <v>1859</v>
      </c>
      <c r="C10" s="1209"/>
      <c r="D10" s="1209"/>
      <c r="E10" s="1209"/>
      <c r="F10" s="1209"/>
      <c r="G10" s="1209"/>
      <c r="H10" s="1209"/>
      <c r="I10" s="1209"/>
      <c r="J10" s="1209"/>
      <c r="K10" s="1209"/>
      <c r="L10" s="1209"/>
      <c r="M10" s="1207"/>
      <c r="N10" s="2442">
        <f>Application!AO623</f>
        <v>21120000</v>
      </c>
      <c r="O10" s="2442"/>
      <c r="P10" s="2442"/>
      <c r="Q10" s="2442"/>
      <c r="R10" s="2442"/>
      <c r="S10" s="2442"/>
      <c r="T10" s="2442"/>
      <c r="U10" s="1207"/>
      <c r="V10" s="1207"/>
      <c r="W10" s="1207"/>
      <c r="X10" s="2428" t="s">
        <v>2575</v>
      </c>
      <c r="Y10" s="2428"/>
      <c r="Z10" s="2428"/>
      <c r="AA10" s="2428"/>
      <c r="AB10" s="2428"/>
      <c r="AC10" s="2428"/>
      <c r="AD10" s="2428"/>
      <c r="AE10" s="2428"/>
      <c r="AF10" s="2428"/>
      <c r="AG10" s="2428"/>
      <c r="AH10" s="2428"/>
      <c r="AI10" s="2428"/>
      <c r="AJ10" s="2428"/>
      <c r="AK10" s="2428"/>
      <c r="AL10" s="2443">
        <f>Application!W471</f>
        <v>26</v>
      </c>
      <c r="AM10" s="2444"/>
      <c r="AN10" s="2444"/>
      <c r="AO10" s="2444"/>
      <c r="AP10" s="2444"/>
      <c r="AQ10" s="1210"/>
      <c r="AR10" s="1210"/>
      <c r="AS10" s="1210"/>
      <c r="AT10" s="1210"/>
      <c r="AU10" s="1210"/>
      <c r="AV10" s="1210"/>
      <c r="AW10" s="1210"/>
      <c r="AX10" s="1207"/>
      <c r="AY10" s="1207"/>
      <c r="AZ10" s="1207"/>
      <c r="BA10" s="1207"/>
      <c r="BB10" s="1207"/>
      <c r="BC10" s="1207"/>
      <c r="BD10" s="1207"/>
      <c r="BE10" s="1208"/>
      <c r="BM10" s="1204" t="s">
        <v>2576</v>
      </c>
    </row>
    <row r="11" spans="1:65" ht="15">
      <c r="A11" s="1206"/>
      <c r="B11" s="1209" t="s">
        <v>1860</v>
      </c>
      <c r="C11" s="1209"/>
      <c r="D11" s="1209"/>
      <c r="E11" s="1209"/>
      <c r="F11" s="1209"/>
      <c r="G11" s="1209"/>
      <c r="H11" s="1209"/>
      <c r="I11" s="1209"/>
      <c r="J11" s="1209"/>
      <c r="K11" s="1209"/>
      <c r="L11" s="1209"/>
      <c r="M11" s="1207"/>
      <c r="N11" s="2442">
        <f>Application!AA911</f>
        <v>0</v>
      </c>
      <c r="O11" s="2442"/>
      <c r="P11" s="2442"/>
      <c r="Q11" s="2442"/>
      <c r="R11" s="2442"/>
      <c r="S11" s="2442"/>
      <c r="T11" s="2442"/>
      <c r="U11" s="1207"/>
      <c r="V11" s="1207"/>
      <c r="W11" s="1207"/>
      <c r="X11" s="2445" t="s">
        <v>2577</v>
      </c>
      <c r="Y11" s="2445"/>
      <c r="Z11" s="2445"/>
      <c r="AA11" s="2445"/>
      <c r="AB11" s="2445"/>
      <c r="AC11" s="2445"/>
      <c r="AD11" s="2445"/>
      <c r="AE11" s="2445"/>
      <c r="AF11" s="2445"/>
      <c r="AG11" s="2445"/>
      <c r="AH11" s="2445"/>
      <c r="AI11" s="2445"/>
      <c r="AJ11" s="2445"/>
      <c r="AK11" s="2445"/>
      <c r="AL11" s="2429"/>
      <c r="AM11" s="2430"/>
      <c r="AN11" s="2430"/>
      <c r="AO11" s="2430"/>
      <c r="AP11" s="2430"/>
      <c r="AQ11" s="1211"/>
      <c r="AR11" s="1212"/>
      <c r="AS11" s="1210"/>
      <c r="AT11" s="1210"/>
      <c r="AU11" s="1210"/>
      <c r="AV11" s="1210"/>
      <c r="AW11" s="1210"/>
      <c r="AX11" s="1207"/>
      <c r="AY11" s="1207"/>
      <c r="AZ11" s="1207"/>
      <c r="BA11" s="1207"/>
      <c r="BB11" s="1207"/>
      <c r="BC11" s="1207"/>
      <c r="BD11" s="1207"/>
      <c r="BE11" s="1208"/>
      <c r="BM11" s="1204" t="s">
        <v>2525</v>
      </c>
    </row>
    <row r="12" spans="1:65" thickBot="1">
      <c r="A12" s="1207"/>
      <c r="B12" s="1207"/>
      <c r="C12" s="1207"/>
      <c r="D12" s="1207"/>
      <c r="E12" s="1207"/>
      <c r="F12" s="1207"/>
      <c r="G12" s="1207"/>
      <c r="H12" s="1207"/>
      <c r="I12" s="1207"/>
      <c r="J12" s="1207"/>
      <c r="K12" s="1207"/>
      <c r="L12" s="1207"/>
      <c r="M12" s="1207"/>
      <c r="N12" s="1207"/>
      <c r="O12" s="1207"/>
      <c r="P12" s="1207"/>
      <c r="Q12" s="1207"/>
      <c r="R12" s="1207"/>
      <c r="S12" s="1207"/>
      <c r="T12" s="1207"/>
      <c r="U12" s="1207"/>
      <c r="V12" s="1207"/>
      <c r="W12" s="1207"/>
      <c r="X12" s="2428" t="s">
        <v>2578</v>
      </c>
      <c r="Y12" s="2428"/>
      <c r="Z12" s="2428"/>
      <c r="AA12" s="2428"/>
      <c r="AB12" s="2428"/>
      <c r="AC12" s="2428"/>
      <c r="AD12" s="2428"/>
      <c r="AE12" s="2428"/>
      <c r="AF12" s="2428"/>
      <c r="AG12" s="2428"/>
      <c r="AH12" s="2428"/>
      <c r="AI12" s="2428"/>
      <c r="AJ12" s="2428"/>
      <c r="AK12" s="2428"/>
      <c r="AL12" s="2429"/>
      <c r="AM12" s="2430"/>
      <c r="AN12" s="2430"/>
      <c r="AO12" s="2430"/>
      <c r="AP12" s="2430"/>
      <c r="AQ12" s="1210"/>
      <c r="AR12" s="1210"/>
      <c r="AS12" s="1210"/>
      <c r="AT12" s="1210"/>
      <c r="AU12" s="1210"/>
      <c r="AV12" s="1207"/>
      <c r="AW12" s="1207"/>
      <c r="AX12" s="1207"/>
      <c r="AY12" s="1207"/>
      <c r="AZ12" s="1207"/>
      <c r="BA12" s="1207"/>
      <c r="BB12" s="1207"/>
      <c r="BC12" s="1207"/>
      <c r="BD12" s="1207"/>
      <c r="BE12" s="1213"/>
      <c r="BM12" s="1204" t="s">
        <v>2579</v>
      </c>
    </row>
    <row r="13" spans="1:65" thickBot="1">
      <c r="A13" s="1207"/>
      <c r="B13" s="2431" t="s">
        <v>1861</v>
      </c>
      <c r="C13" s="2432"/>
      <c r="D13" s="2432"/>
      <c r="E13" s="2432"/>
      <c r="F13" s="2432"/>
      <c r="G13" s="2432"/>
      <c r="H13" s="2432"/>
      <c r="I13" s="2432"/>
      <c r="J13" s="2432"/>
      <c r="K13" s="2432"/>
      <c r="L13" s="2432"/>
      <c r="M13" s="2432"/>
      <c r="N13" s="2432"/>
      <c r="O13" s="2432"/>
      <c r="P13" s="2433"/>
      <c r="Q13" s="2434" t="s">
        <v>678</v>
      </c>
      <c r="R13" s="2435"/>
      <c r="S13" s="2435"/>
      <c r="T13" s="2436"/>
      <c r="U13" s="1210"/>
      <c r="V13" s="1207"/>
      <c r="W13" s="1207"/>
      <c r="X13" s="1207"/>
      <c r="Y13" s="1207"/>
      <c r="Z13" s="1207"/>
      <c r="AA13" s="1210"/>
      <c r="AB13" s="1210"/>
      <c r="AC13" s="1210"/>
      <c r="AD13" s="1210"/>
      <c r="AE13" s="1210"/>
      <c r="AF13" s="1210"/>
      <c r="AG13" s="1210"/>
      <c r="AH13" s="1210"/>
      <c r="AI13" s="1210"/>
      <c r="AJ13" s="1210"/>
      <c r="AK13" s="1210"/>
      <c r="AL13" s="1210"/>
      <c r="AM13" s="1210"/>
      <c r="AN13" s="1210"/>
      <c r="AO13" s="1210"/>
      <c r="AP13" s="1210"/>
      <c r="AQ13" s="1210"/>
      <c r="AR13" s="1210"/>
      <c r="AS13" s="1210"/>
      <c r="AT13" s="1210"/>
      <c r="AU13" s="1210"/>
      <c r="AV13" s="1210"/>
      <c r="AW13" s="1210"/>
      <c r="AX13" s="1210"/>
      <c r="AY13" s="1210"/>
      <c r="AZ13" s="1210"/>
      <c r="BA13" s="1210"/>
      <c r="BB13" s="1210"/>
      <c r="BC13" s="1210"/>
      <c r="BD13" s="1210"/>
      <c r="BE13" s="1213"/>
      <c r="BM13" s="1204" t="s">
        <v>2580</v>
      </c>
    </row>
    <row r="14" spans="1:65" thickBot="1">
      <c r="A14" s="1207"/>
      <c r="B14" s="1207"/>
      <c r="C14" s="1207"/>
      <c r="D14" s="1207"/>
      <c r="E14" s="1207"/>
      <c r="F14" s="1207"/>
      <c r="G14" s="1207"/>
      <c r="H14" s="1207"/>
      <c r="I14" s="1207"/>
      <c r="J14" s="1207"/>
      <c r="K14" s="1207"/>
      <c r="L14" s="1207"/>
      <c r="M14" s="1207"/>
      <c r="N14" s="1207"/>
      <c r="O14" s="1207"/>
      <c r="P14" s="1207"/>
      <c r="Q14" s="1207"/>
      <c r="R14" s="1207"/>
      <c r="S14" s="1207"/>
      <c r="T14" s="1207"/>
      <c r="U14" s="1207"/>
      <c r="V14" s="1207"/>
      <c r="W14" s="1207"/>
      <c r="X14" s="1207"/>
      <c r="Y14" s="1207"/>
      <c r="Z14" s="1207"/>
      <c r="AA14" s="1210"/>
      <c r="AB14" s="1210"/>
      <c r="AC14" s="1210"/>
      <c r="AD14" s="1210"/>
      <c r="AE14" s="1210"/>
      <c r="AF14" s="1210"/>
      <c r="AG14" s="1210"/>
      <c r="AH14" s="1210"/>
      <c r="AI14" s="1210"/>
      <c r="AJ14" s="1210"/>
      <c r="AK14" s="1210"/>
      <c r="AL14" s="1210"/>
      <c r="AM14" s="1210"/>
      <c r="AN14" s="1210"/>
      <c r="AO14" s="1210"/>
      <c r="AP14" s="1210"/>
      <c r="AQ14" s="1210"/>
      <c r="AR14" s="1210"/>
      <c r="AS14" s="1210"/>
      <c r="AT14" s="1210"/>
      <c r="AU14" s="1210"/>
      <c r="AV14" s="1210"/>
      <c r="AW14" s="1210"/>
      <c r="AX14" s="1210"/>
      <c r="AY14" s="1210"/>
      <c r="AZ14" s="1210"/>
      <c r="BA14" s="1210"/>
      <c r="BB14" s="1210"/>
      <c r="BC14" s="1210"/>
      <c r="BD14" s="1210"/>
      <c r="BE14" s="1213"/>
    </row>
    <row r="15" spans="1:65" thickBot="1">
      <c r="A15" s="1207"/>
      <c r="B15" s="2437" t="s">
        <v>1862</v>
      </c>
      <c r="C15" s="2438"/>
      <c r="D15" s="2438"/>
      <c r="E15" s="2438"/>
      <c r="F15" s="2438"/>
      <c r="G15" s="2438"/>
      <c r="H15" s="2438"/>
      <c r="I15" s="2438"/>
      <c r="J15" s="2438"/>
      <c r="K15" s="2438"/>
      <c r="L15" s="2438"/>
      <c r="M15" s="2438"/>
      <c r="N15" s="2438"/>
      <c r="O15" s="2438"/>
      <c r="P15" s="2438"/>
      <c r="Q15" s="2438"/>
      <c r="R15" s="2439"/>
      <c r="S15" s="2440" t="str">
        <f>IF(Application!AB214="","",Application!AB214)</f>
        <v/>
      </c>
      <c r="T15" s="2440"/>
      <c r="U15" s="2440"/>
      <c r="V15" s="2440"/>
      <c r="W15" s="2441"/>
      <c r="X15" s="1210"/>
      <c r="Y15" s="1207"/>
      <c r="Z15" s="1207"/>
      <c r="AA15" s="1210"/>
      <c r="AB15" s="1210"/>
      <c r="AC15" s="1210"/>
      <c r="AD15" s="1210"/>
      <c r="AE15" s="1210"/>
      <c r="AF15" s="1210"/>
      <c r="AG15" s="1210"/>
      <c r="AH15" s="1210"/>
      <c r="AI15" s="1210"/>
      <c r="AJ15" s="1210"/>
      <c r="AK15" s="1210"/>
      <c r="AL15" s="1210"/>
      <c r="AM15" s="1210"/>
      <c r="AN15" s="1210"/>
      <c r="AO15" s="1210"/>
      <c r="AP15" s="1210"/>
      <c r="AQ15" s="1210"/>
      <c r="AR15" s="1210"/>
      <c r="AS15" s="1210"/>
      <c r="AT15" s="1210"/>
      <c r="AU15" s="1210"/>
      <c r="AV15" s="1210"/>
      <c r="AW15" s="1210"/>
      <c r="AX15" s="1210"/>
      <c r="AY15" s="1210"/>
      <c r="AZ15" s="1210"/>
      <c r="BA15" s="1210"/>
      <c r="BB15" s="1210"/>
      <c r="BC15" s="1210"/>
      <c r="BD15" s="1210"/>
      <c r="BE15" s="1213"/>
    </row>
    <row r="16" spans="1:65" thickBot="1">
      <c r="A16" s="1206"/>
      <c r="B16" s="1207"/>
      <c r="C16" s="1207"/>
      <c r="D16" s="1207"/>
      <c r="E16" s="1207"/>
      <c r="F16" s="1207"/>
      <c r="G16" s="1207"/>
      <c r="H16" s="1207"/>
      <c r="I16" s="1207"/>
      <c r="J16" s="1207"/>
      <c r="K16" s="1207"/>
      <c r="L16" s="1207"/>
      <c r="M16" s="1207"/>
      <c r="N16" s="1207"/>
      <c r="O16" s="1207"/>
      <c r="P16" s="1207"/>
      <c r="Q16" s="1207"/>
      <c r="R16" s="1207"/>
      <c r="S16" s="1207"/>
      <c r="T16" s="1207"/>
      <c r="U16" s="1207"/>
      <c r="V16" s="1207"/>
      <c r="W16" s="1207"/>
      <c r="X16" s="1207"/>
      <c r="Y16" s="1207"/>
      <c r="Z16" s="1207"/>
      <c r="AA16" s="1207"/>
      <c r="AB16" s="1207"/>
      <c r="AC16" s="1207"/>
      <c r="AD16" s="1207"/>
      <c r="AE16" s="1207"/>
      <c r="AF16" s="1207"/>
      <c r="AG16" s="1207"/>
      <c r="AH16" s="1207"/>
      <c r="AI16" s="1207"/>
      <c r="AJ16" s="1207"/>
      <c r="AK16" s="1207"/>
      <c r="AL16" s="1207"/>
      <c r="AM16" s="1207"/>
      <c r="AN16" s="1207"/>
      <c r="AO16" s="1207"/>
      <c r="AP16" s="1207"/>
      <c r="AQ16" s="1207"/>
      <c r="AR16" s="1207"/>
      <c r="AS16" s="1207"/>
      <c r="AT16" s="1207"/>
      <c r="AU16" s="1207"/>
      <c r="AV16" s="1207"/>
      <c r="AW16" s="1207"/>
      <c r="AX16" s="1207"/>
      <c r="AY16" s="1207"/>
      <c r="AZ16" s="1207"/>
      <c r="BA16" s="1207"/>
      <c r="BB16" s="1207"/>
      <c r="BC16" s="1207"/>
      <c r="BD16" s="1207"/>
      <c r="BE16" s="1213"/>
    </row>
    <row r="17" spans="1:58" ht="15">
      <c r="A17" s="1207"/>
      <c r="B17" s="2292" t="s">
        <v>1863</v>
      </c>
      <c r="C17" s="2293"/>
      <c r="D17" s="2293"/>
      <c r="E17" s="2293"/>
      <c r="F17" s="2293"/>
      <c r="G17" s="2293"/>
      <c r="H17" s="2293"/>
      <c r="I17" s="2293"/>
      <c r="J17" s="2293"/>
      <c r="K17" s="2293"/>
      <c r="L17" s="2293"/>
      <c r="M17" s="2293"/>
      <c r="N17" s="2293"/>
      <c r="O17" s="2293"/>
      <c r="P17" s="2293"/>
      <c r="Q17" s="2293"/>
      <c r="R17" s="2293"/>
      <c r="S17" s="2293"/>
      <c r="T17" s="2293"/>
      <c r="U17" s="2293"/>
      <c r="V17" s="2293"/>
      <c r="W17" s="2293"/>
      <c r="X17" s="2293"/>
      <c r="Y17" s="2293"/>
      <c r="Z17" s="2293"/>
      <c r="AA17" s="2293"/>
      <c r="AB17" s="2293"/>
      <c r="AC17" s="2293"/>
      <c r="AD17" s="2293"/>
      <c r="AE17" s="2293"/>
      <c r="AF17" s="2293"/>
      <c r="AG17" s="2293"/>
      <c r="AH17" s="2293"/>
      <c r="AI17" s="2293"/>
      <c r="AJ17" s="2293"/>
      <c r="AK17" s="2293"/>
      <c r="AL17" s="2293"/>
      <c r="AM17" s="2293"/>
      <c r="AN17" s="2293"/>
      <c r="AO17" s="2293"/>
      <c r="AP17" s="2293"/>
      <c r="AQ17" s="2293"/>
      <c r="AR17" s="2293"/>
      <c r="AS17" s="2293"/>
      <c r="AT17" s="2293"/>
      <c r="AU17" s="2293"/>
      <c r="AV17" s="2293"/>
      <c r="AW17" s="2293"/>
      <c r="AX17" s="2293"/>
      <c r="AY17" s="2294"/>
      <c r="AZ17" s="1207"/>
      <c r="BA17" s="1207"/>
      <c r="BB17" s="1207"/>
      <c r="BC17" s="1207"/>
      <c r="BD17" s="1207"/>
      <c r="BE17" s="1213"/>
      <c r="BF17" s="1205"/>
    </row>
    <row r="18" spans="1:58" ht="15.75" customHeight="1">
      <c r="A18" s="1207"/>
      <c r="B18" s="2421" t="s">
        <v>1864</v>
      </c>
      <c r="C18" s="2422"/>
      <c r="D18" s="2422"/>
      <c r="E18" s="2422"/>
      <c r="F18" s="2422"/>
      <c r="G18" s="2422"/>
      <c r="H18" s="2422"/>
      <c r="I18" s="2423"/>
      <c r="J18" s="2424" t="s">
        <v>1763</v>
      </c>
      <c r="K18" s="2425"/>
      <c r="L18" s="2425"/>
      <c r="M18" s="2425"/>
      <c r="N18" s="2425"/>
      <c r="O18" s="2426"/>
      <c r="P18" s="2424" t="s">
        <v>325</v>
      </c>
      <c r="Q18" s="2425"/>
      <c r="R18" s="2425"/>
      <c r="S18" s="2425"/>
      <c r="T18" s="2425"/>
      <c r="U18" s="2426"/>
      <c r="V18" s="2424" t="s">
        <v>326</v>
      </c>
      <c r="W18" s="2425"/>
      <c r="X18" s="2425"/>
      <c r="Y18" s="2425"/>
      <c r="Z18" s="2425"/>
      <c r="AA18" s="2426"/>
      <c r="AB18" s="2424" t="s">
        <v>164</v>
      </c>
      <c r="AC18" s="2425"/>
      <c r="AD18" s="2425"/>
      <c r="AE18" s="2425"/>
      <c r="AF18" s="2425"/>
      <c r="AG18" s="2426"/>
      <c r="AH18" s="2424" t="s">
        <v>165</v>
      </c>
      <c r="AI18" s="2425"/>
      <c r="AJ18" s="2425"/>
      <c r="AK18" s="2425"/>
      <c r="AL18" s="2425"/>
      <c r="AM18" s="2426"/>
      <c r="AN18" s="2424" t="s">
        <v>166</v>
      </c>
      <c r="AO18" s="2425"/>
      <c r="AP18" s="2425"/>
      <c r="AQ18" s="2425"/>
      <c r="AR18" s="2425"/>
      <c r="AS18" s="2426"/>
      <c r="AT18" s="2424" t="s">
        <v>1865</v>
      </c>
      <c r="AU18" s="2425"/>
      <c r="AV18" s="2425"/>
      <c r="AW18" s="2425"/>
      <c r="AX18" s="2425"/>
      <c r="AY18" s="2427"/>
      <c r="AZ18" s="1207"/>
      <c r="BA18" s="1207"/>
      <c r="BB18" s="1207"/>
      <c r="BC18" s="1207"/>
      <c r="BD18" s="1207"/>
      <c r="BE18" s="1213"/>
    </row>
    <row r="19" spans="1:58" ht="15">
      <c r="A19" s="1207"/>
      <c r="B19" s="2418">
        <v>0.3</v>
      </c>
      <c r="C19" s="2419"/>
      <c r="D19" s="2419"/>
      <c r="E19" s="2419"/>
      <c r="F19" s="2419"/>
      <c r="G19" s="2419"/>
      <c r="H19" s="2419"/>
      <c r="I19" s="2420"/>
      <c r="J19" s="2403">
        <f>SUM(P19:AS19)</f>
        <v>17</v>
      </c>
      <c r="K19" s="2404"/>
      <c r="L19" s="2404"/>
      <c r="M19" s="2404"/>
      <c r="N19" s="2404"/>
      <c r="O19" s="2405"/>
      <c r="P19" s="2403" cm="1">
        <f t="array" ref="P19">SUMPRODUCT((Application!$B$714:$B$738 = 'CalHFA Addendum'!P$18)*(Application!$AC$714:$AC$738 = 'CalHFA Addendum'!$B19),Application!$G$714:$G$738)</f>
        <v>0</v>
      </c>
      <c r="Q19" s="2404"/>
      <c r="R19" s="2404"/>
      <c r="S19" s="2404"/>
      <c r="T19" s="2404"/>
      <c r="U19" s="2405"/>
      <c r="V19" s="2403" cm="1">
        <f t="array" ref="V19">SUMPRODUCT((Application!$B$714:$B$738 = 'CalHFA Addendum'!V$18)*(Application!$AC$714:$AC$738 = 'CalHFA Addendum'!$B19),Application!$G$714:$G$738)</f>
        <v>6</v>
      </c>
      <c r="W19" s="2404"/>
      <c r="X19" s="2404"/>
      <c r="Y19" s="2404"/>
      <c r="Z19" s="2404"/>
      <c r="AA19" s="2405"/>
      <c r="AB19" s="2403" cm="1">
        <f t="array" ref="AB19">SUMPRODUCT((Application!$B$714:$B$738 = 'CalHFA Addendum'!AB$18)*(Application!$AC$714:$AC$738 = 'CalHFA Addendum'!$B19),Application!$G$714:$G$738)</f>
        <v>7</v>
      </c>
      <c r="AC19" s="2404"/>
      <c r="AD19" s="2404"/>
      <c r="AE19" s="2404"/>
      <c r="AF19" s="2404"/>
      <c r="AG19" s="2405"/>
      <c r="AH19" s="2403" cm="1">
        <f t="array" ref="AH19">SUMPRODUCT((Application!$B$714:$B$738 = 'CalHFA Addendum'!AH$18)*(Application!$AC$714:$AC$738 = 'CalHFA Addendum'!$B19),Application!$G$714:$G$738)</f>
        <v>4</v>
      </c>
      <c r="AI19" s="2404"/>
      <c r="AJ19" s="2404"/>
      <c r="AK19" s="2404"/>
      <c r="AL19" s="2404"/>
      <c r="AM19" s="2405"/>
      <c r="AN19" s="2403" cm="1">
        <f t="array" ref="AN19">SUMPRODUCT((Application!$B$714:$B$738 = 'CalHFA Addendum'!AN$18)*(Application!$AC$714:$AC$738 = 'CalHFA Addendum'!$B19),Application!$G$714:$G$738)</f>
        <v>0</v>
      </c>
      <c r="AO19" s="2404"/>
      <c r="AP19" s="2404"/>
      <c r="AQ19" s="2404"/>
      <c r="AR19" s="2404"/>
      <c r="AS19" s="2405"/>
      <c r="AT19" s="2406">
        <f t="shared" ref="AT19:AT28" si="0">J19/$J$29</f>
        <v>0.10119047619047619</v>
      </c>
      <c r="AU19" s="2407"/>
      <c r="AV19" s="2407"/>
      <c r="AW19" s="2407"/>
      <c r="AX19" s="2407"/>
      <c r="AY19" s="2408"/>
      <c r="AZ19" s="1214"/>
      <c r="BA19" s="1207"/>
      <c r="BB19" s="1207"/>
      <c r="BC19" s="1207"/>
      <c r="BD19" s="1207"/>
      <c r="BE19" s="1213"/>
    </row>
    <row r="20" spans="1:58" ht="15" customHeight="1">
      <c r="A20" s="1207"/>
      <c r="B20" s="2418">
        <v>0.4</v>
      </c>
      <c r="C20" s="2419"/>
      <c r="D20" s="2419"/>
      <c r="E20" s="2419"/>
      <c r="F20" s="2419"/>
      <c r="G20" s="2419"/>
      <c r="H20" s="2419"/>
      <c r="I20" s="2420"/>
      <c r="J20" s="2403">
        <f t="shared" ref="J20:J28" si="1">SUM(P20:AS20)</f>
        <v>0</v>
      </c>
      <c r="K20" s="2404"/>
      <c r="L20" s="2404"/>
      <c r="M20" s="2404"/>
      <c r="N20" s="2404"/>
      <c r="O20" s="2405"/>
      <c r="P20" s="2403" cm="1">
        <f t="array" ref="P20">SUMPRODUCT((Application!$B$714:$B$738 = 'CalHFA Addendum'!P$18)*(Application!$AC$714:$AC$738 = 'CalHFA Addendum'!$B20),Application!$G$714:$G$738)</f>
        <v>0</v>
      </c>
      <c r="Q20" s="2404"/>
      <c r="R20" s="2404"/>
      <c r="S20" s="2404"/>
      <c r="T20" s="2404"/>
      <c r="U20" s="2405"/>
      <c r="V20" s="2403" cm="1">
        <f t="array" ref="V20">SUMPRODUCT((Application!$B$714:$B$738 = 'CalHFA Addendum'!V$18)*(Application!$AC$714:$AC$738 = 'CalHFA Addendum'!$B20),Application!$G$714:$G$738)</f>
        <v>0</v>
      </c>
      <c r="W20" s="2404"/>
      <c r="X20" s="2404"/>
      <c r="Y20" s="2404"/>
      <c r="Z20" s="2404"/>
      <c r="AA20" s="2405"/>
      <c r="AB20" s="2403" cm="1">
        <f t="array" ref="AB20">SUMPRODUCT((Application!$B$714:$B$738 = 'CalHFA Addendum'!AB$18)*(Application!$AC$714:$AC$738 = 'CalHFA Addendum'!$B20),Application!$G$714:$G$738)</f>
        <v>0</v>
      </c>
      <c r="AC20" s="2404"/>
      <c r="AD20" s="2404"/>
      <c r="AE20" s="2404"/>
      <c r="AF20" s="2404"/>
      <c r="AG20" s="2405"/>
      <c r="AH20" s="2403" cm="1">
        <f t="array" ref="AH20">SUMPRODUCT((Application!$B$714:$B$738 = 'CalHFA Addendum'!AH$18)*(Application!$AC$714:$AC$738 = 'CalHFA Addendum'!$B20),Application!$G$714:$G$738)</f>
        <v>0</v>
      </c>
      <c r="AI20" s="2404"/>
      <c r="AJ20" s="2404"/>
      <c r="AK20" s="2404"/>
      <c r="AL20" s="2404"/>
      <c r="AM20" s="2405"/>
      <c r="AN20" s="2403" cm="1">
        <f t="array" ref="AN20">SUMPRODUCT((Application!$B$714:$B$738 = 'CalHFA Addendum'!AN$18)*(Application!$AC$714:$AC$738 = 'CalHFA Addendum'!$B20),Application!$G$714:$G$738)</f>
        <v>0</v>
      </c>
      <c r="AO20" s="2404"/>
      <c r="AP20" s="2404"/>
      <c r="AQ20" s="2404"/>
      <c r="AR20" s="2404"/>
      <c r="AS20" s="2405"/>
      <c r="AT20" s="2406">
        <f t="shared" si="0"/>
        <v>0</v>
      </c>
      <c r="AU20" s="2407"/>
      <c r="AV20" s="2407"/>
      <c r="AW20" s="2407"/>
      <c r="AX20" s="2407"/>
      <c r="AY20" s="2408"/>
      <c r="AZ20" s="1207"/>
      <c r="BA20" s="1207"/>
      <c r="BB20" s="1207"/>
      <c r="BC20" s="1207"/>
      <c r="BD20" s="1207"/>
      <c r="BE20" s="1213"/>
    </row>
    <row r="21" spans="1:58" ht="15">
      <c r="A21" s="1207"/>
      <c r="B21" s="2418">
        <v>0.5</v>
      </c>
      <c r="C21" s="2419"/>
      <c r="D21" s="2419"/>
      <c r="E21" s="2419"/>
      <c r="F21" s="2419"/>
      <c r="G21" s="2419"/>
      <c r="H21" s="2419"/>
      <c r="I21" s="2420"/>
      <c r="J21" s="2403">
        <f t="shared" si="1"/>
        <v>50</v>
      </c>
      <c r="K21" s="2404"/>
      <c r="L21" s="2404"/>
      <c r="M21" s="2404"/>
      <c r="N21" s="2404"/>
      <c r="O21" s="2405"/>
      <c r="P21" s="2403" cm="1">
        <f t="array" ref="P21">SUMPRODUCT((Application!$B$714:$B$738 = 'CalHFA Addendum'!P$18)*(Application!$AC$714:$AC$738 = 'CalHFA Addendum'!$B21),Application!$G$714:$G$738)</f>
        <v>0</v>
      </c>
      <c r="Q21" s="2404"/>
      <c r="R21" s="2404"/>
      <c r="S21" s="2404"/>
      <c r="T21" s="2404"/>
      <c r="U21" s="2405"/>
      <c r="V21" s="2403" cm="1">
        <f t="array" ref="V21">SUMPRODUCT((Application!$B$714:$B$738 = 'CalHFA Addendum'!V$18)*(Application!$AC$714:$AC$738 = 'CalHFA Addendum'!$B21),Application!$G$714:$G$738)</f>
        <v>17</v>
      </c>
      <c r="W21" s="2404"/>
      <c r="X21" s="2404"/>
      <c r="Y21" s="2404"/>
      <c r="Z21" s="2404"/>
      <c r="AA21" s="2405"/>
      <c r="AB21" s="2403" cm="1">
        <f t="array" ref="AB21">SUMPRODUCT((Application!$B$714:$B$738 = 'CalHFA Addendum'!AB$18)*(Application!$AC$714:$AC$738 = 'CalHFA Addendum'!$B21),Application!$G$714:$G$738)</f>
        <v>20</v>
      </c>
      <c r="AC21" s="2404"/>
      <c r="AD21" s="2404"/>
      <c r="AE21" s="2404"/>
      <c r="AF21" s="2404"/>
      <c r="AG21" s="2405"/>
      <c r="AH21" s="2403" cm="1">
        <f t="array" ref="AH21">SUMPRODUCT((Application!$B$714:$B$738 = 'CalHFA Addendum'!AH$18)*(Application!$AC$714:$AC$738 = 'CalHFA Addendum'!$B21),Application!$G$714:$G$738)</f>
        <v>13</v>
      </c>
      <c r="AI21" s="2404"/>
      <c r="AJ21" s="2404"/>
      <c r="AK21" s="2404"/>
      <c r="AL21" s="2404"/>
      <c r="AM21" s="2405"/>
      <c r="AN21" s="2403" cm="1">
        <f t="array" ref="AN21">SUMPRODUCT((Application!$B$714:$B$738 = 'CalHFA Addendum'!AN$18)*(Application!$AC$714:$AC$738 = 'CalHFA Addendum'!$B21),Application!$G$714:$G$738)</f>
        <v>0</v>
      </c>
      <c r="AO21" s="2404"/>
      <c r="AP21" s="2404"/>
      <c r="AQ21" s="2404"/>
      <c r="AR21" s="2404"/>
      <c r="AS21" s="2405"/>
      <c r="AT21" s="2406">
        <f t="shared" si="0"/>
        <v>0.29761904761904762</v>
      </c>
      <c r="AU21" s="2407"/>
      <c r="AV21" s="2407"/>
      <c r="AW21" s="2407"/>
      <c r="AX21" s="2407"/>
      <c r="AY21" s="2408"/>
      <c r="AZ21" s="1207"/>
      <c r="BA21" s="1207"/>
      <c r="BB21" s="1207"/>
      <c r="BC21" s="1207"/>
      <c r="BD21" s="1207"/>
      <c r="BE21" s="1213"/>
    </row>
    <row r="22" spans="1:58" ht="15">
      <c r="A22" s="1207"/>
      <c r="B22" s="2418">
        <v>0.6</v>
      </c>
      <c r="C22" s="2419"/>
      <c r="D22" s="2419"/>
      <c r="E22" s="2419"/>
      <c r="F22" s="2419"/>
      <c r="G22" s="2419"/>
      <c r="H22" s="2419"/>
      <c r="I22" s="2420"/>
      <c r="J22" s="2403">
        <f t="shared" si="1"/>
        <v>0</v>
      </c>
      <c r="K22" s="2404"/>
      <c r="L22" s="2404"/>
      <c r="M22" s="2404"/>
      <c r="N22" s="2404"/>
      <c r="O22" s="2405"/>
      <c r="P22" s="2403" cm="1">
        <f t="array" ref="P22">SUMPRODUCT((Application!$B$714:$B$738 = 'CalHFA Addendum'!P$18)*(Application!$AC$714:$AC$738 = 'CalHFA Addendum'!$B22),Application!$G$714:$G$738)</f>
        <v>0</v>
      </c>
      <c r="Q22" s="2404"/>
      <c r="R22" s="2404"/>
      <c r="S22" s="2404"/>
      <c r="T22" s="2404"/>
      <c r="U22" s="2405"/>
      <c r="V22" s="2403" cm="1">
        <f t="array" ref="V22">SUMPRODUCT((Application!$B$714:$B$738 = 'CalHFA Addendum'!V$18)*(Application!$AC$714:$AC$738 = 'CalHFA Addendum'!$B22),Application!$G$714:$G$738)</f>
        <v>0</v>
      </c>
      <c r="W22" s="2404"/>
      <c r="X22" s="2404"/>
      <c r="Y22" s="2404"/>
      <c r="Z22" s="2404"/>
      <c r="AA22" s="2405"/>
      <c r="AB22" s="2403" cm="1">
        <f t="array" ref="AB22">SUMPRODUCT((Application!$B$714:$B$738 = 'CalHFA Addendum'!AB$18)*(Application!$AC$714:$AC$738 = 'CalHFA Addendum'!$B22),Application!$G$714:$G$738)</f>
        <v>0</v>
      </c>
      <c r="AC22" s="2404"/>
      <c r="AD22" s="2404"/>
      <c r="AE22" s="2404"/>
      <c r="AF22" s="2404"/>
      <c r="AG22" s="2405"/>
      <c r="AH22" s="2403" cm="1">
        <f t="array" ref="AH22">SUMPRODUCT((Application!$B$714:$B$738 = 'CalHFA Addendum'!AH$18)*(Application!$AC$714:$AC$738 = 'CalHFA Addendum'!$B22),Application!$G$714:$G$738)</f>
        <v>0</v>
      </c>
      <c r="AI22" s="2404"/>
      <c r="AJ22" s="2404"/>
      <c r="AK22" s="2404"/>
      <c r="AL22" s="2404"/>
      <c r="AM22" s="2405"/>
      <c r="AN22" s="2403" cm="1">
        <f t="array" ref="AN22">SUMPRODUCT((Application!$B$714:$B$738 = 'CalHFA Addendum'!AN$18)*(Application!$AC$714:$AC$738 = 'CalHFA Addendum'!$B22),Application!$G$714:$G$738)</f>
        <v>0</v>
      </c>
      <c r="AO22" s="2404"/>
      <c r="AP22" s="2404"/>
      <c r="AQ22" s="2404"/>
      <c r="AR22" s="2404"/>
      <c r="AS22" s="2405"/>
      <c r="AT22" s="2406">
        <f t="shared" si="0"/>
        <v>0</v>
      </c>
      <c r="AU22" s="2407"/>
      <c r="AV22" s="2407"/>
      <c r="AW22" s="2407"/>
      <c r="AX22" s="2407"/>
      <c r="AY22" s="2408"/>
      <c r="AZ22" s="1207"/>
      <c r="BA22" s="1207"/>
      <c r="BB22" s="1207"/>
      <c r="BC22" s="1207"/>
      <c r="BD22" s="1207"/>
      <c r="BE22" s="1213"/>
    </row>
    <row r="23" spans="1:58" ht="15">
      <c r="A23" s="1207"/>
      <c r="B23" s="2418">
        <v>0.7</v>
      </c>
      <c r="C23" s="2419"/>
      <c r="D23" s="2419"/>
      <c r="E23" s="2419"/>
      <c r="F23" s="2419"/>
      <c r="G23" s="2419"/>
      <c r="H23" s="2419"/>
      <c r="I23" s="2420"/>
      <c r="J23" s="2403">
        <f t="shared" si="1"/>
        <v>99</v>
      </c>
      <c r="K23" s="2404"/>
      <c r="L23" s="2404"/>
      <c r="M23" s="2404"/>
      <c r="N23" s="2404"/>
      <c r="O23" s="2405"/>
      <c r="P23" s="2403" cm="1">
        <f t="array" ref="P23">SUMPRODUCT((Application!$B$714:$B$738 = 'CalHFA Addendum'!P$18)*(Application!$AC$714:$AC$738 = 'CalHFA Addendum'!$B23),Application!$G$714:$G$738)</f>
        <v>0</v>
      </c>
      <c r="Q23" s="2404"/>
      <c r="R23" s="2404"/>
      <c r="S23" s="2404"/>
      <c r="T23" s="2404"/>
      <c r="U23" s="2405"/>
      <c r="V23" s="2403" cm="1">
        <f t="array" ref="V23">SUMPRODUCT((Application!$B$714:$B$738 = 'CalHFA Addendum'!V$18)*(Application!$AC$714:$AC$738 = 'CalHFA Addendum'!$B23),Application!$G$714:$G$738)</f>
        <v>34</v>
      </c>
      <c r="W23" s="2404"/>
      <c r="X23" s="2404"/>
      <c r="Y23" s="2404"/>
      <c r="Z23" s="2404"/>
      <c r="AA23" s="2405"/>
      <c r="AB23" s="2403" cm="1">
        <f t="array" ref="AB23">SUMPRODUCT((Application!$B$714:$B$738 = 'CalHFA Addendum'!AB$18)*(Application!$AC$714:$AC$738 = 'CalHFA Addendum'!$B23),Application!$G$714:$G$738)</f>
        <v>40</v>
      </c>
      <c r="AC23" s="2404"/>
      <c r="AD23" s="2404"/>
      <c r="AE23" s="2404"/>
      <c r="AF23" s="2404"/>
      <c r="AG23" s="2405"/>
      <c r="AH23" s="2403" cm="1">
        <f t="array" ref="AH23">SUMPRODUCT((Application!$B$714:$B$738 = 'CalHFA Addendum'!AH$18)*(Application!$AC$714:$AC$738 = 'CalHFA Addendum'!$B23),Application!$G$714:$G$738)</f>
        <v>25</v>
      </c>
      <c r="AI23" s="2404"/>
      <c r="AJ23" s="2404"/>
      <c r="AK23" s="2404"/>
      <c r="AL23" s="2404"/>
      <c r="AM23" s="2405"/>
      <c r="AN23" s="2403" cm="1">
        <f t="array" ref="AN23">SUMPRODUCT((Application!$B$714:$B$738 = 'CalHFA Addendum'!AN$18)*(Application!$AC$714:$AC$738 = 'CalHFA Addendum'!$B23),Application!$G$714:$G$738)</f>
        <v>0</v>
      </c>
      <c r="AO23" s="2404"/>
      <c r="AP23" s="2404"/>
      <c r="AQ23" s="2404"/>
      <c r="AR23" s="2404"/>
      <c r="AS23" s="2405"/>
      <c r="AT23" s="2406">
        <f t="shared" si="0"/>
        <v>0.5892857142857143</v>
      </c>
      <c r="AU23" s="2407"/>
      <c r="AV23" s="2407"/>
      <c r="AW23" s="2407"/>
      <c r="AX23" s="2407"/>
      <c r="AY23" s="2408"/>
      <c r="AZ23" s="1207"/>
      <c r="BA23" s="1207"/>
      <c r="BB23" s="1207"/>
      <c r="BC23" s="1207"/>
      <c r="BD23" s="1207"/>
      <c r="BE23" s="1213"/>
    </row>
    <row r="24" spans="1:58" ht="15">
      <c r="A24" s="1207"/>
      <c r="B24" s="2418">
        <v>0.8</v>
      </c>
      <c r="C24" s="2419"/>
      <c r="D24" s="2419"/>
      <c r="E24" s="2419"/>
      <c r="F24" s="2419"/>
      <c r="G24" s="2419"/>
      <c r="H24" s="2419"/>
      <c r="I24" s="2420"/>
      <c r="J24" s="2403">
        <f t="shared" si="1"/>
        <v>0</v>
      </c>
      <c r="K24" s="2404"/>
      <c r="L24" s="2404"/>
      <c r="M24" s="2404"/>
      <c r="N24" s="2404"/>
      <c r="O24" s="2405"/>
      <c r="P24" s="2403" cm="1">
        <f t="array" ref="P24">SUMPRODUCT((Application!$B$714:$B$738 = 'CalHFA Addendum'!P$18)*(Application!$AC$714:$AC$738 = 'CalHFA Addendum'!$B24),Application!$G$714:$G$738)</f>
        <v>0</v>
      </c>
      <c r="Q24" s="2404"/>
      <c r="R24" s="2404"/>
      <c r="S24" s="2404"/>
      <c r="T24" s="2404"/>
      <c r="U24" s="2405"/>
      <c r="V24" s="2403" cm="1">
        <f t="array" ref="V24">SUMPRODUCT((Application!$B$714:$B$738 = 'CalHFA Addendum'!V$18)*(Application!$AC$714:$AC$738 = 'CalHFA Addendum'!$B24),Application!$G$714:$G$738)</f>
        <v>0</v>
      </c>
      <c r="W24" s="2404"/>
      <c r="X24" s="2404"/>
      <c r="Y24" s="2404"/>
      <c r="Z24" s="2404"/>
      <c r="AA24" s="2405"/>
      <c r="AB24" s="2403" cm="1">
        <f t="array" ref="AB24">SUMPRODUCT((Application!$B$714:$B$738 = 'CalHFA Addendum'!AB$18)*(Application!$AC$714:$AC$738 = 'CalHFA Addendum'!$B24),Application!$G$714:$G$738)</f>
        <v>0</v>
      </c>
      <c r="AC24" s="2404"/>
      <c r="AD24" s="2404"/>
      <c r="AE24" s="2404"/>
      <c r="AF24" s="2404"/>
      <c r="AG24" s="2405"/>
      <c r="AH24" s="2403" cm="1">
        <f t="array" ref="AH24">SUMPRODUCT((Application!$B$714:$B$738 = 'CalHFA Addendum'!AH$18)*(Application!$AC$714:$AC$738 = 'CalHFA Addendum'!$B24),Application!$G$714:$G$738)</f>
        <v>0</v>
      </c>
      <c r="AI24" s="2404"/>
      <c r="AJ24" s="2404"/>
      <c r="AK24" s="2404"/>
      <c r="AL24" s="2404"/>
      <c r="AM24" s="2405"/>
      <c r="AN24" s="2403" cm="1">
        <f t="array" ref="AN24">SUMPRODUCT((Application!$B$714:$B$738 = 'CalHFA Addendum'!AN$18)*(Application!$AC$714:$AC$738 = 'CalHFA Addendum'!$B24),Application!$G$714:$G$738)</f>
        <v>0</v>
      </c>
      <c r="AO24" s="2404"/>
      <c r="AP24" s="2404"/>
      <c r="AQ24" s="2404"/>
      <c r="AR24" s="2404"/>
      <c r="AS24" s="2405"/>
      <c r="AT24" s="2406">
        <f t="shared" si="0"/>
        <v>0</v>
      </c>
      <c r="AU24" s="2407"/>
      <c r="AV24" s="2407"/>
      <c r="AW24" s="2407"/>
      <c r="AX24" s="2407"/>
      <c r="AY24" s="2408"/>
      <c r="AZ24" s="1207"/>
      <c r="BA24" s="1207"/>
      <c r="BB24" s="1207"/>
      <c r="BC24" s="1207"/>
      <c r="BD24" s="1207"/>
      <c r="BE24" s="1213"/>
    </row>
    <row r="25" spans="1:58" ht="15">
      <c r="A25" s="1207"/>
      <c r="B25" s="2418">
        <v>0.9</v>
      </c>
      <c r="C25" s="2419"/>
      <c r="D25" s="2419"/>
      <c r="E25" s="2419"/>
      <c r="F25" s="2419"/>
      <c r="G25" s="2419"/>
      <c r="H25" s="2419"/>
      <c r="I25" s="2420"/>
      <c r="J25" s="2403">
        <f t="shared" si="1"/>
        <v>0</v>
      </c>
      <c r="K25" s="2404"/>
      <c r="L25" s="2404"/>
      <c r="M25" s="2404"/>
      <c r="N25" s="2404"/>
      <c r="O25" s="2405"/>
      <c r="P25" s="2403" cm="1">
        <f t="array" ref="P25">SUMPRODUCT((Application!$B$714:$B$738 = 'CalHFA Addendum'!P$18)*(Application!$AC$714:$AC$738 = 'CalHFA Addendum'!$B25),Application!$G$714:$G$738)</f>
        <v>0</v>
      </c>
      <c r="Q25" s="2404"/>
      <c r="R25" s="2404"/>
      <c r="S25" s="2404"/>
      <c r="T25" s="2404"/>
      <c r="U25" s="2405"/>
      <c r="V25" s="2403" cm="1">
        <f t="array" ref="V25">SUMPRODUCT((Application!$B$714:$B$738 = 'CalHFA Addendum'!V$18)*(Application!$AC$714:$AC$738 = 'CalHFA Addendum'!$B25),Application!$G$714:$G$738)</f>
        <v>0</v>
      </c>
      <c r="W25" s="2404"/>
      <c r="X25" s="2404"/>
      <c r="Y25" s="2404"/>
      <c r="Z25" s="2404"/>
      <c r="AA25" s="2405"/>
      <c r="AB25" s="2403" cm="1">
        <f t="array" ref="AB25">SUMPRODUCT((Application!$B$714:$B$738 = 'CalHFA Addendum'!AB$18)*(Application!$AC$714:$AC$738 = 'CalHFA Addendum'!$B25),Application!$G$714:$G$738)</f>
        <v>0</v>
      </c>
      <c r="AC25" s="2404"/>
      <c r="AD25" s="2404"/>
      <c r="AE25" s="2404"/>
      <c r="AF25" s="2404"/>
      <c r="AG25" s="2405"/>
      <c r="AH25" s="2403" cm="1">
        <f t="array" ref="AH25">SUMPRODUCT((Application!$B$714:$B$738 = 'CalHFA Addendum'!AH$18)*(Application!$AC$714:$AC$738 = 'CalHFA Addendum'!$B25),Application!$G$714:$G$738)</f>
        <v>0</v>
      </c>
      <c r="AI25" s="2404"/>
      <c r="AJ25" s="2404"/>
      <c r="AK25" s="2404"/>
      <c r="AL25" s="2404"/>
      <c r="AM25" s="2405"/>
      <c r="AN25" s="2403" cm="1">
        <f t="array" ref="AN25">SUMPRODUCT((Application!$B$714:$B$738 = 'CalHFA Addendum'!AN$18)*(Application!$AC$714:$AC$738 = 'CalHFA Addendum'!$B25),Application!$G$714:$G$738)</f>
        <v>0</v>
      </c>
      <c r="AO25" s="2404"/>
      <c r="AP25" s="2404"/>
      <c r="AQ25" s="2404"/>
      <c r="AR25" s="2404"/>
      <c r="AS25" s="2405"/>
      <c r="AT25" s="2406">
        <f t="shared" si="0"/>
        <v>0</v>
      </c>
      <c r="AU25" s="2407"/>
      <c r="AV25" s="2407"/>
      <c r="AW25" s="2407"/>
      <c r="AX25" s="2407"/>
      <c r="AY25" s="2408"/>
      <c r="AZ25" s="1207"/>
      <c r="BA25" s="1207"/>
      <c r="BB25" s="1207"/>
      <c r="BC25" s="1207"/>
      <c r="BD25" s="1207"/>
      <c r="BE25" s="1213"/>
    </row>
    <row r="26" spans="1:58" ht="15">
      <c r="A26" s="1207"/>
      <c r="B26" s="2418">
        <v>1</v>
      </c>
      <c r="C26" s="2419"/>
      <c r="D26" s="2419"/>
      <c r="E26" s="2419"/>
      <c r="F26" s="2419"/>
      <c r="G26" s="2419"/>
      <c r="H26" s="2419"/>
      <c r="I26" s="2420"/>
      <c r="J26" s="2403">
        <f t="shared" si="1"/>
        <v>0</v>
      </c>
      <c r="K26" s="2404"/>
      <c r="L26" s="2404"/>
      <c r="M26" s="2404"/>
      <c r="N26" s="2404"/>
      <c r="O26" s="2405"/>
      <c r="P26" s="2403" cm="1">
        <f t="array" ref="P26">SUMPRODUCT((Application!$B$714:$B$738 = 'CalHFA Addendum'!P$18)*(Application!$AC$714:$AC$738 = 'CalHFA Addendum'!$B26),Application!$G$714:$G$738)</f>
        <v>0</v>
      </c>
      <c r="Q26" s="2404"/>
      <c r="R26" s="2404"/>
      <c r="S26" s="2404"/>
      <c r="T26" s="2404"/>
      <c r="U26" s="2405"/>
      <c r="V26" s="2403" cm="1">
        <f t="array" ref="V26">SUMPRODUCT((Application!$B$714:$B$738 = 'CalHFA Addendum'!V$18)*(Application!$AC$714:$AC$738 = 'CalHFA Addendum'!$B26),Application!$G$714:$G$738)</f>
        <v>0</v>
      </c>
      <c r="W26" s="2404"/>
      <c r="X26" s="2404"/>
      <c r="Y26" s="2404"/>
      <c r="Z26" s="2404"/>
      <c r="AA26" s="2405"/>
      <c r="AB26" s="2403" cm="1">
        <f t="array" ref="AB26">SUMPRODUCT((Application!$B$714:$B$738 = 'CalHFA Addendum'!AB$18)*(Application!$AC$714:$AC$738 = 'CalHFA Addendum'!$B26),Application!$G$714:$G$738)</f>
        <v>0</v>
      </c>
      <c r="AC26" s="2404"/>
      <c r="AD26" s="2404"/>
      <c r="AE26" s="2404"/>
      <c r="AF26" s="2404"/>
      <c r="AG26" s="2405"/>
      <c r="AH26" s="2403" cm="1">
        <f t="array" ref="AH26">SUMPRODUCT((Application!$B$714:$B$738 = 'CalHFA Addendum'!AH$18)*(Application!$AC$714:$AC$738 = 'CalHFA Addendum'!$B26),Application!$G$714:$G$738)</f>
        <v>0</v>
      </c>
      <c r="AI26" s="2404"/>
      <c r="AJ26" s="2404"/>
      <c r="AK26" s="2404"/>
      <c r="AL26" s="2404"/>
      <c r="AM26" s="2405"/>
      <c r="AN26" s="2403" cm="1">
        <f t="array" ref="AN26">SUMPRODUCT((Application!$B$714:$B$738 = 'CalHFA Addendum'!AN$18)*(Application!$AC$714:$AC$738 = 'CalHFA Addendum'!$B26),Application!$G$714:$G$738)</f>
        <v>0</v>
      </c>
      <c r="AO26" s="2404"/>
      <c r="AP26" s="2404"/>
      <c r="AQ26" s="2404"/>
      <c r="AR26" s="2404"/>
      <c r="AS26" s="2405"/>
      <c r="AT26" s="2406">
        <f t="shared" si="0"/>
        <v>0</v>
      </c>
      <c r="AU26" s="2407"/>
      <c r="AV26" s="2407"/>
      <c r="AW26" s="2407"/>
      <c r="AX26" s="2407"/>
      <c r="AY26" s="2408"/>
      <c r="AZ26" s="1207"/>
      <c r="BA26" s="1207"/>
      <c r="BB26" s="1207"/>
      <c r="BC26" s="1207"/>
      <c r="BD26" s="1207"/>
      <c r="BE26" s="1213"/>
    </row>
    <row r="27" spans="1:58" ht="15">
      <c r="A27" s="1207"/>
      <c r="B27" s="2418">
        <v>1.1000000000000001</v>
      </c>
      <c r="C27" s="2419"/>
      <c r="D27" s="2419"/>
      <c r="E27" s="2419"/>
      <c r="F27" s="2419"/>
      <c r="G27" s="2419"/>
      <c r="H27" s="2419"/>
      <c r="I27" s="2420"/>
      <c r="J27" s="2403">
        <f t="shared" si="1"/>
        <v>0</v>
      </c>
      <c r="K27" s="2404"/>
      <c r="L27" s="2404"/>
      <c r="M27" s="2404"/>
      <c r="N27" s="2404"/>
      <c r="O27" s="2405"/>
      <c r="P27" s="2403" cm="1">
        <f t="array" ref="P27">SUMPRODUCT((Application!$B$714:$B$738 = 'CalHFA Addendum'!P$18)*(Application!$AC$714:$AC$738 = 'CalHFA Addendum'!$B27),Application!$G$714:$G$738)</f>
        <v>0</v>
      </c>
      <c r="Q27" s="2404"/>
      <c r="R27" s="2404"/>
      <c r="S27" s="2404"/>
      <c r="T27" s="2404"/>
      <c r="U27" s="2405"/>
      <c r="V27" s="2403" cm="1">
        <f t="array" ref="V27">SUMPRODUCT((Application!$B$714:$B$738 = 'CalHFA Addendum'!V$18)*(Application!$AC$714:$AC$738 = 'CalHFA Addendum'!$B27),Application!$G$714:$G$738)</f>
        <v>0</v>
      </c>
      <c r="W27" s="2404"/>
      <c r="X27" s="2404"/>
      <c r="Y27" s="2404"/>
      <c r="Z27" s="2404"/>
      <c r="AA27" s="2405"/>
      <c r="AB27" s="2403" cm="1">
        <f t="array" ref="AB27">SUMPRODUCT((Application!$B$714:$B$738 = 'CalHFA Addendum'!AB$18)*(Application!$AC$714:$AC$738 = 'CalHFA Addendum'!$B27),Application!$G$714:$G$738)</f>
        <v>0</v>
      </c>
      <c r="AC27" s="2404"/>
      <c r="AD27" s="2404"/>
      <c r="AE27" s="2404"/>
      <c r="AF27" s="2404"/>
      <c r="AG27" s="2405"/>
      <c r="AH27" s="2403" cm="1">
        <f t="array" ref="AH27">SUMPRODUCT((Application!$B$714:$B$738 = 'CalHFA Addendum'!AH$18)*(Application!$AC$714:$AC$738 = 'CalHFA Addendum'!$B27),Application!$G$714:$G$738)</f>
        <v>0</v>
      </c>
      <c r="AI27" s="2404"/>
      <c r="AJ27" s="2404"/>
      <c r="AK27" s="2404"/>
      <c r="AL27" s="2404"/>
      <c r="AM27" s="2405"/>
      <c r="AN27" s="2403" cm="1">
        <f t="array" ref="AN27">SUMPRODUCT((Application!$B$714:$B$738 = 'CalHFA Addendum'!AN$18)*(Application!$AC$714:$AC$738 = 'CalHFA Addendum'!$B27),Application!$G$714:$G$738)</f>
        <v>0</v>
      </c>
      <c r="AO27" s="2404"/>
      <c r="AP27" s="2404"/>
      <c r="AQ27" s="2404"/>
      <c r="AR27" s="2404"/>
      <c r="AS27" s="2405"/>
      <c r="AT27" s="2406">
        <f t="shared" si="0"/>
        <v>0</v>
      </c>
      <c r="AU27" s="2407"/>
      <c r="AV27" s="2407"/>
      <c r="AW27" s="2407"/>
      <c r="AX27" s="2407"/>
      <c r="AY27" s="2408"/>
      <c r="AZ27" s="1207"/>
      <c r="BA27" s="1207"/>
      <c r="BB27" s="1207"/>
      <c r="BC27" s="1207"/>
      <c r="BD27" s="1207"/>
      <c r="BE27" s="1213"/>
    </row>
    <row r="28" spans="1:58" thickBot="1">
      <c r="A28" s="1207"/>
      <c r="B28" s="2409" t="s">
        <v>1866</v>
      </c>
      <c r="C28" s="2410"/>
      <c r="D28" s="2410"/>
      <c r="E28" s="2410"/>
      <c r="F28" s="2410"/>
      <c r="G28" s="2410"/>
      <c r="H28" s="2410"/>
      <c r="I28" s="2411"/>
      <c r="J28" s="2412">
        <f t="shared" si="1"/>
        <v>2</v>
      </c>
      <c r="K28" s="2413"/>
      <c r="L28" s="2413"/>
      <c r="M28" s="2413"/>
      <c r="N28" s="2413"/>
      <c r="O28" s="2414"/>
      <c r="P28" s="2412">
        <f>_xlfn.IFNA(VLOOKUP(P$18,Application!$J$758:$S$761,6,FALSE), 0)</f>
        <v>0</v>
      </c>
      <c r="Q28" s="2413"/>
      <c r="R28" s="2413"/>
      <c r="S28" s="2413"/>
      <c r="T28" s="2413"/>
      <c r="U28" s="2414"/>
      <c r="V28" s="2412">
        <f>_xlfn.IFNA(VLOOKUP(V$18,Application!$J$758:$S$761,6,FALSE), 0)</f>
        <v>0</v>
      </c>
      <c r="W28" s="2413"/>
      <c r="X28" s="2413"/>
      <c r="Y28" s="2413"/>
      <c r="Z28" s="2413"/>
      <c r="AA28" s="2414"/>
      <c r="AB28" s="2412">
        <f>_xlfn.IFNA(VLOOKUP(AB$18,Application!$J$758:$S$761,6,FALSE), 0)</f>
        <v>2</v>
      </c>
      <c r="AC28" s="2413"/>
      <c r="AD28" s="2413"/>
      <c r="AE28" s="2413"/>
      <c r="AF28" s="2413"/>
      <c r="AG28" s="2414"/>
      <c r="AH28" s="2412">
        <f>_xlfn.IFNA(VLOOKUP(AH$18,Application!$J$758:$S$761,6,FALSE), 0)</f>
        <v>0</v>
      </c>
      <c r="AI28" s="2413"/>
      <c r="AJ28" s="2413"/>
      <c r="AK28" s="2413"/>
      <c r="AL28" s="2413"/>
      <c r="AM28" s="2414"/>
      <c r="AN28" s="2412">
        <f>_xlfn.IFNA(VLOOKUP(AN$18,Application!$J$758:$S$761,6,FALSE), 0)</f>
        <v>0</v>
      </c>
      <c r="AO28" s="2413"/>
      <c r="AP28" s="2413"/>
      <c r="AQ28" s="2413"/>
      <c r="AR28" s="2413"/>
      <c r="AS28" s="2414"/>
      <c r="AT28" s="2415">
        <f t="shared" si="0"/>
        <v>1.1904761904761904E-2</v>
      </c>
      <c r="AU28" s="2416"/>
      <c r="AV28" s="2416"/>
      <c r="AW28" s="2416"/>
      <c r="AX28" s="2416"/>
      <c r="AY28" s="2417"/>
      <c r="AZ28" s="1207"/>
      <c r="BA28" s="1207"/>
      <c r="BB28" s="1207"/>
      <c r="BC28" s="1207"/>
      <c r="BD28" s="1207"/>
      <c r="BE28" s="1213"/>
    </row>
    <row r="29" spans="1:58" thickBot="1">
      <c r="A29" s="1207"/>
      <c r="B29" s="2402" t="s">
        <v>1763</v>
      </c>
      <c r="C29" s="2391"/>
      <c r="D29" s="2391"/>
      <c r="E29" s="2391"/>
      <c r="F29" s="2391"/>
      <c r="G29" s="2391"/>
      <c r="H29" s="2391"/>
      <c r="I29" s="2392"/>
      <c r="J29" s="2390">
        <f>SUM(J19:O28)</f>
        <v>168</v>
      </c>
      <c r="K29" s="2391"/>
      <c r="L29" s="2391"/>
      <c r="M29" s="2391"/>
      <c r="N29" s="2391"/>
      <c r="O29" s="2392"/>
      <c r="P29" s="2390">
        <f>SUM(P19:U28)</f>
        <v>0</v>
      </c>
      <c r="Q29" s="2391"/>
      <c r="R29" s="2391"/>
      <c r="S29" s="2391"/>
      <c r="T29" s="2391"/>
      <c r="U29" s="2392"/>
      <c r="V29" s="2390">
        <f>SUM(V19:AA28)</f>
        <v>57</v>
      </c>
      <c r="W29" s="2391"/>
      <c r="X29" s="2391"/>
      <c r="Y29" s="2391"/>
      <c r="Z29" s="2391"/>
      <c r="AA29" s="2392"/>
      <c r="AB29" s="2390">
        <f>SUM(AB19:AG28)</f>
        <v>69</v>
      </c>
      <c r="AC29" s="2391"/>
      <c r="AD29" s="2391"/>
      <c r="AE29" s="2391"/>
      <c r="AF29" s="2391"/>
      <c r="AG29" s="2392"/>
      <c r="AH29" s="2390">
        <f>SUM(AH19:AM28)</f>
        <v>42</v>
      </c>
      <c r="AI29" s="2391"/>
      <c r="AJ29" s="2391"/>
      <c r="AK29" s="2391"/>
      <c r="AL29" s="2391"/>
      <c r="AM29" s="2392"/>
      <c r="AN29" s="2390">
        <f>SUM(AN19:AS28)</f>
        <v>0</v>
      </c>
      <c r="AO29" s="2391"/>
      <c r="AP29" s="2391"/>
      <c r="AQ29" s="2391"/>
      <c r="AR29" s="2391"/>
      <c r="AS29" s="2392"/>
      <c r="AT29" s="2393">
        <f>J29/$J$29</f>
        <v>1</v>
      </c>
      <c r="AU29" s="2394"/>
      <c r="AV29" s="2394"/>
      <c r="AW29" s="2394"/>
      <c r="AX29" s="2394"/>
      <c r="AY29" s="2395"/>
      <c r="AZ29" s="1207"/>
      <c r="BA29" s="1207"/>
      <c r="BB29" s="1207"/>
      <c r="BC29" s="1207"/>
      <c r="BD29" s="1207"/>
      <c r="BE29" s="1213"/>
    </row>
    <row r="30" spans="1:58" thickBot="1">
      <c r="A30" s="1206"/>
      <c r="B30" s="1207"/>
      <c r="C30" s="1207"/>
      <c r="D30" s="1207"/>
      <c r="E30" s="1207"/>
      <c r="F30" s="1207"/>
      <c r="G30" s="1207"/>
      <c r="H30" s="1207"/>
      <c r="I30" s="1207"/>
      <c r="J30" s="1207"/>
      <c r="K30" s="1207"/>
      <c r="L30" s="1207"/>
      <c r="M30" s="1207"/>
      <c r="N30" s="1207"/>
      <c r="O30" s="1207"/>
      <c r="P30" s="1207"/>
      <c r="Q30" s="1207"/>
      <c r="R30" s="1207"/>
      <c r="S30" s="1207"/>
      <c r="T30" s="1207"/>
      <c r="U30" s="1207"/>
      <c r="V30" s="1207"/>
      <c r="W30" s="1207"/>
      <c r="X30" s="1207"/>
      <c r="Y30" s="1207"/>
      <c r="Z30" s="1207"/>
      <c r="AA30" s="1207"/>
      <c r="AB30" s="1207"/>
      <c r="AC30" s="1207"/>
      <c r="AD30" s="1207"/>
      <c r="AE30" s="1207"/>
      <c r="AF30" s="1207"/>
      <c r="AG30" s="1207"/>
      <c r="AH30" s="1207"/>
      <c r="AI30" s="1207"/>
      <c r="AJ30" s="1207"/>
      <c r="AK30" s="1207"/>
      <c r="AL30" s="1207"/>
      <c r="AM30" s="1207"/>
      <c r="AN30" s="1207"/>
      <c r="AO30" s="1207"/>
      <c r="AP30" s="1207"/>
      <c r="AQ30" s="1207"/>
      <c r="AR30" s="1207"/>
      <c r="AS30" s="1207"/>
      <c r="AT30" s="1207"/>
      <c r="AU30" s="1207"/>
      <c r="AV30" s="1207"/>
      <c r="AW30" s="1207"/>
      <c r="AX30" s="1207"/>
      <c r="AY30" s="1207"/>
      <c r="AZ30" s="1207"/>
      <c r="BA30" s="1207"/>
      <c r="BB30" s="1207"/>
      <c r="BC30" s="1207"/>
      <c r="BD30" s="1207"/>
      <c r="BE30" s="1213"/>
    </row>
    <row r="31" spans="1:58" ht="15">
      <c r="A31" s="1207"/>
      <c r="B31" s="2270" t="s">
        <v>1867</v>
      </c>
      <c r="C31" s="2236"/>
      <c r="D31" s="2236"/>
      <c r="E31" s="2236"/>
      <c r="F31" s="2236"/>
      <c r="G31" s="2236"/>
      <c r="H31" s="2236"/>
      <c r="I31" s="2236"/>
      <c r="J31" s="2236"/>
      <c r="K31" s="2236"/>
      <c r="L31" s="2236"/>
      <c r="M31" s="2236"/>
      <c r="N31" s="2236"/>
      <c r="O31" s="2236"/>
      <c r="P31" s="2236"/>
      <c r="Q31" s="2236"/>
      <c r="R31" s="2236"/>
      <c r="S31" s="2236"/>
      <c r="T31" s="2236"/>
      <c r="U31" s="2236"/>
      <c r="V31" s="2236"/>
      <c r="W31" s="2236"/>
      <c r="X31" s="2236"/>
      <c r="Y31" s="2236"/>
      <c r="Z31" s="2236"/>
      <c r="AA31" s="2236"/>
      <c r="AB31" s="2236"/>
      <c r="AC31" s="2236"/>
      <c r="AD31" s="2236"/>
      <c r="AE31" s="2236"/>
      <c r="AF31" s="2236"/>
      <c r="AG31" s="2236"/>
      <c r="AH31" s="2236"/>
      <c r="AI31" s="2236"/>
      <c r="AJ31" s="2236"/>
      <c r="AK31" s="2236"/>
      <c r="AL31" s="2236"/>
      <c r="AM31" s="2236"/>
      <c r="AN31" s="2236"/>
      <c r="AO31" s="2236"/>
      <c r="AP31" s="2236"/>
      <c r="AQ31" s="2236"/>
      <c r="AR31" s="2236"/>
      <c r="AS31" s="2236"/>
      <c r="AT31" s="2236"/>
      <c r="AU31" s="2236"/>
      <c r="AV31" s="2236"/>
      <c r="AW31" s="2236"/>
      <c r="AX31" s="2236"/>
      <c r="AY31" s="2236"/>
      <c r="AZ31" s="2237"/>
      <c r="BA31" s="1207"/>
      <c r="BB31" s="1207"/>
      <c r="BC31" s="1207"/>
      <c r="BD31" s="1207"/>
      <c r="BE31" s="1213"/>
    </row>
    <row r="32" spans="1:58" ht="15">
      <c r="A32" s="1207"/>
      <c r="B32" s="2396" t="s">
        <v>2581</v>
      </c>
      <c r="C32" s="2397"/>
      <c r="D32" s="2397"/>
      <c r="E32" s="2397"/>
      <c r="F32" s="2397"/>
      <c r="G32" s="2397"/>
      <c r="H32" s="2397"/>
      <c r="I32" s="2397"/>
      <c r="J32" s="2399" t="s">
        <v>2582</v>
      </c>
      <c r="K32" s="2400"/>
      <c r="L32" s="2400"/>
      <c r="M32" s="2400"/>
      <c r="N32" s="2399" t="s">
        <v>1868</v>
      </c>
      <c r="O32" s="2400"/>
      <c r="P32" s="2400"/>
      <c r="Q32" s="2400"/>
      <c r="R32" s="2271" t="s">
        <v>1869</v>
      </c>
      <c r="S32" s="2271"/>
      <c r="T32" s="2271"/>
      <c r="U32" s="2271"/>
      <c r="V32" s="2271"/>
      <c r="W32" s="2271"/>
      <c r="X32" s="2271"/>
      <c r="Y32" s="2271"/>
      <c r="Z32" s="2271"/>
      <c r="AA32" s="2271"/>
      <c r="AB32" s="2271"/>
      <c r="AC32" s="2271"/>
      <c r="AD32" s="2271"/>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321"/>
      <c r="BA32" s="1207"/>
      <c r="BB32" s="1207"/>
      <c r="BC32" s="1207"/>
      <c r="BD32" s="1207"/>
      <c r="BE32" s="1213"/>
    </row>
    <row r="33" spans="1:58" ht="15" customHeight="1">
      <c r="A33" s="1207"/>
      <c r="B33" s="2398"/>
      <c r="C33" s="2397"/>
      <c r="D33" s="2397"/>
      <c r="E33" s="2397"/>
      <c r="F33" s="2397"/>
      <c r="G33" s="2397"/>
      <c r="H33" s="2397"/>
      <c r="I33" s="2397"/>
      <c r="J33" s="2400"/>
      <c r="K33" s="2400"/>
      <c r="L33" s="2400"/>
      <c r="M33" s="2400"/>
      <c r="N33" s="2400"/>
      <c r="O33" s="2400"/>
      <c r="P33" s="2400"/>
      <c r="Q33" s="2400"/>
      <c r="R33" s="2372" t="s">
        <v>1870</v>
      </c>
      <c r="S33" s="2399"/>
      <c r="T33" s="2399"/>
      <c r="U33" s="2399"/>
      <c r="V33" s="2399"/>
      <c r="W33" s="2399"/>
      <c r="X33" s="2399"/>
      <c r="Y33" s="2399"/>
      <c r="Z33" s="2399"/>
      <c r="AA33" s="2399"/>
      <c r="AB33" s="2399"/>
      <c r="AC33" s="2399"/>
      <c r="AD33" s="2399"/>
      <c r="AE33" s="2399"/>
      <c r="AF33" s="2399"/>
      <c r="AG33" s="2399"/>
      <c r="AH33" s="2399"/>
      <c r="AI33" s="2399"/>
      <c r="AJ33" s="2399"/>
      <c r="AK33" s="2399"/>
      <c r="AL33" s="2399"/>
      <c r="AM33" s="2399"/>
      <c r="AN33" s="2399"/>
      <c r="AO33" s="2399"/>
      <c r="AP33" s="2399"/>
      <c r="AQ33" s="2399"/>
      <c r="AR33" s="2399"/>
      <c r="AS33" s="2399"/>
      <c r="AT33" s="2399"/>
      <c r="AU33" s="2399"/>
      <c r="AV33" s="2399"/>
      <c r="AW33" s="2399"/>
      <c r="AX33" s="2399"/>
      <c r="AY33" s="2399"/>
      <c r="AZ33" s="2401"/>
      <c r="BA33" s="1214"/>
      <c r="BB33" s="1207"/>
      <c r="BC33" s="1207"/>
      <c r="BD33" s="1207"/>
      <c r="BE33" s="1213"/>
    </row>
    <row r="34" spans="1:58" ht="15.75" customHeight="1">
      <c r="A34" s="1207"/>
      <c r="B34" s="2398"/>
      <c r="C34" s="2397"/>
      <c r="D34" s="2397"/>
      <c r="E34" s="2397"/>
      <c r="F34" s="2397"/>
      <c r="G34" s="2397"/>
      <c r="H34" s="2397"/>
      <c r="I34" s="2397"/>
      <c r="J34" s="2400"/>
      <c r="K34" s="2400"/>
      <c r="L34" s="2400"/>
      <c r="M34" s="2400"/>
      <c r="N34" s="2400"/>
      <c r="O34" s="2400"/>
      <c r="P34" s="2400"/>
      <c r="Q34" s="2400"/>
      <c r="R34" s="2399"/>
      <c r="S34" s="2399"/>
      <c r="T34" s="2399"/>
      <c r="U34" s="2399"/>
      <c r="V34" s="2399"/>
      <c r="W34" s="2399"/>
      <c r="X34" s="2399"/>
      <c r="Y34" s="2399"/>
      <c r="Z34" s="2399"/>
      <c r="AA34" s="2399"/>
      <c r="AB34" s="2399"/>
      <c r="AC34" s="2399"/>
      <c r="AD34" s="2399"/>
      <c r="AE34" s="2399"/>
      <c r="AF34" s="2399"/>
      <c r="AG34" s="2399"/>
      <c r="AH34" s="2399"/>
      <c r="AI34" s="2399"/>
      <c r="AJ34" s="2399"/>
      <c r="AK34" s="2399"/>
      <c r="AL34" s="2399"/>
      <c r="AM34" s="2399"/>
      <c r="AN34" s="2399"/>
      <c r="AO34" s="2399"/>
      <c r="AP34" s="2399"/>
      <c r="AQ34" s="2399"/>
      <c r="AR34" s="2399"/>
      <c r="AS34" s="2399"/>
      <c r="AT34" s="2399"/>
      <c r="AU34" s="2399"/>
      <c r="AV34" s="2399"/>
      <c r="AW34" s="2399"/>
      <c r="AX34" s="2399"/>
      <c r="AY34" s="2399"/>
      <c r="AZ34" s="2401"/>
      <c r="BA34" s="1214"/>
      <c r="BB34" s="1207"/>
      <c r="BC34" s="1207"/>
      <c r="BD34" s="1207"/>
      <c r="BE34" s="1213"/>
    </row>
    <row r="35" spans="1:58" ht="15.75" customHeight="1">
      <c r="A35" s="1207"/>
      <c r="B35" s="2398"/>
      <c r="C35" s="2397"/>
      <c r="D35" s="2397"/>
      <c r="E35" s="2397"/>
      <c r="F35" s="2397"/>
      <c r="G35" s="2397"/>
      <c r="H35" s="2397"/>
      <c r="I35" s="2397"/>
      <c r="J35" s="2400"/>
      <c r="K35" s="2400"/>
      <c r="L35" s="2400"/>
      <c r="M35" s="2400"/>
      <c r="N35" s="2400"/>
      <c r="O35" s="2400"/>
      <c r="P35" s="2400"/>
      <c r="Q35" s="2400"/>
      <c r="R35" s="2386">
        <v>0.3</v>
      </c>
      <c r="S35" s="2386"/>
      <c r="T35" s="2386"/>
      <c r="U35" s="2386"/>
      <c r="V35" s="2386">
        <v>0.4</v>
      </c>
      <c r="W35" s="2386"/>
      <c r="X35" s="2386"/>
      <c r="Y35" s="2386"/>
      <c r="Z35" s="2386">
        <v>0.5</v>
      </c>
      <c r="AA35" s="2386"/>
      <c r="AB35" s="2386"/>
      <c r="AC35" s="2386"/>
      <c r="AD35" s="2386">
        <v>0.6</v>
      </c>
      <c r="AE35" s="2386"/>
      <c r="AF35" s="2386"/>
      <c r="AG35" s="2386"/>
      <c r="AH35" s="2386">
        <v>0.8</v>
      </c>
      <c r="AI35" s="2386"/>
      <c r="AJ35" s="2386"/>
      <c r="AK35" s="2386"/>
      <c r="AL35" s="2387">
        <v>1</v>
      </c>
      <c r="AM35" s="2387"/>
      <c r="AN35" s="2387"/>
      <c r="AO35" s="2388" t="s">
        <v>1871</v>
      </c>
      <c r="AP35" s="2388"/>
      <c r="AQ35" s="2388"/>
      <c r="AR35" s="2388"/>
      <c r="AS35" s="2388"/>
      <c r="AT35" s="2388"/>
      <c r="AU35" s="2388" t="s">
        <v>1872</v>
      </c>
      <c r="AV35" s="2388"/>
      <c r="AW35" s="2388"/>
      <c r="AX35" s="2388"/>
      <c r="AY35" s="2388"/>
      <c r="AZ35" s="2389"/>
      <c r="BA35" s="1214"/>
      <c r="BB35" s="1207"/>
      <c r="BC35" s="1207"/>
      <c r="BD35" s="1207"/>
      <c r="BE35" s="1213"/>
      <c r="BF35" s="1205"/>
    </row>
    <row r="36" spans="1:58" ht="15.75" customHeight="1">
      <c r="A36" s="1207"/>
      <c r="B36" s="2325" t="s">
        <v>1873</v>
      </c>
      <c r="C36" s="2326"/>
      <c r="D36" s="2326"/>
      <c r="E36" s="2326"/>
      <c r="F36" s="2326"/>
      <c r="G36" s="2326"/>
      <c r="H36" s="2326"/>
      <c r="I36" s="2326"/>
      <c r="J36" s="2385" t="s">
        <v>1874</v>
      </c>
      <c r="K36" s="2385"/>
      <c r="L36" s="2385"/>
      <c r="M36" s="2385"/>
      <c r="N36" s="2385">
        <v>55</v>
      </c>
      <c r="O36" s="2385"/>
      <c r="P36" s="2385"/>
      <c r="Q36" s="2385"/>
      <c r="R36" s="2378">
        <v>0</v>
      </c>
      <c r="S36" s="2378"/>
      <c r="T36" s="2378"/>
      <c r="U36" s="2378"/>
      <c r="V36" s="2378">
        <v>0</v>
      </c>
      <c r="W36" s="2378"/>
      <c r="X36" s="2378"/>
      <c r="Y36" s="2378"/>
      <c r="Z36" s="2378">
        <v>10</v>
      </c>
      <c r="AA36" s="2378"/>
      <c r="AB36" s="2378"/>
      <c r="AC36" s="2378"/>
      <c r="AD36" s="2378">
        <v>30</v>
      </c>
      <c r="AE36" s="2378"/>
      <c r="AF36" s="2378"/>
      <c r="AG36" s="2378"/>
      <c r="AH36" s="2378">
        <v>0</v>
      </c>
      <c r="AI36" s="2378"/>
      <c r="AJ36" s="2378"/>
      <c r="AK36" s="2378"/>
      <c r="AL36" s="2378">
        <v>0</v>
      </c>
      <c r="AM36" s="2378"/>
      <c r="AN36" s="2378"/>
      <c r="AO36" s="2379">
        <f>SUM(R36:AN36)</f>
        <v>40</v>
      </c>
      <c r="AP36" s="2379"/>
      <c r="AQ36" s="2379"/>
      <c r="AR36" s="2379"/>
      <c r="AS36" s="2379"/>
      <c r="AT36" s="2379"/>
      <c r="AU36" s="2380">
        <f>AO36/$J$29</f>
        <v>0.23809523809523808</v>
      </c>
      <c r="AV36" s="2380"/>
      <c r="AW36" s="2380"/>
      <c r="AX36" s="2380"/>
      <c r="AY36" s="2380"/>
      <c r="AZ36" s="2381"/>
      <c r="BA36" s="1207"/>
      <c r="BB36" s="1207"/>
      <c r="BC36" s="1207"/>
      <c r="BD36" s="1207"/>
      <c r="BE36" s="1213"/>
      <c r="BF36" s="1205"/>
    </row>
    <row r="37" spans="1:58" ht="15.75" customHeight="1">
      <c r="A37" s="1207"/>
      <c r="B37" s="2325" t="s">
        <v>2583</v>
      </c>
      <c r="C37" s="2326"/>
      <c r="D37" s="2326"/>
      <c r="E37" s="2326"/>
      <c r="F37" s="2326"/>
      <c r="G37" s="2326"/>
      <c r="H37" s="2326"/>
      <c r="I37" s="2326"/>
      <c r="J37" s="2385" t="s">
        <v>1875</v>
      </c>
      <c r="K37" s="2385"/>
      <c r="L37" s="2385"/>
      <c r="M37" s="2385"/>
      <c r="N37" s="2385">
        <v>55</v>
      </c>
      <c r="O37" s="2385"/>
      <c r="P37" s="2385"/>
      <c r="Q37" s="2385"/>
      <c r="R37" s="2378">
        <v>10</v>
      </c>
      <c r="S37" s="2378"/>
      <c r="T37" s="2378"/>
      <c r="U37" s="2378"/>
      <c r="V37" s="2378"/>
      <c r="W37" s="2378"/>
      <c r="X37" s="2378"/>
      <c r="Y37" s="2378"/>
      <c r="Z37" s="2378"/>
      <c r="AA37" s="2378"/>
      <c r="AB37" s="2378"/>
      <c r="AC37" s="2378"/>
      <c r="AD37" s="2378"/>
      <c r="AE37" s="2378"/>
      <c r="AF37" s="2378"/>
      <c r="AG37" s="2378"/>
      <c r="AH37" s="2378"/>
      <c r="AI37" s="2378"/>
      <c r="AJ37" s="2378"/>
      <c r="AK37" s="2378"/>
      <c r="AL37" s="2378"/>
      <c r="AM37" s="2378"/>
      <c r="AN37" s="2378"/>
      <c r="AO37" s="2379">
        <f t="shared" ref="AO37:AO47" si="2">SUM(R37:AN37)</f>
        <v>10</v>
      </c>
      <c r="AP37" s="2379"/>
      <c r="AQ37" s="2379"/>
      <c r="AR37" s="2379"/>
      <c r="AS37" s="2379"/>
      <c r="AT37" s="2379"/>
      <c r="AU37" s="2380">
        <f t="shared" ref="AU37:AU47" si="3">AO37/$J$29</f>
        <v>5.9523809523809521E-2</v>
      </c>
      <c r="AV37" s="2380"/>
      <c r="AW37" s="2380"/>
      <c r="AX37" s="2380"/>
      <c r="AY37" s="2380"/>
      <c r="AZ37" s="2381"/>
      <c r="BA37" s="1207"/>
      <c r="BB37" s="1207"/>
      <c r="BC37" s="1207"/>
      <c r="BD37" s="1207"/>
      <c r="BE37" s="1213"/>
      <c r="BF37" s="1205"/>
    </row>
    <row r="38" spans="1:58" ht="15.75" customHeight="1">
      <c r="A38" s="1207"/>
      <c r="B38" s="2325" t="s">
        <v>2521</v>
      </c>
      <c r="C38" s="2326"/>
      <c r="D38" s="2326"/>
      <c r="E38" s="2326"/>
      <c r="F38" s="2326"/>
      <c r="G38" s="2326"/>
      <c r="H38" s="2326"/>
      <c r="I38" s="2326"/>
      <c r="J38" s="2385" t="s">
        <v>1876</v>
      </c>
      <c r="K38" s="2385"/>
      <c r="L38" s="2385"/>
      <c r="M38" s="2385"/>
      <c r="N38" s="2385">
        <v>55</v>
      </c>
      <c r="O38" s="2385"/>
      <c r="P38" s="2385"/>
      <c r="Q38" s="2385"/>
      <c r="R38" s="2378"/>
      <c r="S38" s="2378"/>
      <c r="T38" s="2378"/>
      <c r="U38" s="2378"/>
      <c r="V38" s="2378"/>
      <c r="W38" s="2378"/>
      <c r="X38" s="2378"/>
      <c r="Y38" s="2378"/>
      <c r="Z38" s="2378"/>
      <c r="AA38" s="2378"/>
      <c r="AB38" s="2378"/>
      <c r="AC38" s="2378"/>
      <c r="AD38" s="2378"/>
      <c r="AE38" s="2378"/>
      <c r="AF38" s="2378"/>
      <c r="AG38" s="2378"/>
      <c r="AH38" s="2378"/>
      <c r="AI38" s="2378"/>
      <c r="AJ38" s="2378"/>
      <c r="AK38" s="2378"/>
      <c r="AL38" s="2378"/>
      <c r="AM38" s="2378"/>
      <c r="AN38" s="2378"/>
      <c r="AO38" s="2379">
        <f t="shared" si="2"/>
        <v>0</v>
      </c>
      <c r="AP38" s="2379"/>
      <c r="AQ38" s="2379"/>
      <c r="AR38" s="2379"/>
      <c r="AS38" s="2379"/>
      <c r="AT38" s="2379"/>
      <c r="AU38" s="2380">
        <f t="shared" si="3"/>
        <v>0</v>
      </c>
      <c r="AV38" s="2380"/>
      <c r="AW38" s="2380"/>
      <c r="AX38" s="2380"/>
      <c r="AY38" s="2380"/>
      <c r="AZ38" s="2381"/>
      <c r="BA38" s="1207"/>
      <c r="BB38" s="1207"/>
      <c r="BC38" s="1207"/>
      <c r="BD38" s="1207"/>
      <c r="BE38" s="1213"/>
      <c r="BF38" s="1205"/>
    </row>
    <row r="39" spans="1:58" ht="15.75" customHeight="1">
      <c r="A39" s="1207"/>
      <c r="B39" s="2325" t="s">
        <v>1877</v>
      </c>
      <c r="C39" s="2326"/>
      <c r="D39" s="2326"/>
      <c r="E39" s="2326"/>
      <c r="F39" s="2326"/>
      <c r="G39" s="2326"/>
      <c r="H39" s="2326"/>
      <c r="I39" s="2326"/>
      <c r="J39" s="2385"/>
      <c r="K39" s="2385"/>
      <c r="L39" s="2385"/>
      <c r="M39" s="2385"/>
      <c r="N39" s="2385"/>
      <c r="O39" s="2385"/>
      <c r="P39" s="2385"/>
      <c r="Q39" s="2385"/>
      <c r="R39" s="2378"/>
      <c r="S39" s="2378"/>
      <c r="T39" s="2378"/>
      <c r="U39" s="2378"/>
      <c r="V39" s="2378"/>
      <c r="W39" s="2378"/>
      <c r="X39" s="2378"/>
      <c r="Y39" s="2378"/>
      <c r="Z39" s="2378"/>
      <c r="AA39" s="2378"/>
      <c r="AB39" s="2378"/>
      <c r="AC39" s="2378"/>
      <c r="AD39" s="2378"/>
      <c r="AE39" s="2378"/>
      <c r="AF39" s="2378"/>
      <c r="AG39" s="2378"/>
      <c r="AH39" s="2378"/>
      <c r="AI39" s="2378"/>
      <c r="AJ39" s="2378"/>
      <c r="AK39" s="2378"/>
      <c r="AL39" s="2378"/>
      <c r="AM39" s="2378"/>
      <c r="AN39" s="2378"/>
      <c r="AO39" s="2379">
        <f t="shared" si="2"/>
        <v>0</v>
      </c>
      <c r="AP39" s="2379"/>
      <c r="AQ39" s="2379"/>
      <c r="AR39" s="2379"/>
      <c r="AS39" s="2379"/>
      <c r="AT39" s="2379"/>
      <c r="AU39" s="2380">
        <f t="shared" si="3"/>
        <v>0</v>
      </c>
      <c r="AV39" s="2380"/>
      <c r="AW39" s="2380"/>
      <c r="AX39" s="2380"/>
      <c r="AY39" s="2380"/>
      <c r="AZ39" s="2381"/>
      <c r="BA39" s="1207"/>
      <c r="BB39" s="1207"/>
      <c r="BC39" s="1207"/>
      <c r="BD39" s="1207"/>
      <c r="BE39" s="1213"/>
    </row>
    <row r="40" spans="1:58" ht="15.75" customHeight="1">
      <c r="A40" s="1207"/>
      <c r="B40" s="2325" t="s">
        <v>1877</v>
      </c>
      <c r="C40" s="2326"/>
      <c r="D40" s="2326"/>
      <c r="E40" s="2326"/>
      <c r="F40" s="2326"/>
      <c r="G40" s="2326"/>
      <c r="H40" s="2326"/>
      <c r="I40" s="2326"/>
      <c r="J40" s="2385"/>
      <c r="K40" s="2385"/>
      <c r="L40" s="2385"/>
      <c r="M40" s="2385"/>
      <c r="N40" s="2385"/>
      <c r="O40" s="2385"/>
      <c r="P40" s="2385"/>
      <c r="Q40" s="2385"/>
      <c r="R40" s="2378"/>
      <c r="S40" s="2378"/>
      <c r="T40" s="2378"/>
      <c r="U40" s="2378"/>
      <c r="V40" s="2378"/>
      <c r="W40" s="2378"/>
      <c r="X40" s="2378"/>
      <c r="Y40" s="2378"/>
      <c r="Z40" s="2378"/>
      <c r="AA40" s="2378"/>
      <c r="AB40" s="2378"/>
      <c r="AC40" s="2378"/>
      <c r="AD40" s="2378"/>
      <c r="AE40" s="2378"/>
      <c r="AF40" s="2378"/>
      <c r="AG40" s="2378"/>
      <c r="AH40" s="2378"/>
      <c r="AI40" s="2378"/>
      <c r="AJ40" s="2378"/>
      <c r="AK40" s="2378"/>
      <c r="AL40" s="2378"/>
      <c r="AM40" s="2378"/>
      <c r="AN40" s="2378"/>
      <c r="AO40" s="2379">
        <f t="shared" si="2"/>
        <v>0</v>
      </c>
      <c r="AP40" s="2379"/>
      <c r="AQ40" s="2379"/>
      <c r="AR40" s="2379"/>
      <c r="AS40" s="2379"/>
      <c r="AT40" s="2379"/>
      <c r="AU40" s="2380">
        <f t="shared" si="3"/>
        <v>0</v>
      </c>
      <c r="AV40" s="2380"/>
      <c r="AW40" s="2380"/>
      <c r="AX40" s="2380"/>
      <c r="AY40" s="2380"/>
      <c r="AZ40" s="2381"/>
      <c r="BA40" s="1207"/>
      <c r="BB40" s="1207"/>
      <c r="BC40" s="1207"/>
      <c r="BD40" s="1207"/>
      <c r="BE40" s="1213"/>
    </row>
    <row r="41" spans="1:58" ht="15.75" customHeight="1">
      <c r="A41" s="1207"/>
      <c r="B41" s="2325" t="s">
        <v>1878</v>
      </c>
      <c r="C41" s="2326"/>
      <c r="D41" s="2326"/>
      <c r="E41" s="2326"/>
      <c r="F41" s="2326"/>
      <c r="G41" s="2326"/>
      <c r="H41" s="2326"/>
      <c r="I41" s="2326"/>
      <c r="J41" s="2385"/>
      <c r="K41" s="2385"/>
      <c r="L41" s="2385"/>
      <c r="M41" s="2385"/>
      <c r="N41" s="2385"/>
      <c r="O41" s="2385"/>
      <c r="P41" s="2385"/>
      <c r="Q41" s="2385"/>
      <c r="R41" s="2378"/>
      <c r="S41" s="2378"/>
      <c r="T41" s="2378"/>
      <c r="U41" s="2378"/>
      <c r="V41" s="2378"/>
      <c r="W41" s="2378"/>
      <c r="X41" s="2378"/>
      <c r="Y41" s="2378"/>
      <c r="Z41" s="2378"/>
      <c r="AA41" s="2378"/>
      <c r="AB41" s="2378"/>
      <c r="AC41" s="2378"/>
      <c r="AD41" s="2378"/>
      <c r="AE41" s="2378"/>
      <c r="AF41" s="2378"/>
      <c r="AG41" s="2378"/>
      <c r="AH41" s="2378"/>
      <c r="AI41" s="2378"/>
      <c r="AJ41" s="2378"/>
      <c r="AK41" s="2378"/>
      <c r="AL41" s="2378"/>
      <c r="AM41" s="2378"/>
      <c r="AN41" s="2378"/>
      <c r="AO41" s="2379">
        <f t="shared" si="2"/>
        <v>0</v>
      </c>
      <c r="AP41" s="2379"/>
      <c r="AQ41" s="2379"/>
      <c r="AR41" s="2379"/>
      <c r="AS41" s="2379"/>
      <c r="AT41" s="2379"/>
      <c r="AU41" s="2380">
        <f t="shared" si="3"/>
        <v>0</v>
      </c>
      <c r="AV41" s="2380"/>
      <c r="AW41" s="2380"/>
      <c r="AX41" s="2380"/>
      <c r="AY41" s="2380"/>
      <c r="AZ41" s="2381"/>
      <c r="BA41" s="1207"/>
      <c r="BB41" s="1207"/>
      <c r="BC41" s="1207"/>
      <c r="BD41" s="1207"/>
      <c r="BE41" s="1213"/>
    </row>
    <row r="42" spans="1:58" ht="15.75" customHeight="1">
      <c r="A42" s="1207"/>
      <c r="B42" s="2325" t="s">
        <v>1878</v>
      </c>
      <c r="C42" s="2326"/>
      <c r="D42" s="2326"/>
      <c r="E42" s="2326"/>
      <c r="F42" s="2326"/>
      <c r="G42" s="2326"/>
      <c r="H42" s="2326"/>
      <c r="I42" s="2326"/>
      <c r="J42" s="2385"/>
      <c r="K42" s="2385"/>
      <c r="L42" s="2385"/>
      <c r="M42" s="2385"/>
      <c r="N42" s="2385"/>
      <c r="O42" s="2385"/>
      <c r="P42" s="2385"/>
      <c r="Q42" s="2385"/>
      <c r="R42" s="2378"/>
      <c r="S42" s="2378"/>
      <c r="T42" s="2378"/>
      <c r="U42" s="2378"/>
      <c r="V42" s="2378"/>
      <c r="W42" s="2378"/>
      <c r="X42" s="2378"/>
      <c r="Y42" s="2378"/>
      <c r="Z42" s="2378"/>
      <c r="AA42" s="2378"/>
      <c r="AB42" s="2378"/>
      <c r="AC42" s="2378"/>
      <c r="AD42" s="2378"/>
      <c r="AE42" s="2378"/>
      <c r="AF42" s="2378"/>
      <c r="AG42" s="2378"/>
      <c r="AH42" s="2378"/>
      <c r="AI42" s="2378"/>
      <c r="AJ42" s="2378"/>
      <c r="AK42" s="2378"/>
      <c r="AL42" s="2378"/>
      <c r="AM42" s="2378"/>
      <c r="AN42" s="2378"/>
      <c r="AO42" s="2379">
        <f t="shared" si="2"/>
        <v>0</v>
      </c>
      <c r="AP42" s="2379"/>
      <c r="AQ42" s="2379"/>
      <c r="AR42" s="2379"/>
      <c r="AS42" s="2379"/>
      <c r="AT42" s="2379"/>
      <c r="AU42" s="2380">
        <f t="shared" si="3"/>
        <v>0</v>
      </c>
      <c r="AV42" s="2380"/>
      <c r="AW42" s="2380"/>
      <c r="AX42" s="2380"/>
      <c r="AY42" s="2380"/>
      <c r="AZ42" s="2381"/>
      <c r="BA42" s="1207"/>
      <c r="BB42" s="1207"/>
      <c r="BC42" s="1207"/>
      <c r="BD42" s="1207"/>
      <c r="BE42" s="1213"/>
    </row>
    <row r="43" spans="1:58" ht="15.75" customHeight="1">
      <c r="A43" s="1207"/>
      <c r="B43" s="2330" t="s">
        <v>1879</v>
      </c>
      <c r="C43" s="2331"/>
      <c r="D43" s="2331"/>
      <c r="E43" s="2331"/>
      <c r="F43" s="2331"/>
      <c r="G43" s="2331"/>
      <c r="H43" s="2331"/>
      <c r="I43" s="2331"/>
      <c r="J43" s="2385"/>
      <c r="K43" s="2385"/>
      <c r="L43" s="2385"/>
      <c r="M43" s="2385"/>
      <c r="N43" s="2385"/>
      <c r="O43" s="2385"/>
      <c r="P43" s="2385"/>
      <c r="Q43" s="2385"/>
      <c r="R43" s="2378"/>
      <c r="S43" s="2378"/>
      <c r="T43" s="2378"/>
      <c r="U43" s="2378"/>
      <c r="V43" s="2378"/>
      <c r="W43" s="2378"/>
      <c r="X43" s="2378"/>
      <c r="Y43" s="2378"/>
      <c r="Z43" s="2378"/>
      <c r="AA43" s="2378"/>
      <c r="AB43" s="2378"/>
      <c r="AC43" s="2378"/>
      <c r="AD43" s="2378"/>
      <c r="AE43" s="2378"/>
      <c r="AF43" s="2378"/>
      <c r="AG43" s="2378"/>
      <c r="AH43" s="2378"/>
      <c r="AI43" s="2378"/>
      <c r="AJ43" s="2378"/>
      <c r="AK43" s="2378"/>
      <c r="AL43" s="2378"/>
      <c r="AM43" s="2378"/>
      <c r="AN43" s="2378"/>
      <c r="AO43" s="2379">
        <f t="shared" si="2"/>
        <v>0</v>
      </c>
      <c r="AP43" s="2379"/>
      <c r="AQ43" s="2379"/>
      <c r="AR43" s="2379"/>
      <c r="AS43" s="2379"/>
      <c r="AT43" s="2379"/>
      <c r="AU43" s="2380">
        <f t="shared" si="3"/>
        <v>0</v>
      </c>
      <c r="AV43" s="2380"/>
      <c r="AW43" s="2380"/>
      <c r="AX43" s="2380"/>
      <c r="AY43" s="2380"/>
      <c r="AZ43" s="2381"/>
      <c r="BA43" s="1207"/>
      <c r="BB43" s="1207"/>
      <c r="BC43" s="1207"/>
      <c r="BD43" s="1207"/>
      <c r="BE43" s="1213"/>
    </row>
    <row r="44" spans="1:58" ht="15.75" customHeight="1">
      <c r="A44" s="1207"/>
      <c r="B44" s="2330" t="s">
        <v>1880</v>
      </c>
      <c r="C44" s="2331"/>
      <c r="D44" s="2331"/>
      <c r="E44" s="2331"/>
      <c r="F44" s="2331"/>
      <c r="G44" s="2331"/>
      <c r="H44" s="2331"/>
      <c r="I44" s="2331"/>
      <c r="J44" s="2385"/>
      <c r="K44" s="2385"/>
      <c r="L44" s="2385"/>
      <c r="M44" s="2385"/>
      <c r="N44" s="2385"/>
      <c r="O44" s="2385"/>
      <c r="P44" s="2385"/>
      <c r="Q44" s="2385"/>
      <c r="R44" s="2378"/>
      <c r="S44" s="2378"/>
      <c r="T44" s="2378"/>
      <c r="U44" s="2378"/>
      <c r="V44" s="2378"/>
      <c r="W44" s="2378"/>
      <c r="X44" s="2378"/>
      <c r="Y44" s="2378"/>
      <c r="Z44" s="2378"/>
      <c r="AA44" s="2378"/>
      <c r="AB44" s="2378"/>
      <c r="AC44" s="2378"/>
      <c r="AD44" s="2378"/>
      <c r="AE44" s="2378"/>
      <c r="AF44" s="2378"/>
      <c r="AG44" s="2378"/>
      <c r="AH44" s="2378"/>
      <c r="AI44" s="2378"/>
      <c r="AJ44" s="2378"/>
      <c r="AK44" s="2378"/>
      <c r="AL44" s="2378"/>
      <c r="AM44" s="2378"/>
      <c r="AN44" s="2378"/>
      <c r="AO44" s="2379">
        <f t="shared" si="2"/>
        <v>0</v>
      </c>
      <c r="AP44" s="2379"/>
      <c r="AQ44" s="2379"/>
      <c r="AR44" s="2379"/>
      <c r="AS44" s="2379"/>
      <c r="AT44" s="2379"/>
      <c r="AU44" s="2380">
        <f t="shared" si="3"/>
        <v>0</v>
      </c>
      <c r="AV44" s="2380"/>
      <c r="AW44" s="2380"/>
      <c r="AX44" s="2380"/>
      <c r="AY44" s="2380"/>
      <c r="AZ44" s="2381"/>
      <c r="BA44" s="1207"/>
      <c r="BB44" s="1207"/>
      <c r="BC44" s="1207"/>
      <c r="BD44" s="1207"/>
      <c r="BE44" s="1213"/>
    </row>
    <row r="45" spans="1:58" ht="15.75" customHeight="1">
      <c r="A45" s="1207"/>
      <c r="B45" s="2330" t="s">
        <v>1881</v>
      </c>
      <c r="C45" s="2331"/>
      <c r="D45" s="2331"/>
      <c r="E45" s="2331"/>
      <c r="F45" s="2331"/>
      <c r="G45" s="2331"/>
      <c r="H45" s="2331"/>
      <c r="I45" s="2331"/>
      <c r="J45" s="2385"/>
      <c r="K45" s="2385"/>
      <c r="L45" s="2385"/>
      <c r="M45" s="2385"/>
      <c r="N45" s="2385"/>
      <c r="O45" s="2385"/>
      <c r="P45" s="2385"/>
      <c r="Q45" s="2385"/>
      <c r="R45" s="2378"/>
      <c r="S45" s="2378"/>
      <c r="T45" s="2378"/>
      <c r="U45" s="2378"/>
      <c r="V45" s="2378"/>
      <c r="W45" s="2378"/>
      <c r="X45" s="2378"/>
      <c r="Y45" s="2378"/>
      <c r="Z45" s="2378"/>
      <c r="AA45" s="2378"/>
      <c r="AB45" s="2378"/>
      <c r="AC45" s="2378"/>
      <c r="AD45" s="2378"/>
      <c r="AE45" s="2378"/>
      <c r="AF45" s="2378"/>
      <c r="AG45" s="2378"/>
      <c r="AH45" s="2378"/>
      <c r="AI45" s="2378"/>
      <c r="AJ45" s="2378"/>
      <c r="AK45" s="2378"/>
      <c r="AL45" s="2378"/>
      <c r="AM45" s="2378"/>
      <c r="AN45" s="2378"/>
      <c r="AO45" s="2379">
        <f t="shared" si="2"/>
        <v>0</v>
      </c>
      <c r="AP45" s="2379"/>
      <c r="AQ45" s="2379"/>
      <c r="AR45" s="2379"/>
      <c r="AS45" s="2379"/>
      <c r="AT45" s="2379"/>
      <c r="AU45" s="2380">
        <f t="shared" si="3"/>
        <v>0</v>
      </c>
      <c r="AV45" s="2380"/>
      <c r="AW45" s="2380"/>
      <c r="AX45" s="2380"/>
      <c r="AY45" s="2380"/>
      <c r="AZ45" s="2381"/>
      <c r="BA45" s="1207"/>
      <c r="BB45" s="1207"/>
      <c r="BC45" s="1207"/>
      <c r="BD45" s="1207"/>
      <c r="BE45" s="1213"/>
    </row>
    <row r="46" spans="1:58" ht="15.75" customHeight="1">
      <c r="A46" s="1207"/>
      <c r="B46" s="2330" t="s">
        <v>1882</v>
      </c>
      <c r="C46" s="2331"/>
      <c r="D46" s="2331"/>
      <c r="E46" s="2331"/>
      <c r="F46" s="2331"/>
      <c r="G46" s="2331"/>
      <c r="H46" s="2331"/>
      <c r="I46" s="2331"/>
      <c r="J46" s="2385"/>
      <c r="K46" s="2385"/>
      <c r="L46" s="2385"/>
      <c r="M46" s="2385"/>
      <c r="N46" s="2385">
        <v>99</v>
      </c>
      <c r="O46" s="2385"/>
      <c r="P46" s="2385"/>
      <c r="Q46" s="2385"/>
      <c r="R46" s="2378"/>
      <c r="S46" s="2378"/>
      <c r="T46" s="2378"/>
      <c r="U46" s="2378"/>
      <c r="V46" s="2378"/>
      <c r="W46" s="2378"/>
      <c r="X46" s="2378"/>
      <c r="Y46" s="2378"/>
      <c r="Z46" s="2378"/>
      <c r="AA46" s="2378"/>
      <c r="AB46" s="2378"/>
      <c r="AC46" s="2378"/>
      <c r="AD46" s="2378"/>
      <c r="AE46" s="2378"/>
      <c r="AF46" s="2378"/>
      <c r="AG46" s="2378"/>
      <c r="AH46" s="2378"/>
      <c r="AI46" s="2378"/>
      <c r="AJ46" s="2378"/>
      <c r="AK46" s="2378"/>
      <c r="AL46" s="2378"/>
      <c r="AM46" s="2378"/>
      <c r="AN46" s="2378"/>
      <c r="AO46" s="2379">
        <f t="shared" si="2"/>
        <v>0</v>
      </c>
      <c r="AP46" s="2379"/>
      <c r="AQ46" s="2379"/>
      <c r="AR46" s="2379"/>
      <c r="AS46" s="2379"/>
      <c r="AT46" s="2379"/>
      <c r="AU46" s="2380">
        <f t="shared" si="3"/>
        <v>0</v>
      </c>
      <c r="AV46" s="2380"/>
      <c r="AW46" s="2380"/>
      <c r="AX46" s="2380"/>
      <c r="AY46" s="2380"/>
      <c r="AZ46" s="2381"/>
      <c r="BA46" s="1207"/>
      <c r="BB46" s="1207"/>
      <c r="BC46" s="1207"/>
      <c r="BD46" s="1207"/>
      <c r="BE46" s="1213"/>
    </row>
    <row r="47" spans="1:58" ht="15.75" customHeight="1" thickBot="1">
      <c r="A47" s="1207"/>
      <c r="B47" s="2382" t="s">
        <v>301</v>
      </c>
      <c r="C47" s="2383"/>
      <c r="D47" s="2383"/>
      <c r="E47" s="2383"/>
      <c r="F47" s="2383"/>
      <c r="G47" s="2383"/>
      <c r="H47" s="2383"/>
      <c r="I47" s="2383"/>
      <c r="J47" s="2384"/>
      <c r="K47" s="2384"/>
      <c r="L47" s="2384"/>
      <c r="M47" s="2384"/>
      <c r="N47" s="2384"/>
      <c r="O47" s="2384"/>
      <c r="P47" s="2384"/>
      <c r="Q47" s="2384"/>
      <c r="R47" s="2374"/>
      <c r="S47" s="2374"/>
      <c r="T47" s="2374"/>
      <c r="U47" s="2374"/>
      <c r="V47" s="2374"/>
      <c r="W47" s="2374"/>
      <c r="X47" s="2374"/>
      <c r="Y47" s="2374"/>
      <c r="Z47" s="2374"/>
      <c r="AA47" s="2374"/>
      <c r="AB47" s="2374"/>
      <c r="AC47" s="2374"/>
      <c r="AD47" s="2374"/>
      <c r="AE47" s="2374"/>
      <c r="AF47" s="2374"/>
      <c r="AG47" s="2374"/>
      <c r="AH47" s="2374"/>
      <c r="AI47" s="2374"/>
      <c r="AJ47" s="2374"/>
      <c r="AK47" s="2374"/>
      <c r="AL47" s="2374"/>
      <c r="AM47" s="2374"/>
      <c r="AN47" s="2374"/>
      <c r="AO47" s="2375">
        <f t="shared" si="2"/>
        <v>0</v>
      </c>
      <c r="AP47" s="2375"/>
      <c r="AQ47" s="2375"/>
      <c r="AR47" s="2375"/>
      <c r="AS47" s="2375"/>
      <c r="AT47" s="2375"/>
      <c r="AU47" s="2376">
        <f t="shared" si="3"/>
        <v>0</v>
      </c>
      <c r="AV47" s="2376"/>
      <c r="AW47" s="2376"/>
      <c r="AX47" s="2376"/>
      <c r="AY47" s="2376"/>
      <c r="AZ47" s="2377"/>
      <c r="BA47" s="1207"/>
      <c r="BB47" s="1207"/>
      <c r="BC47" s="1207"/>
      <c r="BD47" s="1207"/>
      <c r="BE47" s="1213"/>
    </row>
    <row r="48" spans="1:58" ht="15.75" customHeight="1">
      <c r="A48" s="1207"/>
      <c r="B48" s="1215" t="s">
        <v>2584</v>
      </c>
      <c r="C48" s="1207"/>
      <c r="D48" s="1207"/>
      <c r="E48" s="1207"/>
      <c r="F48" s="1207"/>
      <c r="G48" s="1207"/>
      <c r="H48" s="1207"/>
      <c r="I48" s="1207"/>
      <c r="J48" s="1207"/>
      <c r="K48" s="1207"/>
      <c r="L48" s="1207"/>
      <c r="M48" s="1207"/>
      <c r="N48" s="1207"/>
      <c r="O48" s="1207"/>
      <c r="P48" s="1207"/>
      <c r="Q48" s="1207"/>
      <c r="R48" s="1207"/>
      <c r="S48" s="1207"/>
      <c r="T48" s="1207"/>
      <c r="U48" s="1207"/>
      <c r="V48" s="1207"/>
      <c r="W48" s="1207"/>
      <c r="X48" s="1207"/>
      <c r="Y48" s="1207"/>
      <c r="Z48" s="1207"/>
      <c r="AA48" s="1207"/>
      <c r="AB48" s="1207"/>
      <c r="AC48" s="1207"/>
      <c r="AD48" s="1207"/>
      <c r="AE48" s="1207"/>
      <c r="AF48" s="1207"/>
      <c r="AG48" s="1207"/>
      <c r="AH48" s="1207"/>
      <c r="AI48" s="1207"/>
      <c r="AJ48" s="1207"/>
      <c r="AK48" s="1207"/>
      <c r="AL48" s="1207"/>
      <c r="AM48" s="1207"/>
      <c r="AN48" s="1207"/>
      <c r="AO48" s="1207"/>
      <c r="AP48" s="1207"/>
      <c r="AQ48" s="1207"/>
      <c r="AR48" s="1207"/>
      <c r="AS48" s="1207"/>
      <c r="AT48" s="1207"/>
      <c r="AU48" s="1207"/>
      <c r="AV48" s="1207"/>
      <c r="AW48" s="1207"/>
      <c r="AX48" s="1207"/>
      <c r="AY48" s="1207"/>
      <c r="AZ48" s="1207"/>
      <c r="BA48" s="1207"/>
      <c r="BB48" s="1207"/>
      <c r="BC48" s="1207"/>
      <c r="BD48" s="1207"/>
      <c r="BE48" s="1213"/>
      <c r="BF48" s="1205"/>
    </row>
    <row r="49" spans="1:58" ht="15.75" customHeight="1" thickBot="1">
      <c r="A49" s="1207"/>
      <c r="B49" s="1215" t="s">
        <v>2258</v>
      </c>
      <c r="C49" s="1207"/>
      <c r="D49" s="1207"/>
      <c r="E49" s="1207"/>
      <c r="F49" s="1207"/>
      <c r="G49" s="1207"/>
      <c r="H49" s="1207"/>
      <c r="I49" s="1207"/>
      <c r="J49" s="1207"/>
      <c r="K49" s="1207"/>
      <c r="L49" s="1207"/>
      <c r="M49" s="1207"/>
      <c r="N49" s="1207"/>
      <c r="O49" s="1207"/>
      <c r="P49" s="1207"/>
      <c r="Q49" s="1207"/>
      <c r="R49" s="1207"/>
      <c r="S49" s="1207"/>
      <c r="T49" s="1207"/>
      <c r="U49" s="1207"/>
      <c r="V49" s="1207"/>
      <c r="W49" s="1207"/>
      <c r="X49" s="1207"/>
      <c r="Y49" s="1207"/>
      <c r="Z49" s="1207"/>
      <c r="AA49" s="1207"/>
      <c r="AB49" s="1207"/>
      <c r="AC49" s="1207"/>
      <c r="AD49" s="1207"/>
      <c r="AE49" s="1207"/>
      <c r="AF49" s="1207"/>
      <c r="AG49" s="1207"/>
      <c r="AH49" s="1207"/>
      <c r="AI49" s="1207"/>
      <c r="AJ49" s="1207"/>
      <c r="AK49" s="1207"/>
      <c r="AL49" s="1207"/>
      <c r="AM49" s="1207"/>
      <c r="AN49" s="1207"/>
      <c r="AO49" s="1207"/>
      <c r="AP49" s="1209"/>
      <c r="AQ49" s="1209"/>
      <c r="AR49" s="1209"/>
      <c r="AS49" s="1209"/>
      <c r="AT49" s="1209"/>
      <c r="AU49" s="1209"/>
      <c r="AV49" s="1209"/>
      <c r="AW49" s="1209"/>
      <c r="AX49" s="1207"/>
      <c r="AY49" s="1207"/>
      <c r="AZ49" s="1207"/>
      <c r="BA49" s="1207"/>
      <c r="BB49" s="1207"/>
      <c r="BC49" s="1207"/>
      <c r="BD49" s="1207"/>
      <c r="BE49" s="1213"/>
      <c r="BF49" s="1205"/>
    </row>
    <row r="50" spans="1:58" ht="15.75" customHeight="1">
      <c r="A50" s="1207"/>
      <c r="B50" s="2270" t="s">
        <v>1883</v>
      </c>
      <c r="C50" s="2236"/>
      <c r="D50" s="2236"/>
      <c r="E50" s="2236"/>
      <c r="F50" s="2236"/>
      <c r="G50" s="2236"/>
      <c r="H50" s="2236"/>
      <c r="I50" s="2236"/>
      <c r="J50" s="2236"/>
      <c r="K50" s="2236"/>
      <c r="L50" s="2236"/>
      <c r="M50" s="2236"/>
      <c r="N50" s="2236"/>
      <c r="O50" s="2236"/>
      <c r="P50" s="2236"/>
      <c r="Q50" s="2236"/>
      <c r="R50" s="2236"/>
      <c r="S50" s="2236"/>
      <c r="T50" s="2236"/>
      <c r="U50" s="2236"/>
      <c r="V50" s="2236"/>
      <c r="W50" s="2236"/>
      <c r="X50" s="2236"/>
      <c r="Y50" s="2236"/>
      <c r="Z50" s="2236"/>
      <c r="AA50" s="2236"/>
      <c r="AB50" s="2236"/>
      <c r="AC50" s="2236"/>
      <c r="AD50" s="2236"/>
      <c r="AE50" s="2236"/>
      <c r="AF50" s="2236"/>
      <c r="AG50" s="2236"/>
      <c r="AH50" s="2236"/>
      <c r="AI50" s="2236"/>
      <c r="AJ50" s="2236"/>
      <c r="AK50" s="2236"/>
      <c r="AL50" s="2236"/>
      <c r="AM50" s="2236"/>
      <c r="AN50" s="2236"/>
      <c r="AO50" s="2237"/>
      <c r="AP50" s="1209"/>
      <c r="AQ50" s="1209"/>
      <c r="AR50" s="1209"/>
      <c r="AS50" s="1209"/>
      <c r="AT50" s="1209"/>
      <c r="AU50" s="1209"/>
      <c r="AV50" s="1209"/>
      <c r="AW50" s="1209"/>
      <c r="AX50" s="1207"/>
      <c r="AY50" s="1207"/>
      <c r="AZ50" s="1207"/>
      <c r="BA50" s="1207"/>
      <c r="BB50" s="1207"/>
      <c r="BC50" s="1207"/>
      <c r="BD50" s="1207"/>
      <c r="BE50" s="1213"/>
    </row>
    <row r="51" spans="1:58" ht="33.75" customHeight="1">
      <c r="A51" s="1207"/>
      <c r="B51" s="2315" t="s">
        <v>1884</v>
      </c>
      <c r="C51" s="2304"/>
      <c r="D51" s="2304"/>
      <c r="E51" s="2304"/>
      <c r="F51" s="2304"/>
      <c r="G51" s="2304"/>
      <c r="H51" s="2304"/>
      <c r="I51" s="2304"/>
      <c r="J51" s="2304" t="s">
        <v>2585</v>
      </c>
      <c r="K51" s="2304"/>
      <c r="L51" s="2304"/>
      <c r="M51" s="2304"/>
      <c r="N51" s="2304"/>
      <c r="O51" s="2304"/>
      <c r="P51" s="2304"/>
      <c r="Q51" s="2304"/>
      <c r="R51" s="2372" t="s">
        <v>2586</v>
      </c>
      <c r="S51" s="2372"/>
      <c r="T51" s="2372"/>
      <c r="U51" s="2372"/>
      <c r="V51" s="2372"/>
      <c r="W51" s="2372"/>
      <c r="X51" s="2372"/>
      <c r="Y51" s="2372"/>
      <c r="Z51" s="2372" t="s">
        <v>1885</v>
      </c>
      <c r="AA51" s="2372"/>
      <c r="AB51" s="2372"/>
      <c r="AC51" s="2372"/>
      <c r="AD51" s="2372"/>
      <c r="AE51" s="2372"/>
      <c r="AF51" s="2372"/>
      <c r="AG51" s="2372"/>
      <c r="AH51" s="2372" t="s">
        <v>1886</v>
      </c>
      <c r="AI51" s="2372"/>
      <c r="AJ51" s="2372"/>
      <c r="AK51" s="2372"/>
      <c r="AL51" s="2372"/>
      <c r="AM51" s="2372"/>
      <c r="AN51" s="2372"/>
      <c r="AO51" s="2373"/>
      <c r="AP51" s="1209"/>
      <c r="AQ51" s="1209"/>
      <c r="AR51" s="1209"/>
      <c r="AS51" s="1209"/>
      <c r="AT51" s="1209"/>
      <c r="AU51" s="1209"/>
      <c r="AV51" s="1209"/>
      <c r="AW51" s="1209"/>
      <c r="AX51" s="1214"/>
      <c r="AY51" s="1207"/>
      <c r="AZ51" s="1207"/>
      <c r="BA51" s="1207"/>
      <c r="BB51" s="1207"/>
      <c r="BC51" s="1207"/>
      <c r="BD51" s="1207"/>
      <c r="BE51" s="1213"/>
    </row>
    <row r="52" spans="1:58" ht="15.75" customHeight="1">
      <c r="A52" s="1207"/>
      <c r="B52" s="2330" t="s">
        <v>2259</v>
      </c>
      <c r="C52" s="2331"/>
      <c r="D52" s="2331"/>
      <c r="E52" s="2331"/>
      <c r="F52" s="2331"/>
      <c r="G52" s="2331"/>
      <c r="H52" s="2331"/>
      <c r="I52" s="2331"/>
      <c r="J52" s="2195">
        <v>0</v>
      </c>
      <c r="K52" s="2195"/>
      <c r="L52" s="2195"/>
      <c r="M52" s="2195"/>
      <c r="N52" s="2195"/>
      <c r="O52" s="2195"/>
      <c r="P52" s="2195"/>
      <c r="Q52" s="2195"/>
      <c r="R52" s="2364">
        <v>0</v>
      </c>
      <c r="S52" s="2364"/>
      <c r="T52" s="2364"/>
      <c r="U52" s="2364"/>
      <c r="V52" s="2364"/>
      <c r="W52" s="2364"/>
      <c r="X52" s="2364"/>
      <c r="Y52" s="2364"/>
      <c r="Z52" s="2365">
        <v>0</v>
      </c>
      <c r="AA52" s="2365"/>
      <c r="AB52" s="2365"/>
      <c r="AC52" s="2365"/>
      <c r="AD52" s="2365"/>
      <c r="AE52" s="2365"/>
      <c r="AF52" s="2365"/>
      <c r="AG52" s="2365"/>
      <c r="AH52" s="2366"/>
      <c r="AI52" s="2366"/>
      <c r="AJ52" s="2366"/>
      <c r="AK52" s="2366"/>
      <c r="AL52" s="2366"/>
      <c r="AM52" s="2366"/>
      <c r="AN52" s="2366"/>
      <c r="AO52" s="2367"/>
      <c r="AP52" s="1209"/>
      <c r="AQ52" s="1209"/>
      <c r="AR52" s="1209"/>
      <c r="AS52" s="1209"/>
      <c r="AT52" s="1209"/>
      <c r="AU52" s="1209"/>
      <c r="AV52" s="1209"/>
      <c r="AW52" s="1209"/>
      <c r="AX52" s="1214"/>
      <c r="AY52" s="1207"/>
      <c r="AZ52" s="1207"/>
      <c r="BA52" s="1207"/>
      <c r="BB52" s="1207"/>
      <c r="BC52" s="1207"/>
      <c r="BD52" s="1207"/>
      <c r="BE52" s="1213"/>
    </row>
    <row r="53" spans="1:58" ht="15.75" customHeight="1">
      <c r="A53" s="1207"/>
      <c r="B53" s="2330" t="s">
        <v>2260</v>
      </c>
      <c r="C53" s="2331"/>
      <c r="D53" s="2331"/>
      <c r="E53" s="2331"/>
      <c r="F53" s="2331"/>
      <c r="G53" s="2331"/>
      <c r="H53" s="2331"/>
      <c r="I53" s="2331"/>
      <c r="J53" s="2195">
        <v>0</v>
      </c>
      <c r="K53" s="2195"/>
      <c r="L53" s="2195"/>
      <c r="M53" s="2195"/>
      <c r="N53" s="2195"/>
      <c r="O53" s="2195"/>
      <c r="P53" s="2195"/>
      <c r="Q53" s="2195"/>
      <c r="R53" s="2364">
        <v>0</v>
      </c>
      <c r="S53" s="2364"/>
      <c r="T53" s="2364"/>
      <c r="U53" s="2364"/>
      <c r="V53" s="2364"/>
      <c r="W53" s="2364"/>
      <c r="X53" s="2364"/>
      <c r="Y53" s="2364"/>
      <c r="Z53" s="2365">
        <v>0</v>
      </c>
      <c r="AA53" s="2365"/>
      <c r="AB53" s="2365"/>
      <c r="AC53" s="2365"/>
      <c r="AD53" s="2365"/>
      <c r="AE53" s="2365"/>
      <c r="AF53" s="2365"/>
      <c r="AG53" s="2365"/>
      <c r="AH53" s="2366"/>
      <c r="AI53" s="2366"/>
      <c r="AJ53" s="2366"/>
      <c r="AK53" s="2366"/>
      <c r="AL53" s="2366"/>
      <c r="AM53" s="2366"/>
      <c r="AN53" s="2366"/>
      <c r="AO53" s="2367"/>
      <c r="AP53" s="1209"/>
      <c r="AQ53" s="1209"/>
      <c r="AR53" s="1209"/>
      <c r="AS53" s="1209"/>
      <c r="AT53" s="1209"/>
      <c r="AU53" s="1209"/>
      <c r="AV53" s="1209"/>
      <c r="AW53" s="1209"/>
      <c r="AX53" s="1207"/>
      <c r="AY53" s="1207"/>
      <c r="AZ53" s="1207"/>
      <c r="BA53" s="1207"/>
      <c r="BB53" s="1207"/>
      <c r="BC53" s="1207"/>
      <c r="BD53" s="1207"/>
      <c r="BE53" s="1213"/>
    </row>
    <row r="54" spans="1:58" ht="15.75" customHeight="1">
      <c r="A54" s="1207"/>
      <c r="B54" s="2330"/>
      <c r="C54" s="2331"/>
      <c r="D54" s="2331"/>
      <c r="E54" s="2331"/>
      <c r="F54" s="2331"/>
      <c r="G54" s="2331"/>
      <c r="H54" s="2331"/>
      <c r="I54" s="2331"/>
      <c r="J54" s="2195"/>
      <c r="K54" s="2195"/>
      <c r="L54" s="2195"/>
      <c r="M54" s="2195"/>
      <c r="N54" s="2195"/>
      <c r="O54" s="2195"/>
      <c r="P54" s="2195"/>
      <c r="Q54" s="2195"/>
      <c r="R54" s="2364"/>
      <c r="S54" s="2364"/>
      <c r="T54" s="2364"/>
      <c r="U54" s="2364"/>
      <c r="V54" s="2364"/>
      <c r="W54" s="2364"/>
      <c r="X54" s="2364"/>
      <c r="Y54" s="2364"/>
      <c r="Z54" s="2365"/>
      <c r="AA54" s="2365"/>
      <c r="AB54" s="2365"/>
      <c r="AC54" s="2365"/>
      <c r="AD54" s="2365"/>
      <c r="AE54" s="2365"/>
      <c r="AF54" s="2365"/>
      <c r="AG54" s="2365"/>
      <c r="AH54" s="2366"/>
      <c r="AI54" s="2366"/>
      <c r="AJ54" s="2366"/>
      <c r="AK54" s="2366"/>
      <c r="AL54" s="2366"/>
      <c r="AM54" s="2366"/>
      <c r="AN54" s="2366"/>
      <c r="AO54" s="2367"/>
      <c r="AP54" s="1209"/>
      <c r="AQ54" s="1209"/>
      <c r="AR54" s="1209"/>
      <c r="AS54" s="1209"/>
      <c r="AT54" s="1209"/>
      <c r="AU54" s="1209"/>
      <c r="AV54" s="1209"/>
      <c r="AW54" s="1209"/>
      <c r="AX54" s="1207"/>
      <c r="AY54" s="1207"/>
      <c r="AZ54" s="1207"/>
      <c r="BA54" s="1207"/>
      <c r="BB54" s="1207"/>
      <c r="BC54" s="1207"/>
      <c r="BD54" s="1207"/>
      <c r="BE54" s="1213"/>
    </row>
    <row r="55" spans="1:58" ht="15.75" customHeight="1">
      <c r="A55" s="1207"/>
      <c r="B55" s="2330"/>
      <c r="C55" s="2331"/>
      <c r="D55" s="2331"/>
      <c r="E55" s="2331"/>
      <c r="F55" s="2331"/>
      <c r="G55" s="2331"/>
      <c r="H55" s="2331"/>
      <c r="I55" s="2331"/>
      <c r="J55" s="2195"/>
      <c r="K55" s="2195"/>
      <c r="L55" s="2195"/>
      <c r="M55" s="2195"/>
      <c r="N55" s="2195"/>
      <c r="O55" s="2195"/>
      <c r="P55" s="2195"/>
      <c r="Q55" s="2195"/>
      <c r="R55" s="2364"/>
      <c r="S55" s="2364"/>
      <c r="T55" s="2364"/>
      <c r="U55" s="2364"/>
      <c r="V55" s="2364"/>
      <c r="W55" s="2364"/>
      <c r="X55" s="2364"/>
      <c r="Y55" s="2364"/>
      <c r="Z55" s="2365"/>
      <c r="AA55" s="2365"/>
      <c r="AB55" s="2365"/>
      <c r="AC55" s="2365"/>
      <c r="AD55" s="2365"/>
      <c r="AE55" s="2365"/>
      <c r="AF55" s="2365"/>
      <c r="AG55" s="2365"/>
      <c r="AH55" s="2366"/>
      <c r="AI55" s="2366"/>
      <c r="AJ55" s="2366"/>
      <c r="AK55" s="2366"/>
      <c r="AL55" s="2366"/>
      <c r="AM55" s="2366"/>
      <c r="AN55" s="2366"/>
      <c r="AO55" s="2367"/>
      <c r="AP55" s="1209"/>
      <c r="AQ55" s="1209"/>
      <c r="AR55" s="1209"/>
      <c r="AS55" s="1209"/>
      <c r="AT55" s="1209" t="s">
        <v>251</v>
      </c>
      <c r="AU55" s="1209"/>
      <c r="AV55" s="1209"/>
      <c r="AW55" s="1209"/>
      <c r="AX55" s="1207"/>
      <c r="AY55" s="1207"/>
      <c r="AZ55" s="1207"/>
      <c r="BA55" s="1207"/>
      <c r="BB55" s="1207"/>
      <c r="BC55" s="1207"/>
      <c r="BD55" s="1207"/>
      <c r="BE55" s="1213"/>
    </row>
    <row r="56" spans="1:58" ht="15.75" customHeight="1">
      <c r="A56" s="1207"/>
      <c r="B56" s="2330"/>
      <c r="C56" s="2331"/>
      <c r="D56" s="2331"/>
      <c r="E56" s="2331"/>
      <c r="F56" s="2331"/>
      <c r="G56" s="2331"/>
      <c r="H56" s="2331"/>
      <c r="I56" s="2331"/>
      <c r="J56" s="2195"/>
      <c r="K56" s="2195"/>
      <c r="L56" s="2195"/>
      <c r="M56" s="2195"/>
      <c r="N56" s="2195"/>
      <c r="O56" s="2195"/>
      <c r="P56" s="2195"/>
      <c r="Q56" s="2195"/>
      <c r="R56" s="2364"/>
      <c r="S56" s="2364"/>
      <c r="T56" s="2364"/>
      <c r="U56" s="2364"/>
      <c r="V56" s="2364"/>
      <c r="W56" s="2364"/>
      <c r="X56" s="2364"/>
      <c r="Y56" s="2364"/>
      <c r="Z56" s="2365"/>
      <c r="AA56" s="2365"/>
      <c r="AB56" s="2365"/>
      <c r="AC56" s="2365"/>
      <c r="AD56" s="2365"/>
      <c r="AE56" s="2365"/>
      <c r="AF56" s="2365"/>
      <c r="AG56" s="2365"/>
      <c r="AH56" s="2366"/>
      <c r="AI56" s="2366"/>
      <c r="AJ56" s="2366"/>
      <c r="AK56" s="2366"/>
      <c r="AL56" s="2366"/>
      <c r="AM56" s="2366"/>
      <c r="AN56" s="2366"/>
      <c r="AO56" s="2367"/>
      <c r="AP56" s="1209"/>
      <c r="AQ56" s="1209"/>
      <c r="AR56" s="1209"/>
      <c r="AS56" s="1209"/>
      <c r="AT56" s="1209"/>
      <c r="AU56" s="1209"/>
      <c r="AV56" s="1209"/>
      <c r="AW56" s="1209"/>
      <c r="AX56" s="1207"/>
      <c r="AY56" s="1207"/>
      <c r="AZ56" s="1207"/>
      <c r="BA56" s="1207"/>
      <c r="BB56" s="1207"/>
      <c r="BC56" s="1207"/>
      <c r="BD56" s="1207"/>
      <c r="BE56" s="1213"/>
    </row>
    <row r="57" spans="1:58" s="1217" customFormat="1" ht="15.75" customHeight="1" thickBot="1">
      <c r="A57" s="1209"/>
      <c r="B57" s="2313" t="s">
        <v>1763</v>
      </c>
      <c r="C57" s="2314"/>
      <c r="D57" s="2314"/>
      <c r="E57" s="2314"/>
      <c r="F57" s="2314"/>
      <c r="G57" s="2314"/>
      <c r="H57" s="2314"/>
      <c r="I57" s="2314"/>
      <c r="J57" s="2314"/>
      <c r="K57" s="2314"/>
      <c r="L57" s="2314"/>
      <c r="M57" s="2314"/>
      <c r="N57" s="2314"/>
      <c r="O57" s="2314"/>
      <c r="P57" s="2314"/>
      <c r="Q57" s="2314"/>
      <c r="R57" s="2368">
        <f>SUM(R52:Y56)</f>
        <v>0</v>
      </c>
      <c r="S57" s="2368"/>
      <c r="T57" s="2368"/>
      <c r="U57" s="2368"/>
      <c r="V57" s="2368"/>
      <c r="W57" s="2368"/>
      <c r="X57" s="2368"/>
      <c r="Y57" s="2368"/>
      <c r="Z57" s="2369">
        <f>SUM(Z52:AG56)</f>
        <v>0</v>
      </c>
      <c r="AA57" s="2369"/>
      <c r="AB57" s="2369"/>
      <c r="AC57" s="2369"/>
      <c r="AD57" s="2369"/>
      <c r="AE57" s="2369"/>
      <c r="AF57" s="2369"/>
      <c r="AG57" s="2369"/>
      <c r="AH57" s="2370"/>
      <c r="AI57" s="2370"/>
      <c r="AJ57" s="2370"/>
      <c r="AK57" s="2370"/>
      <c r="AL57" s="2370"/>
      <c r="AM57" s="2370"/>
      <c r="AN57" s="2370"/>
      <c r="AO57" s="2371"/>
      <c r="AP57" s="1209"/>
      <c r="AQ57" s="1209"/>
      <c r="AR57" s="1209"/>
      <c r="AS57" s="1209"/>
      <c r="AT57" s="1209"/>
      <c r="AU57" s="1209"/>
      <c r="AV57" s="1209"/>
      <c r="AW57" s="1209"/>
      <c r="AX57" s="1209"/>
      <c r="AY57" s="1209"/>
      <c r="AZ57" s="1209"/>
      <c r="BA57" s="1209"/>
      <c r="BB57" s="1209"/>
      <c r="BC57" s="1209"/>
      <c r="BD57" s="1209"/>
      <c r="BE57" s="1216"/>
    </row>
    <row r="58" spans="1:58" ht="15.75" customHeight="1" thickBot="1">
      <c r="A58" s="1207"/>
      <c r="B58" s="1207"/>
      <c r="C58" s="1207"/>
      <c r="D58" s="1207"/>
      <c r="E58" s="1207"/>
      <c r="F58" s="1207"/>
      <c r="G58" s="1207"/>
      <c r="H58" s="1207"/>
      <c r="I58" s="1207"/>
      <c r="J58" s="1207"/>
      <c r="K58" s="1207"/>
      <c r="L58" s="1207"/>
      <c r="M58" s="1207"/>
      <c r="N58" s="1207"/>
      <c r="O58" s="1207"/>
      <c r="P58" s="1207"/>
      <c r="Q58" s="1207"/>
      <c r="R58" s="1207"/>
      <c r="S58" s="1207"/>
      <c r="T58" s="1207"/>
      <c r="U58" s="1207"/>
      <c r="V58" s="1207"/>
      <c r="W58" s="1207"/>
      <c r="X58" s="1207"/>
      <c r="Y58" s="1207"/>
      <c r="Z58" s="1207"/>
      <c r="AA58" s="1207"/>
      <c r="AB58" s="1207"/>
      <c r="AC58" s="1207"/>
      <c r="AD58" s="1207"/>
      <c r="AE58" s="1207"/>
      <c r="AF58" s="1207"/>
      <c r="AG58" s="1207"/>
      <c r="AH58" s="1207"/>
      <c r="AI58" s="1207"/>
      <c r="AJ58" s="1207"/>
      <c r="AK58" s="1207"/>
      <c r="AL58" s="1207"/>
      <c r="AM58" s="1207"/>
      <c r="AN58" s="1207"/>
      <c r="AO58" s="1207"/>
      <c r="AP58" s="1207"/>
      <c r="AQ58" s="1207"/>
      <c r="AR58" s="1207"/>
      <c r="AS58" s="1207"/>
      <c r="AT58" s="1207"/>
      <c r="AU58" s="1207"/>
      <c r="AV58" s="1207"/>
      <c r="AW58" s="1207"/>
      <c r="AX58" s="1207"/>
      <c r="AY58" s="1207"/>
      <c r="AZ58" s="1207"/>
      <c r="BA58" s="1207"/>
      <c r="BB58" s="1207"/>
      <c r="BC58" s="1207"/>
      <c r="BD58" s="1207"/>
      <c r="BE58" s="1213"/>
    </row>
    <row r="59" spans="1:58" ht="15.75" customHeight="1">
      <c r="A59" s="1207"/>
      <c r="B59" s="2361" t="s">
        <v>1884</v>
      </c>
      <c r="C59" s="2362"/>
      <c r="D59" s="2362"/>
      <c r="E59" s="2362"/>
      <c r="F59" s="2362"/>
      <c r="G59" s="2362"/>
      <c r="H59" s="2362"/>
      <c r="I59" s="2363"/>
      <c r="J59" s="2293" t="s">
        <v>2587</v>
      </c>
      <c r="K59" s="2293"/>
      <c r="L59" s="2293"/>
      <c r="M59" s="2293"/>
      <c r="N59" s="2293"/>
      <c r="O59" s="2293"/>
      <c r="P59" s="2293"/>
      <c r="Q59" s="2293"/>
      <c r="R59" s="2293"/>
      <c r="S59" s="2293"/>
      <c r="T59" s="2293"/>
      <c r="U59" s="2293"/>
      <c r="V59" s="2293"/>
      <c r="W59" s="2293"/>
      <c r="X59" s="2293"/>
      <c r="Y59" s="2293"/>
      <c r="Z59" s="2293"/>
      <c r="AA59" s="2293"/>
      <c r="AB59" s="2293"/>
      <c r="AC59" s="2293"/>
      <c r="AD59" s="2293"/>
      <c r="AE59" s="2293"/>
      <c r="AF59" s="2293"/>
      <c r="AG59" s="2293"/>
      <c r="AH59" s="2293"/>
      <c r="AI59" s="2293"/>
      <c r="AJ59" s="2293"/>
      <c r="AK59" s="2293"/>
      <c r="AL59" s="2293"/>
      <c r="AM59" s="2293"/>
      <c r="AN59" s="2293"/>
      <c r="AO59" s="2293"/>
      <c r="AP59" s="2293"/>
      <c r="AQ59" s="2293"/>
      <c r="AR59" s="2293"/>
      <c r="AS59" s="2293"/>
      <c r="AT59" s="2293"/>
      <c r="AU59" s="2293"/>
      <c r="AV59" s="2293"/>
      <c r="AW59" s="2294"/>
      <c r="AX59" s="1207"/>
      <c r="AY59" s="1207"/>
      <c r="AZ59" s="1207"/>
      <c r="BA59" s="1207"/>
      <c r="BB59" s="1207"/>
      <c r="BC59" s="1207"/>
      <c r="BD59" s="1207"/>
      <c r="BE59" s="1213"/>
    </row>
    <row r="60" spans="1:58" ht="15.75" customHeight="1">
      <c r="A60" s="1207"/>
      <c r="B60" s="2353" t="str">
        <f>IF(B52="", "", B52)</f>
        <v>Services Company 1</v>
      </c>
      <c r="C60" s="2354"/>
      <c r="D60" s="2354"/>
      <c r="E60" s="2354"/>
      <c r="F60" s="2354"/>
      <c r="G60" s="2354"/>
      <c r="H60" s="2354"/>
      <c r="I60" s="2355"/>
      <c r="J60" s="2356"/>
      <c r="K60" s="2198"/>
      <c r="L60" s="2198"/>
      <c r="M60" s="2198"/>
      <c r="N60" s="2198"/>
      <c r="O60" s="2198"/>
      <c r="P60" s="2198"/>
      <c r="Q60" s="2198"/>
      <c r="R60" s="2198"/>
      <c r="S60" s="2198"/>
      <c r="T60" s="2198"/>
      <c r="U60" s="2198"/>
      <c r="V60" s="2198"/>
      <c r="W60" s="2198"/>
      <c r="X60" s="2198"/>
      <c r="Y60" s="2198"/>
      <c r="Z60" s="2198"/>
      <c r="AA60" s="2198"/>
      <c r="AB60" s="2198"/>
      <c r="AC60" s="2198"/>
      <c r="AD60" s="2198"/>
      <c r="AE60" s="2198"/>
      <c r="AF60" s="2198"/>
      <c r="AG60" s="2198"/>
      <c r="AH60" s="2198"/>
      <c r="AI60" s="2198"/>
      <c r="AJ60" s="2198"/>
      <c r="AK60" s="2198"/>
      <c r="AL60" s="2198"/>
      <c r="AM60" s="2198"/>
      <c r="AN60" s="2198"/>
      <c r="AO60" s="2198"/>
      <c r="AP60" s="2198"/>
      <c r="AQ60" s="2198"/>
      <c r="AR60" s="2198"/>
      <c r="AS60" s="2198"/>
      <c r="AT60" s="2198"/>
      <c r="AU60" s="2198"/>
      <c r="AV60" s="2198"/>
      <c r="AW60" s="2199"/>
      <c r="AX60" s="1207"/>
      <c r="AY60" s="1207"/>
      <c r="AZ60" s="1207"/>
      <c r="BA60" s="1207"/>
      <c r="BB60" s="1207"/>
      <c r="BC60" s="1207"/>
      <c r="BD60" s="1207"/>
      <c r="BE60" s="1213"/>
    </row>
    <row r="61" spans="1:58" ht="15.75" customHeight="1">
      <c r="A61" s="1207"/>
      <c r="B61" s="2353" t="str">
        <f>IF(B53="", "", B53)</f>
        <v>Services Company 2</v>
      </c>
      <c r="C61" s="2354"/>
      <c r="D61" s="2354"/>
      <c r="E61" s="2354"/>
      <c r="F61" s="2354"/>
      <c r="G61" s="2354"/>
      <c r="H61" s="2354"/>
      <c r="I61" s="2355"/>
      <c r="J61" s="2356"/>
      <c r="K61" s="2198"/>
      <c r="L61" s="2198"/>
      <c r="M61" s="2198"/>
      <c r="N61" s="2198"/>
      <c r="O61" s="2198"/>
      <c r="P61" s="2198"/>
      <c r="Q61" s="2198"/>
      <c r="R61" s="2198"/>
      <c r="S61" s="2198"/>
      <c r="T61" s="2198"/>
      <c r="U61" s="2198"/>
      <c r="V61" s="2198"/>
      <c r="W61" s="2198"/>
      <c r="X61" s="2198"/>
      <c r="Y61" s="2198"/>
      <c r="Z61" s="2198"/>
      <c r="AA61" s="2198"/>
      <c r="AB61" s="2198"/>
      <c r="AC61" s="2198"/>
      <c r="AD61" s="2198"/>
      <c r="AE61" s="2198"/>
      <c r="AF61" s="2198"/>
      <c r="AG61" s="2198"/>
      <c r="AH61" s="2198"/>
      <c r="AI61" s="2198"/>
      <c r="AJ61" s="2198"/>
      <c r="AK61" s="2198"/>
      <c r="AL61" s="2198"/>
      <c r="AM61" s="2198"/>
      <c r="AN61" s="2198"/>
      <c r="AO61" s="2198"/>
      <c r="AP61" s="2198"/>
      <c r="AQ61" s="2198"/>
      <c r="AR61" s="2198"/>
      <c r="AS61" s="2198"/>
      <c r="AT61" s="2198"/>
      <c r="AU61" s="2198"/>
      <c r="AV61" s="2198"/>
      <c r="AW61" s="2199"/>
      <c r="AX61" s="1207"/>
      <c r="AY61" s="1207"/>
      <c r="AZ61" s="1207"/>
      <c r="BA61" s="1207"/>
      <c r="BB61" s="1207"/>
      <c r="BC61" s="1207"/>
      <c r="BD61" s="1207"/>
      <c r="BE61" s="1213"/>
    </row>
    <row r="62" spans="1:58" ht="15.75" customHeight="1">
      <c r="A62" s="1207"/>
      <c r="B62" s="2353" t="str">
        <f>IF(B54="", "", B54)</f>
        <v/>
      </c>
      <c r="C62" s="2354"/>
      <c r="D62" s="2354"/>
      <c r="E62" s="2354"/>
      <c r="F62" s="2354"/>
      <c r="G62" s="2354"/>
      <c r="H62" s="2354"/>
      <c r="I62" s="2355"/>
      <c r="J62" s="2356"/>
      <c r="K62" s="2198"/>
      <c r="L62" s="2198"/>
      <c r="M62" s="2198"/>
      <c r="N62" s="2198"/>
      <c r="O62" s="2198"/>
      <c r="P62" s="2198"/>
      <c r="Q62" s="2198"/>
      <c r="R62" s="2198"/>
      <c r="S62" s="2198"/>
      <c r="T62" s="2198"/>
      <c r="U62" s="2198"/>
      <c r="V62" s="2198"/>
      <c r="W62" s="2198"/>
      <c r="X62" s="2198"/>
      <c r="Y62" s="2198"/>
      <c r="Z62" s="2198"/>
      <c r="AA62" s="2198"/>
      <c r="AB62" s="2198"/>
      <c r="AC62" s="2198"/>
      <c r="AD62" s="2198"/>
      <c r="AE62" s="2198"/>
      <c r="AF62" s="2198"/>
      <c r="AG62" s="2198"/>
      <c r="AH62" s="2198"/>
      <c r="AI62" s="2198"/>
      <c r="AJ62" s="2198"/>
      <c r="AK62" s="2198"/>
      <c r="AL62" s="2198"/>
      <c r="AM62" s="2198"/>
      <c r="AN62" s="2198"/>
      <c r="AO62" s="2198"/>
      <c r="AP62" s="2198"/>
      <c r="AQ62" s="2198"/>
      <c r="AR62" s="2198"/>
      <c r="AS62" s="2198"/>
      <c r="AT62" s="2198"/>
      <c r="AU62" s="2198"/>
      <c r="AV62" s="2198"/>
      <c r="AW62" s="2199"/>
      <c r="AX62" s="1207"/>
      <c r="AY62" s="1207"/>
      <c r="AZ62" s="1207"/>
      <c r="BA62" s="1207"/>
      <c r="BB62" s="1207"/>
      <c r="BC62" s="1207"/>
      <c r="BD62" s="1207"/>
      <c r="BE62" s="1213"/>
    </row>
    <row r="63" spans="1:58" ht="15.75" customHeight="1">
      <c r="A63" s="1207"/>
      <c r="B63" s="2353" t="str">
        <f>IF(B55="", "", B55)</f>
        <v/>
      </c>
      <c r="C63" s="2354"/>
      <c r="D63" s="2354"/>
      <c r="E63" s="2354"/>
      <c r="F63" s="2354"/>
      <c r="G63" s="2354"/>
      <c r="H63" s="2354"/>
      <c r="I63" s="2355"/>
      <c r="J63" s="2356"/>
      <c r="K63" s="2198"/>
      <c r="L63" s="2198"/>
      <c r="M63" s="2198"/>
      <c r="N63" s="2198"/>
      <c r="O63" s="2198"/>
      <c r="P63" s="2198"/>
      <c r="Q63" s="2198"/>
      <c r="R63" s="2198"/>
      <c r="S63" s="2198"/>
      <c r="T63" s="2198"/>
      <c r="U63" s="2198"/>
      <c r="V63" s="2198"/>
      <c r="W63" s="2198"/>
      <c r="X63" s="2198"/>
      <c r="Y63" s="2198"/>
      <c r="Z63" s="2198"/>
      <c r="AA63" s="2198"/>
      <c r="AB63" s="2198"/>
      <c r="AC63" s="2198"/>
      <c r="AD63" s="2198"/>
      <c r="AE63" s="2198"/>
      <c r="AF63" s="2198"/>
      <c r="AG63" s="2198"/>
      <c r="AH63" s="2198"/>
      <c r="AI63" s="2198"/>
      <c r="AJ63" s="2198"/>
      <c r="AK63" s="2198"/>
      <c r="AL63" s="2198"/>
      <c r="AM63" s="2198"/>
      <c r="AN63" s="2198"/>
      <c r="AO63" s="2198"/>
      <c r="AP63" s="2198"/>
      <c r="AQ63" s="2198"/>
      <c r="AR63" s="2198"/>
      <c r="AS63" s="2198"/>
      <c r="AT63" s="2198"/>
      <c r="AU63" s="2198"/>
      <c r="AV63" s="2198"/>
      <c r="AW63" s="2199"/>
      <c r="AX63" s="1207"/>
      <c r="AY63" s="1207"/>
      <c r="AZ63" s="1207"/>
      <c r="BA63" s="1207"/>
      <c r="BB63" s="1207"/>
      <c r="BC63" s="1207"/>
      <c r="BD63" s="1207"/>
      <c r="BE63" s="1213"/>
    </row>
    <row r="64" spans="1:58" ht="15.75" customHeight="1" thickBot="1">
      <c r="A64" s="1207"/>
      <c r="B64" s="2357" t="str">
        <f>IF(B56="", "", B56)</f>
        <v/>
      </c>
      <c r="C64" s="2358"/>
      <c r="D64" s="2358"/>
      <c r="E64" s="2358"/>
      <c r="F64" s="2358"/>
      <c r="G64" s="2358"/>
      <c r="H64" s="2358"/>
      <c r="I64" s="2359"/>
      <c r="J64" s="2360"/>
      <c r="K64" s="2340"/>
      <c r="L64" s="2340"/>
      <c r="M64" s="2340"/>
      <c r="N64" s="2340"/>
      <c r="O64" s="2340"/>
      <c r="P64" s="2340"/>
      <c r="Q64" s="2340"/>
      <c r="R64" s="2340"/>
      <c r="S64" s="2340"/>
      <c r="T64" s="2340"/>
      <c r="U64" s="2340"/>
      <c r="V64" s="2340"/>
      <c r="W64" s="2340"/>
      <c r="X64" s="2340"/>
      <c r="Y64" s="2340"/>
      <c r="Z64" s="2340"/>
      <c r="AA64" s="2340"/>
      <c r="AB64" s="2340"/>
      <c r="AC64" s="2340"/>
      <c r="AD64" s="2340"/>
      <c r="AE64" s="2340"/>
      <c r="AF64" s="2340"/>
      <c r="AG64" s="2340"/>
      <c r="AH64" s="2340"/>
      <c r="AI64" s="2340"/>
      <c r="AJ64" s="2340"/>
      <c r="AK64" s="2340"/>
      <c r="AL64" s="2340"/>
      <c r="AM64" s="2340"/>
      <c r="AN64" s="2340"/>
      <c r="AO64" s="2340"/>
      <c r="AP64" s="2340"/>
      <c r="AQ64" s="2340"/>
      <c r="AR64" s="2340"/>
      <c r="AS64" s="2340"/>
      <c r="AT64" s="2340"/>
      <c r="AU64" s="2340"/>
      <c r="AV64" s="2340"/>
      <c r="AW64" s="2341"/>
      <c r="AX64" s="1207"/>
      <c r="AY64" s="1207"/>
      <c r="AZ64" s="1207"/>
      <c r="BA64" s="1207"/>
      <c r="BB64" s="1207"/>
      <c r="BC64" s="1207"/>
      <c r="BD64" s="1207"/>
      <c r="BE64" s="1213"/>
    </row>
    <row r="65" spans="1:65" ht="15.75" customHeight="1">
      <c r="A65" s="1207"/>
      <c r="B65" s="1207"/>
      <c r="C65" s="1207"/>
      <c r="D65" s="1207"/>
      <c r="E65" s="1207"/>
      <c r="F65" s="1207"/>
      <c r="G65" s="1207"/>
      <c r="H65" s="1207"/>
      <c r="I65" s="1207"/>
      <c r="J65" s="1207"/>
      <c r="K65" s="1207"/>
      <c r="L65" s="1207"/>
      <c r="M65" s="1207"/>
      <c r="N65" s="1207"/>
      <c r="O65" s="1207"/>
      <c r="P65" s="1207"/>
      <c r="Q65" s="1207"/>
      <c r="R65" s="1207"/>
      <c r="S65" s="1207"/>
      <c r="T65" s="1207"/>
      <c r="U65" s="1207"/>
      <c r="V65" s="1207"/>
      <c r="W65" s="1207"/>
      <c r="X65" s="1207"/>
      <c r="Y65" s="1207"/>
      <c r="Z65" s="1207"/>
      <c r="AA65" s="1207"/>
      <c r="AB65" s="1207"/>
      <c r="AC65" s="1207"/>
      <c r="AD65" s="1207"/>
      <c r="AE65" s="1207"/>
      <c r="AF65" s="1207"/>
      <c r="AG65" s="1207"/>
      <c r="AH65" s="1207"/>
      <c r="AI65" s="1207"/>
      <c r="AJ65" s="1207"/>
      <c r="AK65" s="1207"/>
      <c r="AL65" s="1207"/>
      <c r="AM65" s="1207"/>
      <c r="AN65" s="1207"/>
      <c r="AO65" s="1207"/>
      <c r="AP65" s="1207"/>
      <c r="AQ65" s="1207"/>
      <c r="AR65" s="1207"/>
      <c r="AS65" s="1207"/>
      <c r="AT65" s="1207"/>
      <c r="AU65" s="1207"/>
      <c r="AV65" s="1207"/>
      <c r="AW65" s="1207"/>
      <c r="AX65" s="1207"/>
      <c r="AY65" s="1207"/>
      <c r="AZ65" s="1207"/>
      <c r="BA65" s="1207"/>
      <c r="BB65" s="1207"/>
      <c r="BC65" s="1207"/>
      <c r="BD65" s="1207"/>
      <c r="BE65" s="1213"/>
    </row>
    <row r="66" spans="1:65" ht="15.75" customHeight="1">
      <c r="A66" s="1207"/>
      <c r="B66" s="1217" t="s">
        <v>1887</v>
      </c>
      <c r="C66" s="1217"/>
      <c r="D66" s="1217"/>
      <c r="E66" s="1217"/>
      <c r="F66" s="1217"/>
      <c r="G66" s="1217"/>
      <c r="H66" s="1217"/>
      <c r="I66" s="1217"/>
      <c r="J66" s="1217"/>
      <c r="K66" s="1217"/>
      <c r="L66" s="1207"/>
      <c r="M66" s="1207"/>
      <c r="N66" s="1207"/>
      <c r="O66" s="1207"/>
      <c r="P66" s="1207"/>
      <c r="Q66" s="1207"/>
      <c r="R66" s="1207"/>
      <c r="S66" s="1207"/>
      <c r="T66" s="1207"/>
      <c r="U66" s="1207"/>
      <c r="V66" s="1207"/>
      <c r="W66" s="1207"/>
      <c r="X66" s="1207"/>
      <c r="Y66" s="1207"/>
      <c r="Z66" s="1207"/>
      <c r="AA66" s="1207"/>
      <c r="AB66" s="1207"/>
      <c r="AC66" s="1207"/>
      <c r="AD66" s="1207"/>
      <c r="AE66" s="1207"/>
      <c r="AF66" s="1207"/>
      <c r="AG66" s="1207"/>
      <c r="AH66" s="1207"/>
      <c r="AI66" s="1207"/>
      <c r="AJ66" s="1207"/>
      <c r="AK66" s="1207"/>
      <c r="AL66" s="1207"/>
      <c r="AM66" s="1207"/>
      <c r="AN66" s="1207"/>
      <c r="AO66" s="1207"/>
      <c r="AP66" s="1207"/>
      <c r="AQ66" s="1207"/>
      <c r="AR66" s="1207"/>
      <c r="AS66" s="1207"/>
      <c r="AT66" s="1207"/>
      <c r="AU66" s="1207"/>
      <c r="AV66" s="1207"/>
      <c r="AW66" s="1207"/>
      <c r="AX66" s="1207"/>
      <c r="AY66" s="1207"/>
      <c r="AZ66" s="1207"/>
      <c r="BA66" s="1207"/>
      <c r="BB66" s="1207"/>
      <c r="BC66" s="1207"/>
      <c r="BD66" s="1207"/>
      <c r="BE66" s="1213"/>
    </row>
    <row r="67" spans="1:65" ht="15.75" customHeight="1" thickBot="1">
      <c r="A67" s="1207"/>
      <c r="B67" s="1207"/>
      <c r="C67" s="1207"/>
      <c r="D67" s="1207"/>
      <c r="E67" s="1207"/>
      <c r="F67" s="1207"/>
      <c r="G67" s="1207"/>
      <c r="H67" s="1207"/>
      <c r="I67" s="1207"/>
      <c r="J67" s="1207"/>
      <c r="K67" s="1207"/>
      <c r="L67" s="1207"/>
      <c r="M67" s="1207"/>
      <c r="N67" s="1207"/>
      <c r="O67" s="1207"/>
      <c r="P67" s="1207"/>
      <c r="Q67" s="1207"/>
      <c r="R67" s="1207"/>
      <c r="S67" s="1207"/>
      <c r="T67" s="1207"/>
      <c r="U67" s="1207"/>
      <c r="V67" s="1207"/>
      <c r="W67" s="1207"/>
      <c r="X67" s="1207"/>
      <c r="Y67" s="1207"/>
      <c r="Z67" s="1207"/>
      <c r="AA67" s="1207"/>
      <c r="AB67" s="1207"/>
      <c r="AC67" s="1207"/>
      <c r="AD67" s="1207"/>
      <c r="AE67" s="1207"/>
      <c r="AF67" s="1207"/>
      <c r="AG67" s="1207"/>
      <c r="AH67" s="1207"/>
      <c r="AI67" s="1207"/>
      <c r="AJ67" s="1207"/>
      <c r="AK67" s="1207"/>
      <c r="AL67" s="1207"/>
      <c r="AM67" s="1207"/>
      <c r="AN67" s="1207"/>
      <c r="AO67" s="1207"/>
      <c r="AP67" s="1207"/>
      <c r="AQ67" s="1207"/>
      <c r="AR67" s="1207"/>
      <c r="AS67" s="1207"/>
      <c r="AT67" s="1207"/>
      <c r="AU67" s="1207"/>
      <c r="AV67" s="1207"/>
      <c r="AW67" s="1207"/>
      <c r="AX67" s="1207"/>
      <c r="AY67" s="1207"/>
      <c r="AZ67" s="1207"/>
      <c r="BA67" s="1207"/>
      <c r="BB67" s="1207"/>
      <c r="BC67" s="1207"/>
      <c r="BD67" s="1207"/>
      <c r="BE67" s="1213"/>
    </row>
    <row r="68" spans="1:65" ht="15.75" customHeight="1" thickBot="1">
      <c r="A68" s="1207"/>
      <c r="B68" s="2292" t="s">
        <v>1888</v>
      </c>
      <c r="C68" s="2293"/>
      <c r="D68" s="2293"/>
      <c r="E68" s="2293"/>
      <c r="F68" s="2293"/>
      <c r="G68" s="2293"/>
      <c r="H68" s="2293"/>
      <c r="I68" s="2293"/>
      <c r="J68" s="2293"/>
      <c r="K68" s="2293"/>
      <c r="L68" s="2293"/>
      <c r="M68" s="2293"/>
      <c r="N68" s="2293"/>
      <c r="O68" s="2293"/>
      <c r="P68" s="2293"/>
      <c r="Q68" s="2293"/>
      <c r="R68" s="2293"/>
      <c r="S68" s="2293"/>
      <c r="T68" s="2293"/>
      <c r="U68" s="2293"/>
      <c r="V68" s="2293"/>
      <c r="W68" s="2293"/>
      <c r="X68" s="2293"/>
      <c r="Y68" s="2293"/>
      <c r="Z68" s="2293"/>
      <c r="AA68" s="2294"/>
      <c r="AB68" s="1207"/>
      <c r="AC68" s="2234" t="s">
        <v>1889</v>
      </c>
      <c r="AD68" s="2235"/>
      <c r="AE68" s="2235"/>
      <c r="AF68" s="2235"/>
      <c r="AG68" s="2235"/>
      <c r="AH68" s="2235"/>
      <c r="AI68" s="2235"/>
      <c r="AJ68" s="2235"/>
      <c r="AK68" s="2235"/>
      <c r="AL68" s="2235"/>
      <c r="AM68" s="2235"/>
      <c r="AN68" s="2235"/>
      <c r="AO68" s="2235"/>
      <c r="AP68" s="2235"/>
      <c r="AQ68" s="2235"/>
      <c r="AR68" s="2235"/>
      <c r="AS68" s="2235"/>
      <c r="AT68" s="2235"/>
      <c r="AU68" s="2235"/>
      <c r="AV68" s="2342" t="s">
        <v>678</v>
      </c>
      <c r="AW68" s="2278"/>
      <c r="AX68" s="2278"/>
      <c r="AY68" s="2278"/>
      <c r="AZ68" s="2278"/>
      <c r="BA68" s="2278"/>
      <c r="BB68" s="2278"/>
      <c r="BC68" s="2279"/>
      <c r="BD68" s="1207"/>
      <c r="BE68" s="1213"/>
      <c r="BM68" s="1218" t="s">
        <v>2588</v>
      </c>
    </row>
    <row r="69" spans="1:65" ht="15.75" customHeight="1" thickTop="1" thickBot="1">
      <c r="A69" s="1207"/>
      <c r="B69" s="2343" t="s">
        <v>1890</v>
      </c>
      <c r="C69" s="2344"/>
      <c r="D69" s="2344"/>
      <c r="E69" s="2344"/>
      <c r="F69" s="2344"/>
      <c r="G69" s="2344"/>
      <c r="H69" s="2344"/>
      <c r="I69" s="2344"/>
      <c r="J69" s="2344"/>
      <c r="K69" s="2344"/>
      <c r="L69" s="2344"/>
      <c r="M69" s="2344"/>
      <c r="N69" s="2344"/>
      <c r="O69" s="2345" t="s">
        <v>1891</v>
      </c>
      <c r="P69" s="2346"/>
      <c r="Q69" s="2346"/>
      <c r="R69" s="2346"/>
      <c r="S69" s="2346"/>
      <c r="T69" s="2346"/>
      <c r="U69" s="2346"/>
      <c r="V69" s="2346"/>
      <c r="W69" s="2346"/>
      <c r="X69" s="2346"/>
      <c r="Y69" s="2346"/>
      <c r="Z69" s="2346"/>
      <c r="AA69" s="2347"/>
      <c r="AB69" s="1207"/>
      <c r="AC69" s="2348" t="s">
        <v>1892</v>
      </c>
      <c r="AD69" s="2349"/>
      <c r="AE69" s="2349"/>
      <c r="AF69" s="2349"/>
      <c r="AG69" s="2349"/>
      <c r="AH69" s="2349"/>
      <c r="AI69" s="2349"/>
      <c r="AJ69" s="2349"/>
      <c r="AK69" s="2349"/>
      <c r="AL69" s="2349"/>
      <c r="AM69" s="2349"/>
      <c r="AN69" s="2349"/>
      <c r="AO69" s="2349"/>
      <c r="AP69" s="2349"/>
      <c r="AQ69" s="2349"/>
      <c r="AR69" s="2349"/>
      <c r="AS69" s="2349"/>
      <c r="AT69" s="2349"/>
      <c r="AU69" s="2349"/>
      <c r="AV69" s="2350"/>
      <c r="AW69" s="2351"/>
      <c r="AX69" s="2351"/>
      <c r="AY69" s="2351"/>
      <c r="AZ69" s="2351"/>
      <c r="BA69" s="2351"/>
      <c r="BB69" s="2351"/>
      <c r="BC69" s="2352"/>
      <c r="BD69" s="1207"/>
      <c r="BE69" s="1213"/>
      <c r="BM69" s="1219" t="s">
        <v>554</v>
      </c>
    </row>
    <row r="70" spans="1:65" ht="15.75" customHeight="1">
      <c r="A70" s="1207"/>
      <c r="B70" s="2325" t="s">
        <v>2589</v>
      </c>
      <c r="C70" s="2326"/>
      <c r="D70" s="2326"/>
      <c r="E70" s="2326"/>
      <c r="F70" s="2326"/>
      <c r="G70" s="2326"/>
      <c r="H70" s="2326"/>
      <c r="I70" s="2326"/>
      <c r="J70" s="2326"/>
      <c r="K70" s="2326"/>
      <c r="L70" s="2326"/>
      <c r="M70" s="2326"/>
      <c r="N70" s="2326"/>
      <c r="O70" s="2228">
        <v>0</v>
      </c>
      <c r="P70" s="2228"/>
      <c r="Q70" s="2228"/>
      <c r="R70" s="2228"/>
      <c r="S70" s="2228"/>
      <c r="T70" s="2228"/>
      <c r="U70" s="2228"/>
      <c r="V70" s="2228"/>
      <c r="W70" s="2228"/>
      <c r="X70" s="2228"/>
      <c r="Y70" s="2228"/>
      <c r="Z70" s="2228"/>
      <c r="AA70" s="2327"/>
      <c r="AB70" s="1207"/>
      <c r="AC70" s="2270" t="s">
        <v>1893</v>
      </c>
      <c r="AD70" s="2236"/>
      <c r="AE70" s="2236"/>
      <c r="AF70" s="2336"/>
      <c r="AG70" s="2336"/>
      <c r="AH70" s="2336"/>
      <c r="AI70" s="2336"/>
      <c r="AJ70" s="2336"/>
      <c r="AK70" s="2336"/>
      <c r="AL70" s="2336"/>
      <c r="AM70" s="2336"/>
      <c r="AN70" s="2336"/>
      <c r="AO70" s="2336"/>
      <c r="AP70" s="2336"/>
      <c r="AQ70" s="2336"/>
      <c r="AR70" s="2336"/>
      <c r="AS70" s="2336"/>
      <c r="AT70" s="2336"/>
      <c r="AU70" s="2337"/>
      <c r="AV70" s="1207"/>
      <c r="AW70" s="1207"/>
      <c r="AX70" s="1207"/>
      <c r="AY70" s="1207"/>
      <c r="AZ70" s="1207"/>
      <c r="BA70" s="1207"/>
      <c r="BB70" s="1207"/>
      <c r="BC70" s="1207"/>
      <c r="BD70" s="1207"/>
      <c r="BE70" s="1213"/>
      <c r="BM70" s="1220" t="s">
        <v>678</v>
      </c>
    </row>
    <row r="71" spans="1:65" ht="15.75" customHeight="1" thickBot="1">
      <c r="A71" s="1207"/>
      <c r="B71" s="2325" t="s">
        <v>2590</v>
      </c>
      <c r="C71" s="2326"/>
      <c r="D71" s="2326"/>
      <c r="E71" s="2326"/>
      <c r="F71" s="2326"/>
      <c r="G71" s="2326"/>
      <c r="H71" s="2326"/>
      <c r="I71" s="2326"/>
      <c r="J71" s="2326"/>
      <c r="K71" s="2326"/>
      <c r="L71" s="2326"/>
      <c r="M71" s="2326"/>
      <c r="N71" s="2326"/>
      <c r="O71" s="2228">
        <v>0</v>
      </c>
      <c r="P71" s="2228"/>
      <c r="Q71" s="2228"/>
      <c r="R71" s="2228"/>
      <c r="S71" s="2228"/>
      <c r="T71" s="2228"/>
      <c r="U71" s="2228"/>
      <c r="V71" s="2228"/>
      <c r="W71" s="2228"/>
      <c r="X71" s="2228"/>
      <c r="Y71" s="2228"/>
      <c r="Z71" s="2228"/>
      <c r="AA71" s="2327"/>
      <c r="AB71" s="1207"/>
      <c r="AC71" s="2338" t="s">
        <v>1894</v>
      </c>
      <c r="AD71" s="2339"/>
      <c r="AE71" s="2339"/>
      <c r="AF71" s="2340"/>
      <c r="AG71" s="2340"/>
      <c r="AH71" s="2340"/>
      <c r="AI71" s="2340"/>
      <c r="AJ71" s="2340"/>
      <c r="AK71" s="2340"/>
      <c r="AL71" s="2340"/>
      <c r="AM71" s="2340"/>
      <c r="AN71" s="2340"/>
      <c r="AO71" s="2340"/>
      <c r="AP71" s="2340"/>
      <c r="AQ71" s="2340"/>
      <c r="AR71" s="2340"/>
      <c r="AS71" s="2340"/>
      <c r="AT71" s="2340"/>
      <c r="AU71" s="2341"/>
      <c r="AV71" s="1207"/>
      <c r="AW71" s="1207"/>
      <c r="AX71" s="1207"/>
      <c r="AY71" s="1207"/>
      <c r="AZ71" s="1207"/>
      <c r="BA71" s="1207"/>
      <c r="BB71" s="1207"/>
      <c r="BC71" s="1207"/>
      <c r="BD71" s="1207"/>
      <c r="BE71" s="1213"/>
      <c r="BM71" s="1204" t="s">
        <v>2591</v>
      </c>
    </row>
    <row r="72" spans="1:65" ht="15.75" customHeight="1">
      <c r="A72" s="1207"/>
      <c r="B72" s="2325" t="s">
        <v>2592</v>
      </c>
      <c r="C72" s="2326"/>
      <c r="D72" s="2326"/>
      <c r="E72" s="2326"/>
      <c r="F72" s="2326"/>
      <c r="G72" s="2326"/>
      <c r="H72" s="2326"/>
      <c r="I72" s="2326"/>
      <c r="J72" s="2326"/>
      <c r="K72" s="2326"/>
      <c r="L72" s="2326"/>
      <c r="M72" s="2326"/>
      <c r="N72" s="2326"/>
      <c r="O72" s="2228">
        <v>0</v>
      </c>
      <c r="P72" s="2228"/>
      <c r="Q72" s="2228"/>
      <c r="R72" s="2228"/>
      <c r="S72" s="2228"/>
      <c r="T72" s="2228"/>
      <c r="U72" s="2228"/>
      <c r="V72" s="2228"/>
      <c r="W72" s="2228"/>
      <c r="X72" s="2228"/>
      <c r="Y72" s="2228"/>
      <c r="Z72" s="2228"/>
      <c r="AA72" s="2327"/>
      <c r="AB72" s="1207"/>
      <c r="AC72" s="2328" t="s">
        <v>2593</v>
      </c>
      <c r="AD72" s="2329"/>
      <c r="AE72" s="2329"/>
      <c r="AF72" s="2329"/>
      <c r="AG72" s="2329"/>
      <c r="AH72" s="2329"/>
      <c r="AI72" s="2329"/>
      <c r="AJ72" s="2329"/>
      <c r="AK72" s="2329"/>
      <c r="AL72" s="2329"/>
      <c r="AM72" s="2329"/>
      <c r="AN72" s="2329"/>
      <c r="AO72" s="2329"/>
      <c r="AP72" s="2329"/>
      <c r="AQ72" s="2329"/>
      <c r="AR72" s="2329"/>
      <c r="AS72" s="2329"/>
      <c r="AT72" s="2329"/>
      <c r="AU72" s="2329"/>
      <c r="AV72" s="2236"/>
      <c r="AW72" s="2236"/>
      <c r="AX72" s="2236"/>
      <c r="AY72" s="2236"/>
      <c r="AZ72" s="2236"/>
      <c r="BA72" s="2236"/>
      <c r="BB72" s="2236"/>
      <c r="BC72" s="2237"/>
      <c r="BD72" s="1207"/>
      <c r="BE72" s="1213"/>
    </row>
    <row r="73" spans="1:65" ht="15.75" customHeight="1">
      <c r="A73" s="1207"/>
      <c r="B73" s="2330" t="s">
        <v>2594</v>
      </c>
      <c r="C73" s="2331"/>
      <c r="D73" s="2331"/>
      <c r="E73" s="2331"/>
      <c r="F73" s="2331"/>
      <c r="G73" s="2331"/>
      <c r="H73" s="2331"/>
      <c r="I73" s="2331"/>
      <c r="J73" s="2331"/>
      <c r="K73" s="2331"/>
      <c r="L73" s="2331"/>
      <c r="M73" s="2331"/>
      <c r="N73" s="2331"/>
      <c r="O73" s="2228">
        <v>0</v>
      </c>
      <c r="P73" s="2228"/>
      <c r="Q73" s="2228"/>
      <c r="R73" s="2228"/>
      <c r="S73" s="2228"/>
      <c r="T73" s="2228"/>
      <c r="U73" s="2228"/>
      <c r="V73" s="2228"/>
      <c r="W73" s="2228"/>
      <c r="X73" s="2228"/>
      <c r="Y73" s="2228"/>
      <c r="Z73" s="2228"/>
      <c r="AA73" s="2327"/>
      <c r="AB73" s="1207"/>
      <c r="AC73" s="2247" t="s">
        <v>2261</v>
      </c>
      <c r="AD73" s="2248"/>
      <c r="AE73" s="2248"/>
      <c r="AF73" s="2248"/>
      <c r="AG73" s="2248"/>
      <c r="AH73" s="2248"/>
      <c r="AI73" s="2248"/>
      <c r="AJ73" s="2248"/>
      <c r="AK73" s="2248"/>
      <c r="AL73" s="2248"/>
      <c r="AM73" s="2248"/>
      <c r="AN73" s="2248"/>
      <c r="AO73" s="2248"/>
      <c r="AP73" s="2248"/>
      <c r="AQ73" s="2248"/>
      <c r="AR73" s="2248"/>
      <c r="AS73" s="2248"/>
      <c r="AT73" s="2248"/>
      <c r="AU73" s="2248"/>
      <c r="AV73" s="2248"/>
      <c r="AW73" s="2248"/>
      <c r="AX73" s="2248"/>
      <c r="AY73" s="2248"/>
      <c r="AZ73" s="2248"/>
      <c r="BA73" s="2248"/>
      <c r="BB73" s="2248"/>
      <c r="BC73" s="2249"/>
      <c r="BD73" s="1207"/>
      <c r="BE73" s="1213"/>
    </row>
    <row r="74" spans="1:65" ht="15.75" customHeight="1">
      <c r="A74" s="1207"/>
      <c r="B74" s="2194"/>
      <c r="C74" s="2195"/>
      <c r="D74" s="2195"/>
      <c r="E74" s="2195"/>
      <c r="F74" s="2195"/>
      <c r="G74" s="2195"/>
      <c r="H74" s="2195"/>
      <c r="I74" s="2195"/>
      <c r="J74" s="2195"/>
      <c r="K74" s="2195"/>
      <c r="L74" s="2195"/>
      <c r="M74" s="2195"/>
      <c r="N74" s="2195"/>
      <c r="O74" s="2228"/>
      <c r="P74" s="2228"/>
      <c r="Q74" s="2228"/>
      <c r="R74" s="2228"/>
      <c r="S74" s="2228"/>
      <c r="T74" s="2228"/>
      <c r="U74" s="2228"/>
      <c r="V74" s="2228"/>
      <c r="W74" s="2228"/>
      <c r="X74" s="2228"/>
      <c r="Y74" s="2228"/>
      <c r="Z74" s="2228"/>
      <c r="AA74" s="2327"/>
      <c r="AB74" s="1207"/>
      <c r="AC74" s="2247"/>
      <c r="AD74" s="2248"/>
      <c r="AE74" s="2248"/>
      <c r="AF74" s="2248"/>
      <c r="AG74" s="2248"/>
      <c r="AH74" s="2248"/>
      <c r="AI74" s="2248"/>
      <c r="AJ74" s="2248"/>
      <c r="AK74" s="2248"/>
      <c r="AL74" s="2248"/>
      <c r="AM74" s="2248"/>
      <c r="AN74" s="2248"/>
      <c r="AO74" s="2248"/>
      <c r="AP74" s="2248"/>
      <c r="AQ74" s="2248"/>
      <c r="AR74" s="2248"/>
      <c r="AS74" s="2248"/>
      <c r="AT74" s="2248"/>
      <c r="AU74" s="2248"/>
      <c r="AV74" s="2248"/>
      <c r="AW74" s="2248"/>
      <c r="AX74" s="2248"/>
      <c r="AY74" s="2248"/>
      <c r="AZ74" s="2248"/>
      <c r="BA74" s="2248"/>
      <c r="BB74" s="2248"/>
      <c r="BC74" s="2249"/>
      <c r="BD74" s="1207"/>
      <c r="BE74" s="1213"/>
    </row>
    <row r="75" spans="1:65" ht="15.75" customHeight="1" thickBot="1">
      <c r="A75" s="1207"/>
      <c r="B75" s="2332" t="s">
        <v>125</v>
      </c>
      <c r="C75" s="2333"/>
      <c r="D75" s="2333"/>
      <c r="E75" s="2333"/>
      <c r="F75" s="2333"/>
      <c r="G75" s="2333"/>
      <c r="H75" s="2333"/>
      <c r="I75" s="2333"/>
      <c r="J75" s="2333"/>
      <c r="K75" s="2333"/>
      <c r="L75" s="2333"/>
      <c r="M75" s="2333"/>
      <c r="N75" s="2333"/>
      <c r="O75" s="2334">
        <f>SUM(O70:AA74)</f>
        <v>0</v>
      </c>
      <c r="P75" s="2334"/>
      <c r="Q75" s="2334"/>
      <c r="R75" s="2334"/>
      <c r="S75" s="2334"/>
      <c r="T75" s="2334"/>
      <c r="U75" s="2334"/>
      <c r="V75" s="2334"/>
      <c r="W75" s="2334"/>
      <c r="X75" s="2334"/>
      <c r="Y75" s="2334"/>
      <c r="Z75" s="2334"/>
      <c r="AA75" s="2335"/>
      <c r="AB75" s="1207"/>
      <c r="AC75" s="2247"/>
      <c r="AD75" s="2248"/>
      <c r="AE75" s="2248"/>
      <c r="AF75" s="2248"/>
      <c r="AG75" s="2248"/>
      <c r="AH75" s="2248"/>
      <c r="AI75" s="2248"/>
      <c r="AJ75" s="2248"/>
      <c r="AK75" s="2248"/>
      <c r="AL75" s="2248"/>
      <c r="AM75" s="2248"/>
      <c r="AN75" s="2248"/>
      <c r="AO75" s="2248"/>
      <c r="AP75" s="2248"/>
      <c r="AQ75" s="2248"/>
      <c r="AR75" s="2248"/>
      <c r="AS75" s="2248"/>
      <c r="AT75" s="2248"/>
      <c r="AU75" s="2248"/>
      <c r="AV75" s="2248"/>
      <c r="AW75" s="2248"/>
      <c r="AX75" s="2248"/>
      <c r="AY75" s="2248"/>
      <c r="AZ75" s="2248"/>
      <c r="BA75" s="2248"/>
      <c r="BB75" s="2248"/>
      <c r="BC75" s="2249"/>
      <c r="BD75" s="1207"/>
      <c r="BE75" s="1213"/>
    </row>
    <row r="76" spans="1:65" ht="15.75" customHeight="1">
      <c r="A76" s="1207"/>
      <c r="B76" s="1207"/>
      <c r="C76" s="1207"/>
      <c r="D76" s="1207"/>
      <c r="E76" s="1207"/>
      <c r="F76" s="1207"/>
      <c r="G76" s="1207"/>
      <c r="H76" s="1207"/>
      <c r="I76" s="1207"/>
      <c r="J76" s="1207"/>
      <c r="K76" s="1207"/>
      <c r="L76" s="1207"/>
      <c r="M76" s="1207"/>
      <c r="N76" s="1207"/>
      <c r="O76" s="1207"/>
      <c r="P76" s="1207"/>
      <c r="Q76" s="1207"/>
      <c r="R76" s="1207"/>
      <c r="S76" s="1207"/>
      <c r="T76" s="1207"/>
      <c r="U76" s="1207"/>
      <c r="V76" s="1207"/>
      <c r="W76" s="1207"/>
      <c r="X76" s="1207"/>
      <c r="Y76" s="1207"/>
      <c r="Z76" s="1207"/>
      <c r="AA76" s="1207"/>
      <c r="AB76" s="1207"/>
      <c r="AC76" s="2247"/>
      <c r="AD76" s="2248"/>
      <c r="AE76" s="2248"/>
      <c r="AF76" s="2248"/>
      <c r="AG76" s="2248"/>
      <c r="AH76" s="2248"/>
      <c r="AI76" s="2248"/>
      <c r="AJ76" s="2248"/>
      <c r="AK76" s="2248"/>
      <c r="AL76" s="2248"/>
      <c r="AM76" s="2248"/>
      <c r="AN76" s="2248"/>
      <c r="AO76" s="2248"/>
      <c r="AP76" s="2248"/>
      <c r="AQ76" s="2248"/>
      <c r="AR76" s="2248"/>
      <c r="AS76" s="2248"/>
      <c r="AT76" s="2248"/>
      <c r="AU76" s="2248"/>
      <c r="AV76" s="2248"/>
      <c r="AW76" s="2248"/>
      <c r="AX76" s="2248"/>
      <c r="AY76" s="2248"/>
      <c r="AZ76" s="2248"/>
      <c r="BA76" s="2248"/>
      <c r="BB76" s="2248"/>
      <c r="BC76" s="2249"/>
      <c r="BD76" s="1207"/>
      <c r="BE76" s="1213"/>
    </row>
    <row r="77" spans="1:65" ht="15.75" customHeight="1" thickBot="1">
      <c r="A77" s="1207"/>
      <c r="B77" s="1221" t="s">
        <v>1895</v>
      </c>
      <c r="C77" s="1222"/>
      <c r="D77" s="1222"/>
      <c r="E77" s="1222"/>
      <c r="F77" s="1222"/>
      <c r="G77" s="1222"/>
      <c r="H77" s="1222"/>
      <c r="I77" s="1222"/>
      <c r="J77" s="1222"/>
      <c r="K77" s="1222"/>
      <c r="L77" s="1222"/>
      <c r="M77" s="1222"/>
      <c r="N77" s="1222"/>
      <c r="O77" s="1222"/>
      <c r="P77" s="1222"/>
      <c r="Q77" s="1207"/>
      <c r="R77" s="1207"/>
      <c r="S77" s="1207"/>
      <c r="T77" s="1207"/>
      <c r="U77" s="1207"/>
      <c r="V77" s="1207"/>
      <c r="W77" s="1207"/>
      <c r="X77" s="1207"/>
      <c r="Y77" s="1207"/>
      <c r="Z77" s="1207"/>
      <c r="AA77" s="1207"/>
      <c r="AB77" s="1207"/>
      <c r="AC77" s="2250"/>
      <c r="AD77" s="2251"/>
      <c r="AE77" s="2251"/>
      <c r="AF77" s="2251"/>
      <c r="AG77" s="2251"/>
      <c r="AH77" s="2251"/>
      <c r="AI77" s="2251"/>
      <c r="AJ77" s="2251"/>
      <c r="AK77" s="2251"/>
      <c r="AL77" s="2251"/>
      <c r="AM77" s="2251"/>
      <c r="AN77" s="2251"/>
      <c r="AO77" s="2251"/>
      <c r="AP77" s="2251"/>
      <c r="AQ77" s="2251"/>
      <c r="AR77" s="2251"/>
      <c r="AS77" s="2251"/>
      <c r="AT77" s="2251"/>
      <c r="AU77" s="2251"/>
      <c r="AV77" s="2251"/>
      <c r="AW77" s="2251"/>
      <c r="AX77" s="2251"/>
      <c r="AY77" s="2251"/>
      <c r="AZ77" s="2251"/>
      <c r="BA77" s="2251"/>
      <c r="BB77" s="2251"/>
      <c r="BC77" s="2252"/>
      <c r="BD77" s="1207"/>
      <c r="BE77" s="1213"/>
    </row>
    <row r="78" spans="1:65" ht="15.75" customHeight="1" thickBot="1">
      <c r="A78" s="1207"/>
      <c r="B78" s="1207"/>
      <c r="C78" s="1207"/>
      <c r="D78" s="1207"/>
      <c r="E78" s="1207"/>
      <c r="F78" s="1207"/>
      <c r="G78" s="1207"/>
      <c r="H78" s="1207"/>
      <c r="I78" s="1207"/>
      <c r="J78" s="1207"/>
      <c r="K78" s="1207"/>
      <c r="L78" s="1207"/>
      <c r="M78" s="1207"/>
      <c r="N78" s="1207"/>
      <c r="O78" s="1207"/>
      <c r="P78" s="1207"/>
      <c r="Q78" s="1207"/>
      <c r="R78" s="1207"/>
      <c r="S78" s="1207"/>
      <c r="T78" s="1207"/>
      <c r="U78" s="1207"/>
      <c r="V78" s="1207"/>
      <c r="W78" s="1207"/>
      <c r="X78" s="1207"/>
      <c r="Y78" s="1207"/>
      <c r="Z78" s="1207"/>
      <c r="AA78" s="1207"/>
      <c r="AB78" s="1207"/>
      <c r="AC78" s="1207"/>
      <c r="AD78" s="1207"/>
      <c r="AE78" s="1207"/>
      <c r="AF78" s="1207"/>
      <c r="AG78" s="1207"/>
      <c r="AH78" s="1207"/>
      <c r="AI78" s="1207"/>
      <c r="AJ78" s="1207"/>
      <c r="AK78" s="1207"/>
      <c r="AL78" s="1207"/>
      <c r="AM78" s="1207"/>
      <c r="AN78" s="1207"/>
      <c r="AO78" s="1207"/>
      <c r="AP78" s="1207"/>
      <c r="AQ78" s="1207"/>
      <c r="AR78" s="1207"/>
      <c r="AS78" s="1207"/>
      <c r="AT78" s="1207"/>
      <c r="AU78" s="1207"/>
      <c r="AV78" s="1207"/>
      <c r="AW78" s="1207"/>
      <c r="AX78" s="1207"/>
      <c r="AY78" s="1207"/>
      <c r="AZ78" s="1207"/>
      <c r="BA78" s="1207"/>
      <c r="BB78" s="1207"/>
      <c r="BC78" s="1207"/>
      <c r="BD78" s="1207"/>
      <c r="BE78" s="1213"/>
    </row>
    <row r="79" spans="1:65" ht="15.75" customHeight="1">
      <c r="A79" s="1207"/>
      <c r="B79" s="2322" t="s">
        <v>2244</v>
      </c>
      <c r="C79" s="2323"/>
      <c r="D79" s="2323"/>
      <c r="E79" s="2323"/>
      <c r="F79" s="2323"/>
      <c r="G79" s="2323"/>
      <c r="H79" s="2323"/>
      <c r="I79" s="2323"/>
      <c r="J79" s="2323"/>
      <c r="K79" s="2323"/>
      <c r="L79" s="2323"/>
      <c r="M79" s="2323"/>
      <c r="N79" s="2323"/>
      <c r="O79" s="2323"/>
      <c r="P79" s="2323"/>
      <c r="Q79" s="2323"/>
      <c r="R79" s="2323"/>
      <c r="S79" s="2323"/>
      <c r="T79" s="2323"/>
      <c r="U79" s="2323"/>
      <c r="V79" s="2323"/>
      <c r="W79" s="2323"/>
      <c r="X79" s="2323"/>
      <c r="Y79" s="2323"/>
      <c r="Z79" s="2323"/>
      <c r="AA79" s="2323"/>
      <c r="AB79" s="2323"/>
      <c r="AC79" s="2323"/>
      <c r="AD79" s="2323"/>
      <c r="AE79" s="2323"/>
      <c r="AF79" s="2323"/>
      <c r="AG79" s="2323"/>
      <c r="AH79" s="2324"/>
      <c r="AI79" s="1207"/>
      <c r="AJ79" s="2295" t="s">
        <v>2595</v>
      </c>
      <c r="AK79" s="2296"/>
      <c r="AL79" s="2296"/>
      <c r="AM79" s="2296"/>
      <c r="AN79" s="2296"/>
      <c r="AO79" s="2296"/>
      <c r="AP79" s="2296"/>
      <c r="AQ79" s="2296"/>
      <c r="AR79" s="2296"/>
      <c r="AS79" s="2296"/>
      <c r="AT79" s="2296"/>
      <c r="AU79" s="2296"/>
      <c r="AV79" s="2296"/>
      <c r="AW79" s="2296"/>
      <c r="AX79" s="2296"/>
      <c r="AY79" s="2316" t="s">
        <v>554</v>
      </c>
      <c r="AZ79" s="2316"/>
      <c r="BA79" s="2316"/>
      <c r="BB79" s="2317"/>
      <c r="BC79" s="1207"/>
      <c r="BD79" s="1207"/>
      <c r="BE79" s="1213"/>
    </row>
    <row r="80" spans="1:65" ht="15.75" customHeight="1">
      <c r="A80" s="1207"/>
      <c r="B80" s="2315"/>
      <c r="C80" s="2304"/>
      <c r="D80" s="2304"/>
      <c r="E80" s="2304"/>
      <c r="F80" s="2304"/>
      <c r="G80" s="2304"/>
      <c r="H80" s="2304"/>
      <c r="I80" s="2304" t="s">
        <v>1896</v>
      </c>
      <c r="J80" s="2304"/>
      <c r="K80" s="2304"/>
      <c r="L80" s="2304"/>
      <c r="M80" s="2304"/>
      <c r="N80" s="2304"/>
      <c r="O80" s="2304" t="s">
        <v>1897</v>
      </c>
      <c r="P80" s="2304"/>
      <c r="Q80" s="2304"/>
      <c r="R80" s="2304"/>
      <c r="S80" s="2304"/>
      <c r="T80" s="2304"/>
      <c r="U80" s="2304"/>
      <c r="V80" s="2320" t="s">
        <v>2262</v>
      </c>
      <c r="W80" s="2320"/>
      <c r="X80" s="2320"/>
      <c r="Y80" s="2320"/>
      <c r="Z80" s="2320"/>
      <c r="AA80" s="2320"/>
      <c r="AB80" s="2271" t="s">
        <v>1898</v>
      </c>
      <c r="AC80" s="2271"/>
      <c r="AD80" s="2271"/>
      <c r="AE80" s="2271"/>
      <c r="AF80" s="2271"/>
      <c r="AG80" s="2271"/>
      <c r="AH80" s="2321"/>
      <c r="AI80" s="1207"/>
      <c r="AJ80" s="2298"/>
      <c r="AK80" s="2299"/>
      <c r="AL80" s="2299"/>
      <c r="AM80" s="2299"/>
      <c r="AN80" s="2299"/>
      <c r="AO80" s="2299"/>
      <c r="AP80" s="2299"/>
      <c r="AQ80" s="2299"/>
      <c r="AR80" s="2299"/>
      <c r="AS80" s="2299"/>
      <c r="AT80" s="2299"/>
      <c r="AU80" s="2299"/>
      <c r="AV80" s="2299"/>
      <c r="AW80" s="2299"/>
      <c r="AX80" s="2299"/>
      <c r="AY80" s="2318"/>
      <c r="AZ80" s="2318"/>
      <c r="BA80" s="2318"/>
      <c r="BB80" s="2319"/>
      <c r="BC80" s="1207"/>
      <c r="BD80" s="1207"/>
      <c r="BE80" s="1213"/>
    </row>
    <row r="81" spans="1:57" ht="15.75" customHeight="1">
      <c r="A81" s="1207"/>
      <c r="B81" s="2315"/>
      <c r="C81" s="2304"/>
      <c r="D81" s="2304"/>
      <c r="E81" s="2304"/>
      <c r="F81" s="2304"/>
      <c r="G81" s="2304"/>
      <c r="H81" s="2304"/>
      <c r="I81" s="2304"/>
      <c r="J81" s="2304"/>
      <c r="K81" s="2304"/>
      <c r="L81" s="2304"/>
      <c r="M81" s="2304"/>
      <c r="N81" s="2304"/>
      <c r="O81" s="2304"/>
      <c r="P81" s="2304"/>
      <c r="Q81" s="2304"/>
      <c r="R81" s="2304"/>
      <c r="S81" s="2304"/>
      <c r="T81" s="2304"/>
      <c r="U81" s="2304"/>
      <c r="V81" s="2320"/>
      <c r="W81" s="2320"/>
      <c r="X81" s="2320"/>
      <c r="Y81" s="2320"/>
      <c r="Z81" s="2320"/>
      <c r="AA81" s="2320"/>
      <c r="AB81" s="2271"/>
      <c r="AC81" s="2271"/>
      <c r="AD81" s="2271"/>
      <c r="AE81" s="2271"/>
      <c r="AF81" s="2271"/>
      <c r="AG81" s="2271"/>
      <c r="AH81" s="2321"/>
      <c r="AI81" s="1207"/>
      <c r="AJ81" s="2298"/>
      <c r="AK81" s="2299"/>
      <c r="AL81" s="2299"/>
      <c r="AM81" s="2299"/>
      <c r="AN81" s="2299"/>
      <c r="AO81" s="2299"/>
      <c r="AP81" s="2299"/>
      <c r="AQ81" s="2299"/>
      <c r="AR81" s="2299"/>
      <c r="AS81" s="2299"/>
      <c r="AT81" s="2299"/>
      <c r="AU81" s="2299"/>
      <c r="AV81" s="2299"/>
      <c r="AW81" s="2299"/>
      <c r="AX81" s="2299"/>
      <c r="AY81" s="2318"/>
      <c r="AZ81" s="2318"/>
      <c r="BA81" s="2318"/>
      <c r="BB81" s="2319"/>
      <c r="BC81" s="1207"/>
      <c r="BD81" s="1207"/>
      <c r="BE81" s="1213"/>
    </row>
    <row r="82" spans="1:57" ht="15.75" customHeight="1">
      <c r="A82" s="1207"/>
      <c r="B82" s="2315" t="s">
        <v>2245</v>
      </c>
      <c r="C82" s="2304"/>
      <c r="D82" s="2304"/>
      <c r="E82" s="2304"/>
      <c r="F82" s="2304"/>
      <c r="G82" s="2304"/>
      <c r="H82" s="2304"/>
      <c r="I82" s="2274">
        <v>0</v>
      </c>
      <c r="J82" s="2274"/>
      <c r="K82" s="2274"/>
      <c r="L82" s="2274"/>
      <c r="M82" s="2274"/>
      <c r="N82" s="2274"/>
      <c r="O82" s="2274">
        <v>0</v>
      </c>
      <c r="P82" s="2274"/>
      <c r="Q82" s="2274"/>
      <c r="R82" s="2274"/>
      <c r="S82" s="2274"/>
      <c r="T82" s="2274"/>
      <c r="U82" s="2274"/>
      <c r="V82" s="2274">
        <v>0</v>
      </c>
      <c r="W82" s="2274"/>
      <c r="X82" s="2274"/>
      <c r="Y82" s="2274"/>
      <c r="Z82" s="2274"/>
      <c r="AA82" s="2274"/>
      <c r="AB82" s="2274">
        <v>0</v>
      </c>
      <c r="AC82" s="2274"/>
      <c r="AD82" s="2274"/>
      <c r="AE82" s="2274"/>
      <c r="AF82" s="2274"/>
      <c r="AG82" s="2274"/>
      <c r="AH82" s="2275"/>
      <c r="AI82" s="1207"/>
      <c r="AJ82" s="2298"/>
      <c r="AK82" s="2299"/>
      <c r="AL82" s="2299"/>
      <c r="AM82" s="2299"/>
      <c r="AN82" s="2299"/>
      <c r="AO82" s="2299"/>
      <c r="AP82" s="2299"/>
      <c r="AQ82" s="2299"/>
      <c r="AR82" s="2299"/>
      <c r="AS82" s="2299"/>
      <c r="AT82" s="2299"/>
      <c r="AU82" s="2299"/>
      <c r="AV82" s="2299"/>
      <c r="AW82" s="2299"/>
      <c r="AX82" s="2299"/>
      <c r="AY82" s="2318"/>
      <c r="AZ82" s="2318"/>
      <c r="BA82" s="2318"/>
      <c r="BB82" s="2319"/>
      <c r="BC82" s="1207"/>
      <c r="BD82" s="1207"/>
      <c r="BE82" s="1213"/>
    </row>
    <row r="83" spans="1:57" ht="15.75" customHeight="1">
      <c r="A83" s="1207"/>
      <c r="B83" s="2315" t="s">
        <v>2246</v>
      </c>
      <c r="C83" s="2304"/>
      <c r="D83" s="2304"/>
      <c r="E83" s="2304"/>
      <c r="F83" s="2304"/>
      <c r="G83" s="2304"/>
      <c r="H83" s="2304"/>
      <c r="I83" s="2274">
        <v>0</v>
      </c>
      <c r="J83" s="2274"/>
      <c r="K83" s="2274"/>
      <c r="L83" s="2274"/>
      <c r="M83" s="2274"/>
      <c r="N83" s="2274"/>
      <c r="O83" s="2274">
        <v>0</v>
      </c>
      <c r="P83" s="2274"/>
      <c r="Q83" s="2274"/>
      <c r="R83" s="2274"/>
      <c r="S83" s="2274"/>
      <c r="T83" s="2274"/>
      <c r="U83" s="2274"/>
      <c r="V83" s="2274">
        <v>0</v>
      </c>
      <c r="W83" s="2274"/>
      <c r="X83" s="2274"/>
      <c r="Y83" s="2274"/>
      <c r="Z83" s="2274"/>
      <c r="AA83" s="2274"/>
      <c r="AB83" s="2274">
        <v>0</v>
      </c>
      <c r="AC83" s="2274"/>
      <c r="AD83" s="2274"/>
      <c r="AE83" s="2274"/>
      <c r="AF83" s="2274"/>
      <c r="AG83" s="2274"/>
      <c r="AH83" s="2275"/>
      <c r="AI83" s="1207"/>
      <c r="AJ83" s="2307" t="s">
        <v>2596</v>
      </c>
      <c r="AK83" s="2308"/>
      <c r="AL83" s="2308"/>
      <c r="AM83" s="2308"/>
      <c r="AN83" s="2308"/>
      <c r="AO83" s="2308"/>
      <c r="AP83" s="2308"/>
      <c r="AQ83" s="2308"/>
      <c r="AR83" s="2308"/>
      <c r="AS83" s="2308"/>
      <c r="AT83" s="2308"/>
      <c r="AU83" s="2308"/>
      <c r="AV83" s="2308"/>
      <c r="AW83" s="2308"/>
      <c r="AX83" s="2308"/>
      <c r="AY83" s="2308"/>
      <c r="AZ83" s="2308"/>
      <c r="BA83" s="2308"/>
      <c r="BB83" s="2309"/>
      <c r="BC83" s="1207"/>
      <c r="BD83" s="1207"/>
      <c r="BE83" s="1213"/>
    </row>
    <row r="84" spans="1:57" ht="15.75" customHeight="1" thickBot="1">
      <c r="A84" s="1207"/>
      <c r="B84" s="2313" t="s">
        <v>1899</v>
      </c>
      <c r="C84" s="2314"/>
      <c r="D84" s="2314"/>
      <c r="E84" s="2314"/>
      <c r="F84" s="2314"/>
      <c r="G84" s="2314"/>
      <c r="H84" s="2314"/>
      <c r="I84" s="2268">
        <v>0</v>
      </c>
      <c r="J84" s="2268"/>
      <c r="K84" s="2268"/>
      <c r="L84" s="2268"/>
      <c r="M84" s="2268"/>
      <c r="N84" s="2268"/>
      <c r="O84" s="2268">
        <v>0</v>
      </c>
      <c r="P84" s="2268"/>
      <c r="Q84" s="2268"/>
      <c r="R84" s="2268"/>
      <c r="S84" s="2268"/>
      <c r="T84" s="2268"/>
      <c r="U84" s="2268"/>
      <c r="V84" s="2268">
        <v>0</v>
      </c>
      <c r="W84" s="2268"/>
      <c r="X84" s="2268"/>
      <c r="Y84" s="2268"/>
      <c r="Z84" s="2268"/>
      <c r="AA84" s="2268"/>
      <c r="AB84" s="2268">
        <v>0</v>
      </c>
      <c r="AC84" s="2268"/>
      <c r="AD84" s="2268"/>
      <c r="AE84" s="2268"/>
      <c r="AF84" s="2268"/>
      <c r="AG84" s="2268"/>
      <c r="AH84" s="2269"/>
      <c r="AI84" s="1207"/>
      <c r="AJ84" s="2310"/>
      <c r="AK84" s="2311"/>
      <c r="AL84" s="2311"/>
      <c r="AM84" s="2311"/>
      <c r="AN84" s="2311"/>
      <c r="AO84" s="2311"/>
      <c r="AP84" s="2311"/>
      <c r="AQ84" s="2311"/>
      <c r="AR84" s="2311"/>
      <c r="AS84" s="2311"/>
      <c r="AT84" s="2311"/>
      <c r="AU84" s="2311"/>
      <c r="AV84" s="2311"/>
      <c r="AW84" s="2311"/>
      <c r="AX84" s="2311"/>
      <c r="AY84" s="2311"/>
      <c r="AZ84" s="2311"/>
      <c r="BA84" s="2311"/>
      <c r="BB84" s="2312"/>
      <c r="BC84" s="1207"/>
      <c r="BD84" s="1207"/>
      <c r="BE84" s="1213"/>
    </row>
    <row r="85" spans="1:57" ht="15.75" customHeight="1">
      <c r="A85" s="1207"/>
      <c r="B85" s="1207"/>
      <c r="C85" s="1207"/>
      <c r="D85" s="1207"/>
      <c r="E85" s="1207"/>
      <c r="F85" s="1207"/>
      <c r="G85" s="1207"/>
      <c r="H85" s="1207"/>
      <c r="I85" s="1207"/>
      <c r="J85" s="1207"/>
      <c r="K85" s="1207"/>
      <c r="L85" s="1207"/>
      <c r="M85" s="1207"/>
      <c r="N85" s="1207"/>
      <c r="O85" s="1207"/>
      <c r="P85" s="1207"/>
      <c r="Q85" s="1207"/>
      <c r="R85" s="1207"/>
      <c r="S85" s="1207"/>
      <c r="T85" s="1207"/>
      <c r="U85" s="1207"/>
      <c r="V85" s="1207"/>
      <c r="W85" s="1207"/>
      <c r="X85" s="1207"/>
      <c r="Y85" s="1207"/>
      <c r="Z85" s="1207"/>
      <c r="AA85" s="1207"/>
      <c r="AB85" s="1207"/>
      <c r="AC85" s="1207"/>
      <c r="AD85" s="1207"/>
      <c r="AE85" s="1207"/>
      <c r="AF85" s="1207"/>
      <c r="AG85" s="1207"/>
      <c r="AH85" s="1207"/>
      <c r="AI85" s="1207"/>
      <c r="AJ85" s="1207"/>
      <c r="AK85" s="1207"/>
      <c r="AL85" s="1207"/>
      <c r="AM85" s="1207"/>
      <c r="AN85" s="1207"/>
      <c r="AO85" s="1207"/>
      <c r="AP85" s="1207"/>
      <c r="AQ85" s="1207"/>
      <c r="AR85" s="1207"/>
      <c r="AS85" s="1207"/>
      <c r="AT85" s="1207"/>
      <c r="AU85" s="1207"/>
      <c r="AV85" s="1207"/>
      <c r="AW85" s="1207"/>
      <c r="AX85" s="1207"/>
      <c r="AY85" s="1207"/>
      <c r="AZ85" s="1207"/>
      <c r="BA85" s="1207"/>
      <c r="BB85" s="1207"/>
      <c r="BC85" s="1207"/>
      <c r="BD85" s="1207"/>
      <c r="BE85" s="1213"/>
    </row>
    <row r="86" spans="1:57" ht="15.75" customHeight="1">
      <c r="A86" s="1207"/>
      <c r="B86" s="1217" t="s">
        <v>1900</v>
      </c>
      <c r="P86" s="1207"/>
      <c r="Q86" s="1207"/>
      <c r="R86" s="1207"/>
      <c r="S86" s="1207" t="s">
        <v>251</v>
      </c>
      <c r="T86" s="1207"/>
      <c r="U86" s="1207"/>
      <c r="V86" s="1207"/>
      <c r="W86" s="1207"/>
      <c r="X86" s="1207"/>
      <c r="Y86" s="1207"/>
      <c r="Z86" s="1207"/>
      <c r="AA86" s="1207"/>
      <c r="AB86" s="1207"/>
      <c r="AC86" s="1207"/>
      <c r="AD86" s="1207"/>
      <c r="AE86" s="1207"/>
      <c r="AF86" s="1207"/>
      <c r="AG86" s="1207"/>
      <c r="AH86" s="1207"/>
      <c r="AI86" s="1207"/>
      <c r="AJ86" s="1207"/>
      <c r="AK86" s="1207"/>
      <c r="AL86" s="1207"/>
      <c r="AM86" s="1207"/>
      <c r="AN86" s="1207"/>
      <c r="AO86" s="1207"/>
      <c r="AP86" s="1207"/>
      <c r="AQ86" s="1207"/>
      <c r="AR86" s="1207"/>
      <c r="AS86" s="1207"/>
      <c r="AT86" s="1207"/>
      <c r="AU86" s="1207"/>
      <c r="AV86" s="1207"/>
      <c r="AW86" s="1207"/>
      <c r="AX86" s="1207"/>
      <c r="AY86" s="1207"/>
      <c r="AZ86" s="1207"/>
      <c r="BA86" s="1207"/>
      <c r="BB86" s="1207"/>
      <c r="BC86" s="1207"/>
      <c r="BD86" s="1207"/>
      <c r="BE86" s="1213"/>
    </row>
    <row r="87" spans="1:57" ht="15.75" customHeight="1" thickBot="1">
      <c r="A87" s="1207"/>
      <c r="B87" s="1207"/>
      <c r="C87" s="1207"/>
      <c r="D87" s="1207"/>
      <c r="E87" s="1207"/>
      <c r="F87" s="1207"/>
      <c r="G87" s="1207"/>
      <c r="H87" s="1207"/>
      <c r="I87" s="1207"/>
      <c r="J87" s="1207"/>
      <c r="K87" s="1207"/>
      <c r="L87" s="1207"/>
      <c r="M87" s="1207"/>
      <c r="N87" s="1207"/>
      <c r="O87" s="1207"/>
      <c r="P87" s="1223"/>
      <c r="Q87" s="1207"/>
      <c r="R87" s="1207"/>
      <c r="S87" s="1207"/>
      <c r="T87" s="1207"/>
      <c r="U87" s="1207"/>
      <c r="V87" s="1207"/>
      <c r="W87" s="1207"/>
      <c r="X87" s="1207"/>
      <c r="Y87" s="1207"/>
      <c r="Z87" s="1207"/>
      <c r="AA87" s="1207"/>
      <c r="AB87" s="1207"/>
      <c r="AC87" s="1207"/>
      <c r="AD87" s="1207"/>
      <c r="AE87" s="1207"/>
      <c r="AF87" s="1207"/>
      <c r="AG87" s="1207"/>
      <c r="AH87" s="1207"/>
      <c r="AI87" s="1207"/>
      <c r="AJ87" s="1207"/>
      <c r="AK87" s="1207"/>
      <c r="AL87" s="1207"/>
      <c r="AM87" s="1207"/>
      <c r="AN87" s="1207"/>
      <c r="AO87" s="1207"/>
      <c r="AP87" s="1207"/>
      <c r="AQ87" s="1207"/>
      <c r="AR87" s="1207"/>
      <c r="AS87" s="1207"/>
      <c r="AT87" s="1207"/>
      <c r="AU87" s="1207"/>
      <c r="AV87" s="1207"/>
      <c r="AW87" s="1207"/>
      <c r="AX87" s="1207"/>
      <c r="AY87" s="1207"/>
      <c r="AZ87" s="1207"/>
      <c r="BA87" s="1207"/>
      <c r="BB87" s="1207"/>
      <c r="BC87" s="1207"/>
      <c r="BD87" s="1207"/>
      <c r="BE87" s="1213"/>
    </row>
    <row r="88" spans="1:57" ht="15.75" customHeight="1">
      <c r="A88" s="1207"/>
      <c r="B88" s="2234" t="s">
        <v>1901</v>
      </c>
      <c r="C88" s="2235"/>
      <c r="D88" s="2235"/>
      <c r="E88" s="2235"/>
      <c r="F88" s="2235"/>
      <c r="G88" s="2235"/>
      <c r="H88" s="2235"/>
      <c r="I88" s="2235"/>
      <c r="J88" s="2235"/>
      <c r="K88" s="2235"/>
      <c r="L88" s="2235"/>
      <c r="M88" s="2235"/>
      <c r="N88" s="2235"/>
      <c r="O88" s="2235"/>
      <c r="P88" s="2235"/>
      <c r="Q88" s="2235"/>
      <c r="R88" s="2235"/>
      <c r="S88" s="2235"/>
      <c r="T88" s="2235"/>
      <c r="U88" s="2235"/>
      <c r="V88" s="2235"/>
      <c r="W88" s="2235"/>
      <c r="X88" s="2235"/>
      <c r="Y88" s="2235"/>
      <c r="Z88" s="2235"/>
      <c r="AA88" s="2235"/>
      <c r="AB88" s="2235"/>
      <c r="AC88" s="2235"/>
      <c r="AD88" s="2235"/>
      <c r="AE88" s="2235"/>
      <c r="AF88" s="2235"/>
      <c r="AG88" s="2235"/>
      <c r="AH88" s="2240"/>
      <c r="AI88" s="1207"/>
      <c r="AJ88" s="2295" t="s">
        <v>2597</v>
      </c>
      <c r="AK88" s="2296"/>
      <c r="AL88" s="2296"/>
      <c r="AM88" s="2296"/>
      <c r="AN88" s="2296"/>
      <c r="AO88" s="2296"/>
      <c r="AP88" s="2296"/>
      <c r="AQ88" s="2296"/>
      <c r="AR88" s="2296"/>
      <c r="AS88" s="2296"/>
      <c r="AT88" s="2296"/>
      <c r="AU88" s="2296"/>
      <c r="AV88" s="2296"/>
      <c r="AW88" s="2296"/>
      <c r="AX88" s="2296"/>
      <c r="AY88" s="2316" t="s">
        <v>554</v>
      </c>
      <c r="AZ88" s="2316"/>
      <c r="BA88" s="2316"/>
      <c r="BB88" s="2317"/>
      <c r="BC88" s="1207"/>
      <c r="BD88" s="1207"/>
      <c r="BE88" s="1213"/>
    </row>
    <row r="89" spans="1:57" ht="16.5" customHeight="1">
      <c r="A89" s="1207"/>
      <c r="B89" s="2315"/>
      <c r="C89" s="2304"/>
      <c r="D89" s="2304"/>
      <c r="E89" s="2304"/>
      <c r="F89" s="2304"/>
      <c r="G89" s="2304"/>
      <c r="H89" s="2304"/>
      <c r="I89" s="2304" t="s">
        <v>1896</v>
      </c>
      <c r="J89" s="2304"/>
      <c r="K89" s="2304"/>
      <c r="L89" s="2304"/>
      <c r="M89" s="2304"/>
      <c r="N89" s="2304"/>
      <c r="O89" s="2304" t="s">
        <v>1897</v>
      </c>
      <c r="P89" s="2304"/>
      <c r="Q89" s="2304"/>
      <c r="R89" s="2304"/>
      <c r="S89" s="2304"/>
      <c r="T89" s="2304"/>
      <c r="U89" s="2304"/>
      <c r="V89" s="2320" t="s">
        <v>2262</v>
      </c>
      <c r="W89" s="2320"/>
      <c r="X89" s="2320"/>
      <c r="Y89" s="2320"/>
      <c r="Z89" s="2320"/>
      <c r="AA89" s="2320"/>
      <c r="AB89" s="2271" t="s">
        <v>1898</v>
      </c>
      <c r="AC89" s="2271"/>
      <c r="AD89" s="2271"/>
      <c r="AE89" s="2271"/>
      <c r="AF89" s="2271"/>
      <c r="AG89" s="2271"/>
      <c r="AH89" s="2321"/>
      <c r="AI89" s="1207"/>
      <c r="AJ89" s="2298"/>
      <c r="AK89" s="2299"/>
      <c r="AL89" s="2299"/>
      <c r="AM89" s="2299"/>
      <c r="AN89" s="2299"/>
      <c r="AO89" s="2299"/>
      <c r="AP89" s="2299"/>
      <c r="AQ89" s="2299"/>
      <c r="AR89" s="2299"/>
      <c r="AS89" s="2299"/>
      <c r="AT89" s="2299"/>
      <c r="AU89" s="2299"/>
      <c r="AV89" s="2299"/>
      <c r="AW89" s="2299"/>
      <c r="AX89" s="2299"/>
      <c r="AY89" s="2318"/>
      <c r="AZ89" s="2318"/>
      <c r="BA89" s="2318"/>
      <c r="BB89" s="2319"/>
      <c r="BC89" s="1207"/>
      <c r="BD89" s="1207"/>
      <c r="BE89" s="1213"/>
    </row>
    <row r="90" spans="1:57" ht="16.5" customHeight="1">
      <c r="A90" s="1207"/>
      <c r="B90" s="2315"/>
      <c r="C90" s="2304"/>
      <c r="D90" s="2304"/>
      <c r="E90" s="2304"/>
      <c r="F90" s="2304"/>
      <c r="G90" s="2304"/>
      <c r="H90" s="2304"/>
      <c r="I90" s="2304"/>
      <c r="J90" s="2304"/>
      <c r="K90" s="2304"/>
      <c r="L90" s="2304"/>
      <c r="M90" s="2304"/>
      <c r="N90" s="2304"/>
      <c r="O90" s="2304"/>
      <c r="P90" s="2304"/>
      <c r="Q90" s="2304"/>
      <c r="R90" s="2304"/>
      <c r="S90" s="2304"/>
      <c r="T90" s="2304"/>
      <c r="U90" s="2304"/>
      <c r="V90" s="2320"/>
      <c r="W90" s="2320"/>
      <c r="X90" s="2320"/>
      <c r="Y90" s="2320"/>
      <c r="Z90" s="2320"/>
      <c r="AA90" s="2320"/>
      <c r="AB90" s="2271"/>
      <c r="AC90" s="2271"/>
      <c r="AD90" s="2271"/>
      <c r="AE90" s="2271"/>
      <c r="AF90" s="2271"/>
      <c r="AG90" s="2271"/>
      <c r="AH90" s="2321"/>
      <c r="AI90" s="1207"/>
      <c r="AJ90" s="2298"/>
      <c r="AK90" s="2299"/>
      <c r="AL90" s="2299"/>
      <c r="AM90" s="2299"/>
      <c r="AN90" s="2299"/>
      <c r="AO90" s="2299"/>
      <c r="AP90" s="2299"/>
      <c r="AQ90" s="2299"/>
      <c r="AR90" s="2299"/>
      <c r="AS90" s="2299"/>
      <c r="AT90" s="2299"/>
      <c r="AU90" s="2299"/>
      <c r="AV90" s="2299"/>
      <c r="AW90" s="2299"/>
      <c r="AX90" s="2299"/>
      <c r="AY90" s="2318"/>
      <c r="AZ90" s="2318"/>
      <c r="BA90" s="2318"/>
      <c r="BB90" s="2319"/>
      <c r="BC90" s="1207"/>
      <c r="BD90" s="1207"/>
      <c r="BE90" s="1213"/>
    </row>
    <row r="91" spans="1:57" ht="15.75" customHeight="1">
      <c r="A91" s="1207"/>
      <c r="B91" s="2315" t="s">
        <v>2245</v>
      </c>
      <c r="C91" s="2304"/>
      <c r="D91" s="2304"/>
      <c r="E91" s="2304"/>
      <c r="F91" s="2304"/>
      <c r="G91" s="2304"/>
      <c r="H91" s="2304"/>
      <c r="I91" s="2274">
        <v>0</v>
      </c>
      <c r="J91" s="2274"/>
      <c r="K91" s="2274"/>
      <c r="L91" s="2274"/>
      <c r="M91" s="2274"/>
      <c r="N91" s="2274"/>
      <c r="O91" s="2274">
        <v>0</v>
      </c>
      <c r="P91" s="2274"/>
      <c r="Q91" s="2274"/>
      <c r="R91" s="2274"/>
      <c r="S91" s="2274"/>
      <c r="T91" s="2274"/>
      <c r="U91" s="2274"/>
      <c r="V91" s="2274">
        <v>0</v>
      </c>
      <c r="W91" s="2274"/>
      <c r="X91" s="2274"/>
      <c r="Y91" s="2274"/>
      <c r="Z91" s="2274"/>
      <c r="AA91" s="2274"/>
      <c r="AB91" s="2274">
        <v>0</v>
      </c>
      <c r="AC91" s="2274"/>
      <c r="AD91" s="2274"/>
      <c r="AE91" s="2274"/>
      <c r="AF91" s="2274"/>
      <c r="AG91" s="2274"/>
      <c r="AH91" s="2275"/>
      <c r="AI91" s="1207"/>
      <c r="AJ91" s="2298"/>
      <c r="AK91" s="2299"/>
      <c r="AL91" s="2299"/>
      <c r="AM91" s="2299"/>
      <c r="AN91" s="2299"/>
      <c r="AO91" s="2299"/>
      <c r="AP91" s="2299"/>
      <c r="AQ91" s="2299"/>
      <c r="AR91" s="2299"/>
      <c r="AS91" s="2299"/>
      <c r="AT91" s="2299"/>
      <c r="AU91" s="2299"/>
      <c r="AV91" s="2299"/>
      <c r="AW91" s="2299"/>
      <c r="AX91" s="2299"/>
      <c r="AY91" s="2318"/>
      <c r="AZ91" s="2318"/>
      <c r="BA91" s="2318"/>
      <c r="BB91" s="2319"/>
      <c r="BC91" s="1207"/>
      <c r="BD91" s="1207"/>
      <c r="BE91" s="1213"/>
    </row>
    <row r="92" spans="1:57" ht="15.75" customHeight="1">
      <c r="A92" s="1207"/>
      <c r="B92" s="2315" t="s">
        <v>2246</v>
      </c>
      <c r="C92" s="2304"/>
      <c r="D92" s="2304"/>
      <c r="E92" s="2304"/>
      <c r="F92" s="2304"/>
      <c r="G92" s="2304"/>
      <c r="H92" s="2304"/>
      <c r="I92" s="2274">
        <v>0</v>
      </c>
      <c r="J92" s="2274"/>
      <c r="K92" s="2274"/>
      <c r="L92" s="2274"/>
      <c r="M92" s="2274"/>
      <c r="N92" s="2274"/>
      <c r="O92" s="2274">
        <v>0</v>
      </c>
      <c r="P92" s="2274"/>
      <c r="Q92" s="2274"/>
      <c r="R92" s="2274"/>
      <c r="S92" s="2274"/>
      <c r="T92" s="2274"/>
      <c r="U92" s="2274"/>
      <c r="V92" s="2274">
        <v>0</v>
      </c>
      <c r="W92" s="2274"/>
      <c r="X92" s="2274"/>
      <c r="Y92" s="2274"/>
      <c r="Z92" s="2274"/>
      <c r="AA92" s="2274"/>
      <c r="AB92" s="2274">
        <v>0</v>
      </c>
      <c r="AC92" s="2274"/>
      <c r="AD92" s="2274"/>
      <c r="AE92" s="2274"/>
      <c r="AF92" s="2274"/>
      <c r="AG92" s="2274"/>
      <c r="AH92" s="2275"/>
      <c r="AI92" s="1207"/>
      <c r="AJ92" s="2307" t="s">
        <v>2263</v>
      </c>
      <c r="AK92" s="2308"/>
      <c r="AL92" s="2308"/>
      <c r="AM92" s="2308"/>
      <c r="AN92" s="2308"/>
      <c r="AO92" s="2308"/>
      <c r="AP92" s="2308"/>
      <c r="AQ92" s="2308"/>
      <c r="AR92" s="2308"/>
      <c r="AS92" s="2308"/>
      <c r="AT92" s="2308"/>
      <c r="AU92" s="2308"/>
      <c r="AV92" s="2308"/>
      <c r="AW92" s="2308"/>
      <c r="AX92" s="2308"/>
      <c r="AY92" s="2308"/>
      <c r="AZ92" s="2308"/>
      <c r="BA92" s="2308"/>
      <c r="BB92" s="2309"/>
      <c r="BC92" s="1207"/>
      <c r="BD92" s="1207"/>
      <c r="BE92" s="1213"/>
    </row>
    <row r="93" spans="1:57" ht="15.75" customHeight="1" thickBot="1">
      <c r="A93" s="1207"/>
      <c r="B93" s="2313" t="s">
        <v>1899</v>
      </c>
      <c r="C93" s="2314"/>
      <c r="D93" s="2314"/>
      <c r="E93" s="2314"/>
      <c r="F93" s="2314"/>
      <c r="G93" s="2314"/>
      <c r="H93" s="2314"/>
      <c r="I93" s="2268">
        <v>0</v>
      </c>
      <c r="J93" s="2268"/>
      <c r="K93" s="2268"/>
      <c r="L93" s="2268"/>
      <c r="M93" s="2268"/>
      <c r="N93" s="2268"/>
      <c r="O93" s="2268">
        <v>0</v>
      </c>
      <c r="P93" s="2268"/>
      <c r="Q93" s="2268"/>
      <c r="R93" s="2268"/>
      <c r="S93" s="2268"/>
      <c r="T93" s="2268"/>
      <c r="U93" s="2268"/>
      <c r="V93" s="2268">
        <v>0</v>
      </c>
      <c r="W93" s="2268"/>
      <c r="X93" s="2268"/>
      <c r="Y93" s="2268"/>
      <c r="Z93" s="2268"/>
      <c r="AA93" s="2268"/>
      <c r="AB93" s="2268">
        <v>0</v>
      </c>
      <c r="AC93" s="2268"/>
      <c r="AD93" s="2268"/>
      <c r="AE93" s="2268"/>
      <c r="AF93" s="2268"/>
      <c r="AG93" s="2268"/>
      <c r="AH93" s="2269"/>
      <c r="AI93" s="1207"/>
      <c r="AJ93" s="2310"/>
      <c r="AK93" s="2311"/>
      <c r="AL93" s="2311"/>
      <c r="AM93" s="2311"/>
      <c r="AN93" s="2311"/>
      <c r="AO93" s="2311"/>
      <c r="AP93" s="2311"/>
      <c r="AQ93" s="2311"/>
      <c r="AR93" s="2311"/>
      <c r="AS93" s="2311"/>
      <c r="AT93" s="2311"/>
      <c r="AU93" s="2311"/>
      <c r="AV93" s="2311"/>
      <c r="AW93" s="2311"/>
      <c r="AX93" s="2311"/>
      <c r="AY93" s="2311"/>
      <c r="AZ93" s="2311"/>
      <c r="BA93" s="2311"/>
      <c r="BB93" s="2312"/>
      <c r="BC93" s="1207"/>
      <c r="BD93" s="1207"/>
      <c r="BE93" s="1213"/>
    </row>
    <row r="94" spans="1:57" ht="15.75" customHeight="1">
      <c r="A94" s="1207"/>
      <c r="B94" s="1207"/>
      <c r="C94" s="1207"/>
      <c r="D94" s="1207"/>
      <c r="E94" s="1207"/>
      <c r="F94" s="1207"/>
      <c r="G94" s="1207"/>
      <c r="H94" s="1207"/>
      <c r="I94" s="1207"/>
      <c r="J94" s="1207"/>
      <c r="K94" s="1207"/>
      <c r="L94" s="1207"/>
      <c r="M94" s="1207"/>
      <c r="N94" s="1207"/>
      <c r="O94" s="1207"/>
      <c r="P94" s="1207"/>
      <c r="Q94" s="1207"/>
      <c r="R94" s="1207"/>
      <c r="S94" s="1207"/>
      <c r="T94" s="1207"/>
      <c r="U94" s="1207" t="s">
        <v>251</v>
      </c>
      <c r="V94" s="1207"/>
      <c r="W94" s="1207"/>
      <c r="X94" s="1207"/>
      <c r="Y94" s="1207"/>
      <c r="Z94" s="1207"/>
      <c r="AA94" s="1207"/>
      <c r="AB94" s="1207"/>
      <c r="AC94" s="1207"/>
      <c r="AD94" s="1207"/>
      <c r="AE94" s="1207"/>
      <c r="AF94" s="1207"/>
      <c r="AG94" s="1207"/>
      <c r="AH94" s="1207"/>
      <c r="AI94" s="1207"/>
      <c r="AJ94" s="1207"/>
      <c r="AK94" s="1207"/>
      <c r="AL94" s="1207"/>
      <c r="AM94" s="1207"/>
      <c r="AN94" s="1207"/>
      <c r="AO94" s="1207"/>
      <c r="AP94" s="1207"/>
      <c r="AQ94" s="1207"/>
      <c r="AR94" s="1207"/>
      <c r="AS94" s="1207"/>
      <c r="AT94" s="1207"/>
      <c r="AU94" s="1207"/>
      <c r="AV94" s="1207"/>
      <c r="AW94" s="1207"/>
      <c r="AX94" s="1207"/>
      <c r="AY94" s="1207"/>
      <c r="AZ94" s="1207"/>
      <c r="BA94" s="1207"/>
      <c r="BB94" s="1207"/>
      <c r="BC94" s="1207"/>
      <c r="BD94" s="1207"/>
      <c r="BE94" s="1213"/>
    </row>
    <row r="95" spans="1:57" ht="15.75" customHeight="1" thickBot="1">
      <c r="A95" s="1207"/>
      <c r="B95" s="1217" t="s">
        <v>1902</v>
      </c>
      <c r="R95" s="1207"/>
      <c r="S95" s="1207"/>
      <c r="T95" s="1207"/>
      <c r="U95" s="1207"/>
      <c r="V95" s="1207"/>
      <c r="W95" s="1207"/>
      <c r="X95" s="1207"/>
      <c r="Y95" s="1207"/>
      <c r="Z95" s="1207"/>
      <c r="AA95" s="1207"/>
      <c r="AB95" s="1207"/>
      <c r="AC95" s="1207"/>
      <c r="AD95" s="1207"/>
      <c r="AE95" s="1207"/>
      <c r="AF95" s="1207"/>
      <c r="AG95" s="1207"/>
      <c r="AH95" s="1207"/>
      <c r="AI95" s="1207"/>
      <c r="AJ95" s="1207"/>
      <c r="AK95" s="1207"/>
      <c r="AL95" s="1207"/>
      <c r="AM95" s="1207"/>
      <c r="AN95" s="1207"/>
      <c r="AO95" s="1207"/>
      <c r="AP95" s="1207"/>
      <c r="AQ95" s="1207"/>
      <c r="AR95" s="1207"/>
      <c r="AS95" s="1207"/>
      <c r="AT95" s="1207"/>
      <c r="AU95" s="1207"/>
      <c r="AV95" s="1207"/>
      <c r="AW95" s="1207"/>
      <c r="AX95" s="1207"/>
      <c r="AY95" s="1207"/>
      <c r="AZ95" s="1207"/>
      <c r="BA95" s="1207"/>
      <c r="BB95" s="1207"/>
      <c r="BC95" s="1207"/>
      <c r="BD95" s="1207"/>
      <c r="BE95" s="1213"/>
    </row>
    <row r="96" spans="1:57" ht="15.75" customHeight="1" thickBot="1">
      <c r="A96" s="1207"/>
      <c r="B96" s="1207"/>
      <c r="C96" s="1207"/>
      <c r="D96" s="1207"/>
      <c r="E96" s="1207"/>
      <c r="F96" s="1207"/>
      <c r="G96" s="1207"/>
      <c r="H96" s="1207"/>
      <c r="I96" s="1207"/>
      <c r="J96" s="1207"/>
      <c r="K96" s="1207"/>
      <c r="L96" s="1207"/>
      <c r="M96" s="1207"/>
      <c r="N96" s="1207"/>
      <c r="O96" s="1207"/>
      <c r="P96" s="1223"/>
      <c r="Q96" s="1207"/>
      <c r="R96" s="1207"/>
      <c r="S96" s="1207"/>
      <c r="T96" s="1207"/>
      <c r="U96" s="1207"/>
      <c r="V96" s="1207"/>
      <c r="W96" s="1207"/>
      <c r="X96" s="2295" t="s">
        <v>2247</v>
      </c>
      <c r="Y96" s="2296"/>
      <c r="Z96" s="2296"/>
      <c r="AA96" s="2296"/>
      <c r="AB96" s="2296"/>
      <c r="AC96" s="2296"/>
      <c r="AD96" s="2296"/>
      <c r="AE96" s="2296"/>
      <c r="AF96" s="2296"/>
      <c r="AG96" s="2296"/>
      <c r="AH96" s="2296"/>
      <c r="AI96" s="2296"/>
      <c r="AJ96" s="2296"/>
      <c r="AK96" s="2296"/>
      <c r="AL96" s="2296"/>
      <c r="AM96" s="2296"/>
      <c r="AN96" s="2296"/>
      <c r="AO96" s="2296"/>
      <c r="AP96" s="2296"/>
      <c r="AQ96" s="2296"/>
      <c r="AR96" s="2296"/>
      <c r="AS96" s="2296"/>
      <c r="AT96" s="2296"/>
      <c r="AU96" s="2296"/>
      <c r="AV96" s="2296"/>
      <c r="AW96" s="2296"/>
      <c r="AX96" s="2296"/>
      <c r="AY96" s="2296"/>
      <c r="AZ96" s="2296"/>
      <c r="BA96" s="2296"/>
      <c r="BB96" s="2296"/>
      <c r="BC96" s="2296"/>
      <c r="BD96" s="2297"/>
      <c r="BE96" s="1213"/>
    </row>
    <row r="97" spans="1:57" ht="15.75" customHeight="1">
      <c r="A97" s="1207"/>
      <c r="B97" s="2301" t="s">
        <v>1753</v>
      </c>
      <c r="C97" s="2302"/>
      <c r="D97" s="2302"/>
      <c r="E97" s="2302"/>
      <c r="F97" s="2302"/>
      <c r="G97" s="2302"/>
      <c r="H97" s="2302"/>
      <c r="I97" s="2302"/>
      <c r="J97" s="2302"/>
      <c r="K97" s="2302"/>
      <c r="L97" s="2302"/>
      <c r="M97" s="2302"/>
      <c r="N97" s="2302"/>
      <c r="O97" s="2302"/>
      <c r="P97" s="2302"/>
      <c r="Q97" s="2302"/>
      <c r="R97" s="2302"/>
      <c r="S97" s="2302"/>
      <c r="T97" s="2302"/>
      <c r="U97" s="2303"/>
      <c r="V97" s="1207"/>
      <c r="W97" s="1207"/>
      <c r="X97" s="2298"/>
      <c r="Y97" s="2299"/>
      <c r="Z97" s="2299"/>
      <c r="AA97" s="2299"/>
      <c r="AB97" s="2299"/>
      <c r="AC97" s="2299"/>
      <c r="AD97" s="2299"/>
      <c r="AE97" s="2299"/>
      <c r="AF97" s="2299"/>
      <c r="AG97" s="2299"/>
      <c r="AH97" s="2299"/>
      <c r="AI97" s="2299"/>
      <c r="AJ97" s="2299"/>
      <c r="AK97" s="2299"/>
      <c r="AL97" s="2299"/>
      <c r="AM97" s="2299"/>
      <c r="AN97" s="2299"/>
      <c r="AO97" s="2299"/>
      <c r="AP97" s="2299"/>
      <c r="AQ97" s="2299"/>
      <c r="AR97" s="2299"/>
      <c r="AS97" s="2299"/>
      <c r="AT97" s="2299"/>
      <c r="AU97" s="2299"/>
      <c r="AV97" s="2299"/>
      <c r="AW97" s="2299"/>
      <c r="AX97" s="2299"/>
      <c r="AY97" s="2299"/>
      <c r="AZ97" s="2299"/>
      <c r="BA97" s="2299"/>
      <c r="BB97" s="2299"/>
      <c r="BC97" s="2299"/>
      <c r="BD97" s="2300"/>
      <c r="BE97" s="1213"/>
    </row>
    <row r="98" spans="1:57" ht="15.75" customHeight="1">
      <c r="A98" s="1207"/>
      <c r="B98" s="2244"/>
      <c r="C98" s="2245"/>
      <c r="D98" s="2245"/>
      <c r="E98" s="2245"/>
      <c r="F98" s="2245"/>
      <c r="G98" s="2245"/>
      <c r="H98" s="2245"/>
      <c r="I98" s="2304" t="s">
        <v>2248</v>
      </c>
      <c r="J98" s="2304"/>
      <c r="K98" s="2304"/>
      <c r="L98" s="2304"/>
      <c r="M98" s="2304"/>
      <c r="N98" s="2304"/>
      <c r="O98" s="2305" t="s">
        <v>2249</v>
      </c>
      <c r="P98" s="2305"/>
      <c r="Q98" s="2305"/>
      <c r="R98" s="2305"/>
      <c r="S98" s="2305"/>
      <c r="T98" s="2305"/>
      <c r="U98" s="2306"/>
      <c r="V98" s="1207"/>
      <c r="W98" s="1207"/>
      <c r="X98" s="2247" t="s">
        <v>2261</v>
      </c>
      <c r="Y98" s="2248"/>
      <c r="Z98" s="2248"/>
      <c r="AA98" s="2248"/>
      <c r="AB98" s="2248"/>
      <c r="AC98" s="2248"/>
      <c r="AD98" s="2248"/>
      <c r="AE98" s="2248"/>
      <c r="AF98" s="2248"/>
      <c r="AG98" s="2248"/>
      <c r="AH98" s="2248"/>
      <c r="AI98" s="2248"/>
      <c r="AJ98" s="2248"/>
      <c r="AK98" s="2248"/>
      <c r="AL98" s="2248"/>
      <c r="AM98" s="2248"/>
      <c r="AN98" s="2248"/>
      <c r="AO98" s="2248"/>
      <c r="AP98" s="2248"/>
      <c r="AQ98" s="2248"/>
      <c r="AR98" s="2248"/>
      <c r="AS98" s="2248"/>
      <c r="AT98" s="2248"/>
      <c r="AU98" s="2248"/>
      <c r="AV98" s="2248"/>
      <c r="AW98" s="2248"/>
      <c r="AX98" s="2248"/>
      <c r="AY98" s="2248"/>
      <c r="AZ98" s="2248"/>
      <c r="BA98" s="2248"/>
      <c r="BB98" s="2248"/>
      <c r="BC98" s="2248"/>
      <c r="BD98" s="2249"/>
      <c r="BE98" s="1213"/>
    </row>
    <row r="99" spans="1:57" ht="15.75" customHeight="1">
      <c r="A99" s="1207"/>
      <c r="B99" s="2272" t="s">
        <v>2250</v>
      </c>
      <c r="C99" s="2273"/>
      <c r="D99" s="2273"/>
      <c r="E99" s="2273"/>
      <c r="F99" s="2273"/>
      <c r="G99" s="2273"/>
      <c r="H99" s="2273"/>
      <c r="I99" s="2274">
        <v>0</v>
      </c>
      <c r="J99" s="2274"/>
      <c r="K99" s="2274"/>
      <c r="L99" s="2274"/>
      <c r="M99" s="2274"/>
      <c r="N99" s="2274"/>
      <c r="O99" s="2274">
        <v>0</v>
      </c>
      <c r="P99" s="2274"/>
      <c r="Q99" s="2274"/>
      <c r="R99" s="2274"/>
      <c r="S99" s="2274"/>
      <c r="T99" s="2274"/>
      <c r="U99" s="2275"/>
      <c r="V99" s="1207"/>
      <c r="W99" s="1207"/>
      <c r="X99" s="2247"/>
      <c r="Y99" s="2248"/>
      <c r="Z99" s="2248"/>
      <c r="AA99" s="2248"/>
      <c r="AB99" s="2248"/>
      <c r="AC99" s="2248"/>
      <c r="AD99" s="2248"/>
      <c r="AE99" s="2248"/>
      <c r="AF99" s="2248"/>
      <c r="AG99" s="2248"/>
      <c r="AH99" s="2248"/>
      <c r="AI99" s="2248"/>
      <c r="AJ99" s="2248"/>
      <c r="AK99" s="2248"/>
      <c r="AL99" s="2248"/>
      <c r="AM99" s="2248"/>
      <c r="AN99" s="2248"/>
      <c r="AO99" s="2248"/>
      <c r="AP99" s="2248"/>
      <c r="AQ99" s="2248"/>
      <c r="AR99" s="2248"/>
      <c r="AS99" s="2248"/>
      <c r="AT99" s="2248"/>
      <c r="AU99" s="2248"/>
      <c r="AV99" s="2248"/>
      <c r="AW99" s="2248"/>
      <c r="AX99" s="2248"/>
      <c r="AY99" s="2248"/>
      <c r="AZ99" s="2248"/>
      <c r="BA99" s="2248"/>
      <c r="BB99" s="2248"/>
      <c r="BC99" s="2248"/>
      <c r="BD99" s="2249"/>
      <c r="BE99" s="1213"/>
    </row>
    <row r="100" spans="1:57" ht="15.75" customHeight="1" thickBot="1">
      <c r="A100" s="1207"/>
      <c r="B100" s="2266" t="s">
        <v>2251</v>
      </c>
      <c r="C100" s="2267"/>
      <c r="D100" s="2267"/>
      <c r="E100" s="2267"/>
      <c r="F100" s="2267"/>
      <c r="G100" s="2267"/>
      <c r="H100" s="2267"/>
      <c r="I100" s="2268">
        <v>0</v>
      </c>
      <c r="J100" s="2268"/>
      <c r="K100" s="2268"/>
      <c r="L100" s="2268"/>
      <c r="M100" s="2268"/>
      <c r="N100" s="2268"/>
      <c r="O100" s="2290"/>
      <c r="P100" s="2290"/>
      <c r="Q100" s="2290"/>
      <c r="R100" s="2290"/>
      <c r="S100" s="2290"/>
      <c r="T100" s="2290"/>
      <c r="U100" s="2291"/>
      <c r="V100" s="1207"/>
      <c r="W100" s="1207"/>
      <c r="X100" s="2247"/>
      <c r="Y100" s="2248"/>
      <c r="Z100" s="2248"/>
      <c r="AA100" s="2248"/>
      <c r="AB100" s="2248"/>
      <c r="AC100" s="2248"/>
      <c r="AD100" s="2248"/>
      <c r="AE100" s="2248"/>
      <c r="AF100" s="2248"/>
      <c r="AG100" s="2248"/>
      <c r="AH100" s="2248"/>
      <c r="AI100" s="2248"/>
      <c r="AJ100" s="2248"/>
      <c r="AK100" s="2248"/>
      <c r="AL100" s="2248"/>
      <c r="AM100" s="2248"/>
      <c r="AN100" s="2248"/>
      <c r="AO100" s="2248"/>
      <c r="AP100" s="2248"/>
      <c r="AQ100" s="2248"/>
      <c r="AR100" s="2248"/>
      <c r="AS100" s="2248"/>
      <c r="AT100" s="2248"/>
      <c r="AU100" s="2248"/>
      <c r="AV100" s="2248"/>
      <c r="AW100" s="2248"/>
      <c r="AX100" s="2248"/>
      <c r="AY100" s="2248"/>
      <c r="AZ100" s="2248"/>
      <c r="BA100" s="2248"/>
      <c r="BB100" s="2248"/>
      <c r="BC100" s="2248"/>
      <c r="BD100" s="2249"/>
      <c r="BE100" s="1213"/>
    </row>
    <row r="101" spans="1:57" ht="15.75" customHeight="1">
      <c r="A101" s="1207"/>
      <c r="B101" s="1207"/>
      <c r="C101" s="1207"/>
      <c r="D101" s="1207"/>
      <c r="E101" s="1207"/>
      <c r="F101" s="1207"/>
      <c r="G101" s="1207"/>
      <c r="H101" s="1207"/>
      <c r="I101" s="1207"/>
      <c r="J101" s="1207"/>
      <c r="K101" s="1207"/>
      <c r="L101" s="1207"/>
      <c r="M101" s="1207"/>
      <c r="N101" s="1207"/>
      <c r="O101" s="1207"/>
      <c r="P101" s="1207"/>
      <c r="Q101" s="1207"/>
      <c r="R101" s="1207"/>
      <c r="S101" s="1207"/>
      <c r="T101" s="1207"/>
      <c r="U101" s="1207"/>
      <c r="V101" s="1207"/>
      <c r="W101" s="1207"/>
      <c r="X101" s="2247"/>
      <c r="Y101" s="2248"/>
      <c r="Z101" s="2248"/>
      <c r="AA101" s="2248"/>
      <c r="AB101" s="2248"/>
      <c r="AC101" s="2248"/>
      <c r="AD101" s="2248"/>
      <c r="AE101" s="2248"/>
      <c r="AF101" s="2248"/>
      <c r="AG101" s="2248"/>
      <c r="AH101" s="2248"/>
      <c r="AI101" s="2248"/>
      <c r="AJ101" s="2248"/>
      <c r="AK101" s="2248"/>
      <c r="AL101" s="2248"/>
      <c r="AM101" s="2248"/>
      <c r="AN101" s="2248"/>
      <c r="AO101" s="2248"/>
      <c r="AP101" s="2248"/>
      <c r="AQ101" s="2248"/>
      <c r="AR101" s="2248"/>
      <c r="AS101" s="2248"/>
      <c r="AT101" s="2248"/>
      <c r="AU101" s="2248"/>
      <c r="AV101" s="2248"/>
      <c r="AW101" s="2248"/>
      <c r="AX101" s="2248"/>
      <c r="AY101" s="2248"/>
      <c r="AZ101" s="2248"/>
      <c r="BA101" s="2248"/>
      <c r="BB101" s="2248"/>
      <c r="BC101" s="2248"/>
      <c r="BD101" s="2249"/>
      <c r="BE101" s="1213"/>
    </row>
    <row r="102" spans="1:57" ht="15.75" customHeight="1">
      <c r="A102" s="1207"/>
      <c r="B102" s="1221" t="s">
        <v>1903</v>
      </c>
      <c r="C102" s="1221"/>
      <c r="D102" s="1221"/>
      <c r="E102" s="1221"/>
      <c r="F102" s="1221"/>
      <c r="G102" s="1221"/>
      <c r="H102" s="1221"/>
      <c r="I102" s="1221"/>
      <c r="J102" s="1221"/>
      <c r="K102" s="1221"/>
      <c r="L102" s="1221"/>
      <c r="M102" s="1221"/>
      <c r="N102" s="1221"/>
      <c r="O102" s="1221"/>
      <c r="P102" s="1221"/>
      <c r="Q102" s="1214" t="s">
        <v>251</v>
      </c>
      <c r="R102" s="1214" t="s">
        <v>251</v>
      </c>
      <c r="S102" s="1207"/>
      <c r="T102" s="1207"/>
      <c r="U102" s="1207"/>
      <c r="V102" s="1207" t="s">
        <v>251</v>
      </c>
      <c r="W102" s="1207"/>
      <c r="X102" s="2247"/>
      <c r="Y102" s="2248"/>
      <c r="Z102" s="2248"/>
      <c r="AA102" s="2248"/>
      <c r="AB102" s="2248"/>
      <c r="AC102" s="2248"/>
      <c r="AD102" s="2248"/>
      <c r="AE102" s="2248"/>
      <c r="AF102" s="2248"/>
      <c r="AG102" s="2248"/>
      <c r="AH102" s="2248"/>
      <c r="AI102" s="2248"/>
      <c r="AJ102" s="2248"/>
      <c r="AK102" s="2248"/>
      <c r="AL102" s="2248"/>
      <c r="AM102" s="2248"/>
      <c r="AN102" s="2248"/>
      <c r="AO102" s="2248"/>
      <c r="AP102" s="2248"/>
      <c r="AQ102" s="2248"/>
      <c r="AR102" s="2248"/>
      <c r="AS102" s="2248"/>
      <c r="AT102" s="2248"/>
      <c r="AU102" s="2248"/>
      <c r="AV102" s="2248"/>
      <c r="AW102" s="2248"/>
      <c r="AX102" s="2248"/>
      <c r="AY102" s="2248"/>
      <c r="AZ102" s="2248"/>
      <c r="BA102" s="2248"/>
      <c r="BB102" s="2248"/>
      <c r="BC102" s="2248"/>
      <c r="BD102" s="2249"/>
      <c r="BE102" s="1213"/>
    </row>
    <row r="103" spans="1:57" ht="15.75" customHeight="1" thickBot="1">
      <c r="A103" s="1207"/>
      <c r="B103" s="1207"/>
      <c r="C103" s="1207"/>
      <c r="D103" s="1207"/>
      <c r="E103" s="1207"/>
      <c r="F103" s="1207"/>
      <c r="G103" s="1207"/>
      <c r="H103" s="1207"/>
      <c r="I103" s="1207"/>
      <c r="J103" s="1207"/>
      <c r="K103" s="1207"/>
      <c r="L103" s="1207"/>
      <c r="M103" s="1207"/>
      <c r="N103" s="1207"/>
      <c r="O103" s="1207"/>
      <c r="P103" s="1207"/>
      <c r="Q103" s="1207"/>
      <c r="R103" s="1207"/>
      <c r="S103" s="1207"/>
      <c r="T103" s="1207"/>
      <c r="U103" s="1207"/>
      <c r="V103" s="1207"/>
      <c r="W103" s="1207"/>
      <c r="X103" s="2247"/>
      <c r="Y103" s="2248"/>
      <c r="Z103" s="2248"/>
      <c r="AA103" s="2248"/>
      <c r="AB103" s="2248"/>
      <c r="AC103" s="2248"/>
      <c r="AD103" s="2248"/>
      <c r="AE103" s="2248"/>
      <c r="AF103" s="2248"/>
      <c r="AG103" s="2248"/>
      <c r="AH103" s="2248"/>
      <c r="AI103" s="2248"/>
      <c r="AJ103" s="2248"/>
      <c r="AK103" s="2248"/>
      <c r="AL103" s="2248"/>
      <c r="AM103" s="2248"/>
      <c r="AN103" s="2248"/>
      <c r="AO103" s="2248"/>
      <c r="AP103" s="2248"/>
      <c r="AQ103" s="2248"/>
      <c r="AR103" s="2248"/>
      <c r="AS103" s="2248"/>
      <c r="AT103" s="2248"/>
      <c r="AU103" s="2248"/>
      <c r="AV103" s="2248"/>
      <c r="AW103" s="2248"/>
      <c r="AX103" s="2248"/>
      <c r="AY103" s="2248"/>
      <c r="AZ103" s="2248"/>
      <c r="BA103" s="2248"/>
      <c r="BB103" s="2248"/>
      <c r="BC103" s="2248"/>
      <c r="BD103" s="2249"/>
      <c r="BE103" s="1213"/>
    </row>
    <row r="104" spans="1:57" ht="15.75" customHeight="1">
      <c r="A104" s="1207"/>
      <c r="B104" s="2292" t="s">
        <v>1904</v>
      </c>
      <c r="C104" s="2293"/>
      <c r="D104" s="2293"/>
      <c r="E104" s="2293"/>
      <c r="F104" s="2293"/>
      <c r="G104" s="2293"/>
      <c r="H104" s="2293"/>
      <c r="I104" s="2293"/>
      <c r="J104" s="2293"/>
      <c r="K104" s="2293"/>
      <c r="L104" s="2293"/>
      <c r="M104" s="2293"/>
      <c r="N104" s="2293"/>
      <c r="O104" s="2293"/>
      <c r="P104" s="2293"/>
      <c r="Q104" s="2293"/>
      <c r="R104" s="2293"/>
      <c r="S104" s="2293"/>
      <c r="T104" s="2293"/>
      <c r="U104" s="2294"/>
      <c r="V104" s="1207"/>
      <c r="W104" s="1207"/>
      <c r="X104" s="2247"/>
      <c r="Y104" s="2248"/>
      <c r="Z104" s="2248"/>
      <c r="AA104" s="2248"/>
      <c r="AB104" s="2248"/>
      <c r="AC104" s="2248"/>
      <c r="AD104" s="2248"/>
      <c r="AE104" s="2248"/>
      <c r="AF104" s="2248"/>
      <c r="AG104" s="2248"/>
      <c r="AH104" s="2248"/>
      <c r="AI104" s="2248"/>
      <c r="AJ104" s="2248"/>
      <c r="AK104" s="2248"/>
      <c r="AL104" s="2248"/>
      <c r="AM104" s="2248"/>
      <c r="AN104" s="2248"/>
      <c r="AO104" s="2248"/>
      <c r="AP104" s="2248"/>
      <c r="AQ104" s="2248"/>
      <c r="AR104" s="2248"/>
      <c r="AS104" s="2248"/>
      <c r="AT104" s="2248"/>
      <c r="AU104" s="2248"/>
      <c r="AV104" s="2248"/>
      <c r="AW104" s="2248"/>
      <c r="AX104" s="2248"/>
      <c r="AY104" s="2248"/>
      <c r="AZ104" s="2248"/>
      <c r="BA104" s="2248"/>
      <c r="BB104" s="2248"/>
      <c r="BC104" s="2248"/>
      <c r="BD104" s="2249"/>
      <c r="BE104" s="1213"/>
    </row>
    <row r="105" spans="1:57" ht="15.75" customHeight="1">
      <c r="A105" s="1207"/>
      <c r="B105" s="2244"/>
      <c r="C105" s="2245"/>
      <c r="D105" s="2245"/>
      <c r="E105" s="2245"/>
      <c r="F105" s="2245"/>
      <c r="G105" s="2245"/>
      <c r="H105" s="2245"/>
      <c r="I105" s="2276" t="s">
        <v>1897</v>
      </c>
      <c r="J105" s="2276"/>
      <c r="K105" s="2276"/>
      <c r="L105" s="2276"/>
      <c r="M105" s="2276"/>
      <c r="N105" s="2276"/>
      <c r="O105" s="2276"/>
      <c r="P105" s="2276" t="s">
        <v>2262</v>
      </c>
      <c r="Q105" s="2276"/>
      <c r="R105" s="2276"/>
      <c r="S105" s="2276"/>
      <c r="T105" s="2276"/>
      <c r="U105" s="2277"/>
      <c r="V105" s="1207"/>
      <c r="W105" s="1207"/>
      <c r="X105" s="2247"/>
      <c r="Y105" s="2248"/>
      <c r="Z105" s="2248"/>
      <c r="AA105" s="2248"/>
      <c r="AB105" s="2248"/>
      <c r="AC105" s="2248"/>
      <c r="AD105" s="2248"/>
      <c r="AE105" s="2248"/>
      <c r="AF105" s="2248"/>
      <c r="AG105" s="2248"/>
      <c r="AH105" s="2248"/>
      <c r="AI105" s="2248"/>
      <c r="AJ105" s="2248"/>
      <c r="AK105" s="2248"/>
      <c r="AL105" s="2248"/>
      <c r="AM105" s="2248"/>
      <c r="AN105" s="2248"/>
      <c r="AO105" s="2248"/>
      <c r="AP105" s="2248"/>
      <c r="AQ105" s="2248"/>
      <c r="AR105" s="2248"/>
      <c r="AS105" s="2248"/>
      <c r="AT105" s="2248"/>
      <c r="AU105" s="2248"/>
      <c r="AV105" s="2248"/>
      <c r="AW105" s="2248"/>
      <c r="AX105" s="2248"/>
      <c r="AY105" s="2248"/>
      <c r="AZ105" s="2248"/>
      <c r="BA105" s="2248"/>
      <c r="BB105" s="2248"/>
      <c r="BC105" s="2248"/>
      <c r="BD105" s="2249"/>
      <c r="BE105" s="1213"/>
    </row>
    <row r="106" spans="1:57" ht="15.75" customHeight="1">
      <c r="A106" s="1207"/>
      <c r="B106" s="2244"/>
      <c r="C106" s="2245"/>
      <c r="D106" s="2245"/>
      <c r="E106" s="2245"/>
      <c r="F106" s="2245"/>
      <c r="G106" s="2245"/>
      <c r="H106" s="2245"/>
      <c r="I106" s="2276"/>
      <c r="J106" s="2276"/>
      <c r="K106" s="2276"/>
      <c r="L106" s="2276"/>
      <c r="M106" s="2276"/>
      <c r="N106" s="2276"/>
      <c r="O106" s="2276"/>
      <c r="P106" s="2276"/>
      <c r="Q106" s="2276"/>
      <c r="R106" s="2276"/>
      <c r="S106" s="2276"/>
      <c r="T106" s="2276"/>
      <c r="U106" s="2277"/>
      <c r="V106" s="1207"/>
      <c r="W106" s="1207"/>
      <c r="X106" s="2247"/>
      <c r="Y106" s="2248"/>
      <c r="Z106" s="2248"/>
      <c r="AA106" s="2248"/>
      <c r="AB106" s="2248"/>
      <c r="AC106" s="2248"/>
      <c r="AD106" s="2248"/>
      <c r="AE106" s="2248"/>
      <c r="AF106" s="2248"/>
      <c r="AG106" s="2248"/>
      <c r="AH106" s="2248"/>
      <c r="AI106" s="2248"/>
      <c r="AJ106" s="2248"/>
      <c r="AK106" s="2248"/>
      <c r="AL106" s="2248"/>
      <c r="AM106" s="2248"/>
      <c r="AN106" s="2248"/>
      <c r="AO106" s="2248"/>
      <c r="AP106" s="2248"/>
      <c r="AQ106" s="2248"/>
      <c r="AR106" s="2248"/>
      <c r="AS106" s="2248"/>
      <c r="AT106" s="2248"/>
      <c r="AU106" s="2248"/>
      <c r="AV106" s="2248"/>
      <c r="AW106" s="2248"/>
      <c r="AX106" s="2248"/>
      <c r="AY106" s="2248"/>
      <c r="AZ106" s="2248"/>
      <c r="BA106" s="2248"/>
      <c r="BB106" s="2248"/>
      <c r="BC106" s="2248"/>
      <c r="BD106" s="2249"/>
      <c r="BE106" s="1213"/>
    </row>
    <row r="107" spans="1:57" ht="15.75" customHeight="1">
      <c r="A107" s="1207"/>
      <c r="B107" s="2272" t="s">
        <v>2250</v>
      </c>
      <c r="C107" s="2273"/>
      <c r="D107" s="2273"/>
      <c r="E107" s="2273"/>
      <c r="F107" s="2273"/>
      <c r="G107" s="2273"/>
      <c r="H107" s="2273"/>
      <c r="I107" s="2274">
        <v>0</v>
      </c>
      <c r="J107" s="2274"/>
      <c r="K107" s="2274"/>
      <c r="L107" s="2274"/>
      <c r="M107" s="2274"/>
      <c r="N107" s="2274"/>
      <c r="O107" s="2274"/>
      <c r="P107" s="2274">
        <v>0</v>
      </c>
      <c r="Q107" s="2274"/>
      <c r="R107" s="2274"/>
      <c r="S107" s="2274"/>
      <c r="T107" s="2274"/>
      <c r="U107" s="2275"/>
      <c r="V107" s="1207"/>
      <c r="W107" s="1207"/>
      <c r="X107" s="2247"/>
      <c r="Y107" s="2248"/>
      <c r="Z107" s="2248"/>
      <c r="AA107" s="2248"/>
      <c r="AB107" s="2248"/>
      <c r="AC107" s="2248"/>
      <c r="AD107" s="2248"/>
      <c r="AE107" s="2248"/>
      <c r="AF107" s="2248"/>
      <c r="AG107" s="2248"/>
      <c r="AH107" s="2248"/>
      <c r="AI107" s="2248"/>
      <c r="AJ107" s="2248"/>
      <c r="AK107" s="2248"/>
      <c r="AL107" s="2248"/>
      <c r="AM107" s="2248"/>
      <c r="AN107" s="2248"/>
      <c r="AO107" s="2248"/>
      <c r="AP107" s="2248"/>
      <c r="AQ107" s="2248"/>
      <c r="AR107" s="2248"/>
      <c r="AS107" s="2248"/>
      <c r="AT107" s="2248"/>
      <c r="AU107" s="2248"/>
      <c r="AV107" s="2248"/>
      <c r="AW107" s="2248"/>
      <c r="AX107" s="2248"/>
      <c r="AY107" s="2248"/>
      <c r="AZ107" s="2248"/>
      <c r="BA107" s="2248"/>
      <c r="BB107" s="2248"/>
      <c r="BC107" s="2248"/>
      <c r="BD107" s="2249"/>
      <c r="BE107" s="1213"/>
    </row>
    <row r="108" spans="1:57" ht="15.75" customHeight="1" thickBot="1">
      <c r="A108" s="1207"/>
      <c r="B108" s="2266" t="s">
        <v>2251</v>
      </c>
      <c r="C108" s="2267"/>
      <c r="D108" s="2267"/>
      <c r="E108" s="2267"/>
      <c r="F108" s="2267"/>
      <c r="G108" s="2267"/>
      <c r="H108" s="2267"/>
      <c r="I108" s="2268">
        <v>0</v>
      </c>
      <c r="J108" s="2268"/>
      <c r="K108" s="2268"/>
      <c r="L108" s="2268"/>
      <c r="M108" s="2268"/>
      <c r="N108" s="2268"/>
      <c r="O108" s="2268"/>
      <c r="P108" s="2268">
        <v>0</v>
      </c>
      <c r="Q108" s="2268"/>
      <c r="R108" s="2268"/>
      <c r="S108" s="2268"/>
      <c r="T108" s="2268"/>
      <c r="U108" s="2269"/>
      <c r="V108" s="1207"/>
      <c r="W108" s="1207"/>
      <c r="X108" s="2250"/>
      <c r="Y108" s="2251"/>
      <c r="Z108" s="2251"/>
      <c r="AA108" s="2251"/>
      <c r="AB108" s="2251"/>
      <c r="AC108" s="2251"/>
      <c r="AD108" s="2251"/>
      <c r="AE108" s="2251"/>
      <c r="AF108" s="2251"/>
      <c r="AG108" s="2251"/>
      <c r="AH108" s="2251"/>
      <c r="AI108" s="2251"/>
      <c r="AJ108" s="2251"/>
      <c r="AK108" s="2251"/>
      <c r="AL108" s="2251"/>
      <c r="AM108" s="2251"/>
      <c r="AN108" s="2251"/>
      <c r="AO108" s="2251"/>
      <c r="AP108" s="2251"/>
      <c r="AQ108" s="2251"/>
      <c r="AR108" s="2251"/>
      <c r="AS108" s="2251"/>
      <c r="AT108" s="2251"/>
      <c r="AU108" s="2251"/>
      <c r="AV108" s="2251"/>
      <c r="AW108" s="2251"/>
      <c r="AX108" s="2251"/>
      <c r="AY108" s="2251"/>
      <c r="AZ108" s="2251"/>
      <c r="BA108" s="2251"/>
      <c r="BB108" s="2251"/>
      <c r="BC108" s="2251"/>
      <c r="BD108" s="2252"/>
      <c r="BE108" s="1213"/>
    </row>
    <row r="109" spans="1:57" ht="15.75" customHeight="1" thickBot="1">
      <c r="A109" s="1207"/>
      <c r="B109" s="1207"/>
      <c r="C109" s="1207"/>
      <c r="D109" s="1207"/>
      <c r="E109" s="1207"/>
      <c r="F109" s="1207"/>
      <c r="G109" s="1207"/>
      <c r="H109" s="1207"/>
      <c r="I109" s="1207"/>
      <c r="J109" s="1207"/>
      <c r="K109" s="1207"/>
      <c r="L109" s="1207"/>
      <c r="M109" s="1207"/>
      <c r="N109" s="1207"/>
      <c r="O109" s="1207"/>
      <c r="P109" s="1207"/>
      <c r="Q109" s="1224"/>
      <c r="R109" s="1207"/>
      <c r="S109" s="1207"/>
      <c r="T109" s="1207"/>
      <c r="U109" s="1207"/>
      <c r="V109" s="1207"/>
      <c r="W109" s="1207"/>
      <c r="X109" s="1207"/>
      <c r="Y109" s="1207"/>
      <c r="Z109" s="1207"/>
      <c r="AA109" s="1207"/>
      <c r="AB109" s="1207"/>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13"/>
    </row>
    <row r="110" spans="1:57" ht="15.75" customHeight="1">
      <c r="A110" s="1207"/>
      <c r="B110" s="2241" t="s">
        <v>1905</v>
      </c>
      <c r="C110" s="2242"/>
      <c r="D110" s="2242"/>
      <c r="E110" s="2242"/>
      <c r="F110" s="2242"/>
      <c r="G110" s="2242"/>
      <c r="H110" s="2242"/>
      <c r="I110" s="2242"/>
      <c r="J110" s="2242"/>
      <c r="K110" s="2242"/>
      <c r="L110" s="2242"/>
      <c r="M110" s="2242"/>
      <c r="N110" s="2242"/>
      <c r="O110" s="2242"/>
      <c r="P110" s="2242"/>
      <c r="Q110" s="2242"/>
      <c r="R110" s="2242"/>
      <c r="S110" s="2242"/>
      <c r="T110" s="2242"/>
      <c r="U110" s="2242"/>
      <c r="V110" s="2242"/>
      <c r="W110" s="2242"/>
      <c r="X110" s="2242"/>
      <c r="Y110" s="2242"/>
      <c r="Z110" s="2242"/>
      <c r="AA110" s="2242"/>
      <c r="AB110" s="2242"/>
      <c r="AC110" s="2242"/>
      <c r="AD110" s="2242"/>
      <c r="AE110" s="2242"/>
      <c r="AF110" s="2242"/>
      <c r="AG110" s="2242"/>
      <c r="AH110" s="2278" t="s">
        <v>554</v>
      </c>
      <c r="AI110" s="2278"/>
      <c r="AJ110" s="2278"/>
      <c r="AK110" s="2278"/>
      <c r="AL110" s="2278"/>
      <c r="AM110" s="2278"/>
      <c r="AN110" s="2278"/>
      <c r="AO110" s="2278"/>
      <c r="AP110" s="2278"/>
      <c r="AQ110" s="2278"/>
      <c r="AR110" s="2278"/>
      <c r="AS110" s="2278"/>
      <c r="AT110" s="2278"/>
      <c r="AU110" s="2278"/>
      <c r="AV110" s="2278"/>
      <c r="AW110" s="2278"/>
      <c r="AX110" s="2279"/>
      <c r="AY110" s="1207"/>
      <c r="AZ110" s="1207"/>
      <c r="BA110" s="1207"/>
      <c r="BB110" s="1207"/>
      <c r="BC110" s="1207"/>
      <c r="BD110" s="1207"/>
      <c r="BE110" s="1213"/>
    </row>
    <row r="111" spans="1:57" ht="15.75" customHeight="1">
      <c r="A111" s="1207"/>
      <c r="B111" s="2280" t="s">
        <v>1906</v>
      </c>
      <c r="C111" s="2281"/>
      <c r="D111" s="2281"/>
      <c r="E111" s="2281"/>
      <c r="F111" s="2281"/>
      <c r="G111" s="2281"/>
      <c r="H111" s="2281"/>
      <c r="I111" s="2281"/>
      <c r="J111" s="2281"/>
      <c r="K111" s="2281"/>
      <c r="L111" s="2281"/>
      <c r="M111" s="2281"/>
      <c r="N111" s="2281"/>
      <c r="O111" s="2281"/>
      <c r="P111" s="2281"/>
      <c r="Q111" s="2281"/>
      <c r="R111" s="2282" t="s">
        <v>2264</v>
      </c>
      <c r="S111" s="2282"/>
      <c r="T111" s="2282"/>
      <c r="U111" s="2282"/>
      <c r="V111" s="2282"/>
      <c r="W111" s="2282"/>
      <c r="X111" s="2282"/>
      <c r="Y111" s="2282"/>
      <c r="Z111" s="2282"/>
      <c r="AA111" s="2282"/>
      <c r="AB111" s="2282"/>
      <c r="AC111" s="2282"/>
      <c r="AD111" s="2282"/>
      <c r="AE111" s="2282"/>
      <c r="AF111" s="2282"/>
      <c r="AG111" s="2282"/>
      <c r="AH111" s="2282"/>
      <c r="AI111" s="2282"/>
      <c r="AJ111" s="2282"/>
      <c r="AK111" s="2282"/>
      <c r="AL111" s="2282"/>
      <c r="AM111" s="2282"/>
      <c r="AN111" s="2282"/>
      <c r="AO111" s="2282"/>
      <c r="AP111" s="2282"/>
      <c r="AQ111" s="2282"/>
      <c r="AR111" s="2282"/>
      <c r="AS111" s="2282"/>
      <c r="AT111" s="2282"/>
      <c r="AU111" s="2282"/>
      <c r="AV111" s="2282"/>
      <c r="AW111" s="2282"/>
      <c r="AX111" s="2283"/>
      <c r="AY111" s="1207"/>
      <c r="AZ111" s="1207"/>
      <c r="BA111" s="1207"/>
      <c r="BB111" s="1207"/>
      <c r="BC111" s="1207" t="s">
        <v>251</v>
      </c>
      <c r="BD111" s="1207"/>
      <c r="BE111" s="1213"/>
    </row>
    <row r="112" spans="1:57" ht="15.75" customHeight="1">
      <c r="A112" s="1207"/>
      <c r="B112" s="2284" t="s">
        <v>2265</v>
      </c>
      <c r="C112" s="2285"/>
      <c r="D112" s="2285"/>
      <c r="E112" s="2285"/>
      <c r="F112" s="2285"/>
      <c r="G112" s="2285"/>
      <c r="H112" s="2285"/>
      <c r="I112" s="2285"/>
      <c r="J112" s="2285"/>
      <c r="K112" s="2285"/>
      <c r="L112" s="2285"/>
      <c r="M112" s="2285"/>
      <c r="N112" s="2285"/>
      <c r="O112" s="2285"/>
      <c r="P112" s="2285"/>
      <c r="Q112" s="2285"/>
      <c r="R112" s="2285"/>
      <c r="S112" s="2285"/>
      <c r="T112" s="2285"/>
      <c r="U112" s="2285"/>
      <c r="V112" s="2285"/>
      <c r="W112" s="2285"/>
      <c r="X112" s="2285"/>
      <c r="Y112" s="2285"/>
      <c r="Z112" s="2285"/>
      <c r="AA112" s="2285"/>
      <c r="AB112" s="2285"/>
      <c r="AC112" s="2285"/>
      <c r="AD112" s="2285"/>
      <c r="AE112" s="2285"/>
      <c r="AF112" s="2285"/>
      <c r="AG112" s="2285"/>
      <c r="AH112" s="2285"/>
      <c r="AI112" s="2285"/>
      <c r="AJ112" s="2285"/>
      <c r="AK112" s="2285"/>
      <c r="AL112" s="2285"/>
      <c r="AM112" s="2285"/>
      <c r="AN112" s="2285"/>
      <c r="AO112" s="2285"/>
      <c r="AP112" s="2285"/>
      <c r="AQ112" s="2285"/>
      <c r="AR112" s="2285"/>
      <c r="AS112" s="2285"/>
      <c r="AT112" s="2285"/>
      <c r="AU112" s="2285"/>
      <c r="AV112" s="2285"/>
      <c r="AW112" s="2285"/>
      <c r="AX112" s="2286"/>
      <c r="AY112" s="1207"/>
      <c r="AZ112" s="1207"/>
      <c r="BA112" s="1207"/>
      <c r="BB112" s="1207"/>
      <c r="BC112" s="1207"/>
      <c r="BD112" s="1207"/>
      <c r="BE112" s="1213"/>
    </row>
    <row r="113" spans="1:57" ht="15.75" customHeight="1">
      <c r="A113" s="1207"/>
      <c r="B113" s="2284"/>
      <c r="C113" s="2285"/>
      <c r="D113" s="2285"/>
      <c r="E113" s="2285"/>
      <c r="F113" s="2285"/>
      <c r="G113" s="2285"/>
      <c r="H113" s="2285"/>
      <c r="I113" s="2285"/>
      <c r="J113" s="2285"/>
      <c r="K113" s="2285"/>
      <c r="L113" s="2285"/>
      <c r="M113" s="2285"/>
      <c r="N113" s="2285"/>
      <c r="O113" s="2285"/>
      <c r="P113" s="2285"/>
      <c r="Q113" s="2285"/>
      <c r="R113" s="2285"/>
      <c r="S113" s="2285"/>
      <c r="T113" s="2285"/>
      <c r="U113" s="2285"/>
      <c r="V113" s="2285"/>
      <c r="W113" s="2285"/>
      <c r="X113" s="2285"/>
      <c r="Y113" s="2285"/>
      <c r="Z113" s="2285"/>
      <c r="AA113" s="2285"/>
      <c r="AB113" s="2285"/>
      <c r="AC113" s="2285"/>
      <c r="AD113" s="2285"/>
      <c r="AE113" s="2285"/>
      <c r="AF113" s="2285"/>
      <c r="AG113" s="2285"/>
      <c r="AH113" s="2285"/>
      <c r="AI113" s="2285"/>
      <c r="AJ113" s="2285"/>
      <c r="AK113" s="2285"/>
      <c r="AL113" s="2285"/>
      <c r="AM113" s="2285"/>
      <c r="AN113" s="2285"/>
      <c r="AO113" s="2285"/>
      <c r="AP113" s="2285"/>
      <c r="AQ113" s="2285"/>
      <c r="AR113" s="2285"/>
      <c r="AS113" s="2285"/>
      <c r="AT113" s="2285"/>
      <c r="AU113" s="2285"/>
      <c r="AV113" s="2285"/>
      <c r="AW113" s="2285"/>
      <c r="AX113" s="2286"/>
      <c r="AY113" s="1207"/>
      <c r="AZ113" s="1207"/>
      <c r="BA113" s="1207"/>
      <c r="BB113" s="1207"/>
      <c r="BC113" s="1207"/>
      <c r="BD113" s="1207"/>
      <c r="BE113" s="1213"/>
    </row>
    <row r="114" spans="1:57" ht="15.75" customHeight="1">
      <c r="A114" s="1207"/>
      <c r="B114" s="2284"/>
      <c r="C114" s="2285"/>
      <c r="D114" s="2285"/>
      <c r="E114" s="2285"/>
      <c r="F114" s="2285"/>
      <c r="G114" s="2285"/>
      <c r="H114" s="2285"/>
      <c r="I114" s="2285"/>
      <c r="J114" s="2285"/>
      <c r="K114" s="2285"/>
      <c r="L114" s="2285"/>
      <c r="M114" s="2285"/>
      <c r="N114" s="2285"/>
      <c r="O114" s="2285"/>
      <c r="P114" s="2285"/>
      <c r="Q114" s="2285"/>
      <c r="R114" s="2285"/>
      <c r="S114" s="2285"/>
      <c r="T114" s="2285"/>
      <c r="U114" s="2285"/>
      <c r="V114" s="2285"/>
      <c r="W114" s="2285"/>
      <c r="X114" s="2285"/>
      <c r="Y114" s="2285"/>
      <c r="Z114" s="2285"/>
      <c r="AA114" s="2285"/>
      <c r="AB114" s="2285"/>
      <c r="AC114" s="2285"/>
      <c r="AD114" s="2285"/>
      <c r="AE114" s="2285"/>
      <c r="AF114" s="2285"/>
      <c r="AG114" s="2285"/>
      <c r="AH114" s="2285"/>
      <c r="AI114" s="2285"/>
      <c r="AJ114" s="2285"/>
      <c r="AK114" s="2285"/>
      <c r="AL114" s="2285"/>
      <c r="AM114" s="2285"/>
      <c r="AN114" s="2285"/>
      <c r="AO114" s="2285"/>
      <c r="AP114" s="2285"/>
      <c r="AQ114" s="2285"/>
      <c r="AR114" s="2285"/>
      <c r="AS114" s="2285"/>
      <c r="AT114" s="2285"/>
      <c r="AU114" s="2285"/>
      <c r="AV114" s="2285"/>
      <c r="AW114" s="2285"/>
      <c r="AX114" s="2286"/>
      <c r="AY114" s="1207"/>
      <c r="AZ114" s="1207"/>
      <c r="BA114" s="1207"/>
      <c r="BB114" s="1207"/>
      <c r="BC114" s="1207"/>
      <c r="BD114" s="1207"/>
      <c r="BE114" s="1213"/>
    </row>
    <row r="115" spans="1:57" ht="15.75" customHeight="1">
      <c r="A115" s="1207"/>
      <c r="B115" s="2284"/>
      <c r="C115" s="2285"/>
      <c r="D115" s="2285"/>
      <c r="E115" s="2285"/>
      <c r="F115" s="2285"/>
      <c r="G115" s="2285"/>
      <c r="H115" s="2285"/>
      <c r="I115" s="2285"/>
      <c r="J115" s="2285"/>
      <c r="K115" s="2285"/>
      <c r="L115" s="2285"/>
      <c r="M115" s="2285"/>
      <c r="N115" s="2285"/>
      <c r="O115" s="2285"/>
      <c r="P115" s="2285"/>
      <c r="Q115" s="2285"/>
      <c r="R115" s="2285"/>
      <c r="S115" s="2285"/>
      <c r="T115" s="2285"/>
      <c r="U115" s="2285"/>
      <c r="V115" s="2285"/>
      <c r="W115" s="2285"/>
      <c r="X115" s="2285"/>
      <c r="Y115" s="2285"/>
      <c r="Z115" s="2285"/>
      <c r="AA115" s="2285"/>
      <c r="AB115" s="2285"/>
      <c r="AC115" s="2285"/>
      <c r="AD115" s="2285"/>
      <c r="AE115" s="2285"/>
      <c r="AF115" s="2285"/>
      <c r="AG115" s="2285"/>
      <c r="AH115" s="2285"/>
      <c r="AI115" s="2285"/>
      <c r="AJ115" s="2285"/>
      <c r="AK115" s="2285"/>
      <c r="AL115" s="2285"/>
      <c r="AM115" s="2285"/>
      <c r="AN115" s="2285"/>
      <c r="AO115" s="2285"/>
      <c r="AP115" s="2285"/>
      <c r="AQ115" s="2285"/>
      <c r="AR115" s="2285"/>
      <c r="AS115" s="2285"/>
      <c r="AT115" s="2285"/>
      <c r="AU115" s="2285"/>
      <c r="AV115" s="2285"/>
      <c r="AW115" s="2285"/>
      <c r="AX115" s="2286"/>
      <c r="AY115" s="1207"/>
      <c r="AZ115" s="1207"/>
      <c r="BA115" s="1207"/>
      <c r="BB115" s="1207"/>
      <c r="BC115" s="1207"/>
      <c r="BD115" s="1207"/>
      <c r="BE115" s="1213"/>
    </row>
    <row r="116" spans="1:57" ht="15.75" customHeight="1">
      <c r="A116" s="1207"/>
      <c r="B116" s="2284"/>
      <c r="C116" s="2285"/>
      <c r="D116" s="2285"/>
      <c r="E116" s="2285"/>
      <c r="F116" s="2285"/>
      <c r="G116" s="2285"/>
      <c r="H116" s="2285"/>
      <c r="I116" s="2285"/>
      <c r="J116" s="2285"/>
      <c r="K116" s="2285"/>
      <c r="L116" s="2285"/>
      <c r="M116" s="2285"/>
      <c r="N116" s="2285"/>
      <c r="O116" s="2285"/>
      <c r="P116" s="2285"/>
      <c r="Q116" s="2285"/>
      <c r="R116" s="2285"/>
      <c r="S116" s="2285"/>
      <c r="T116" s="2285"/>
      <c r="U116" s="2285"/>
      <c r="V116" s="2285"/>
      <c r="W116" s="2285"/>
      <c r="X116" s="2285"/>
      <c r="Y116" s="2285"/>
      <c r="Z116" s="2285"/>
      <c r="AA116" s="2285"/>
      <c r="AB116" s="2285"/>
      <c r="AC116" s="2285"/>
      <c r="AD116" s="2285"/>
      <c r="AE116" s="2285"/>
      <c r="AF116" s="2285"/>
      <c r="AG116" s="2285"/>
      <c r="AH116" s="2285"/>
      <c r="AI116" s="2285"/>
      <c r="AJ116" s="2285"/>
      <c r="AK116" s="2285"/>
      <c r="AL116" s="2285"/>
      <c r="AM116" s="2285"/>
      <c r="AN116" s="2285"/>
      <c r="AO116" s="2285"/>
      <c r="AP116" s="2285"/>
      <c r="AQ116" s="2285"/>
      <c r="AR116" s="2285"/>
      <c r="AS116" s="2285"/>
      <c r="AT116" s="2285"/>
      <c r="AU116" s="2285"/>
      <c r="AV116" s="2285"/>
      <c r="AW116" s="2285"/>
      <c r="AX116" s="2286"/>
      <c r="AY116" s="1207"/>
      <c r="AZ116" s="1207"/>
      <c r="BA116" s="1207"/>
      <c r="BB116" s="1207"/>
      <c r="BC116" s="1207"/>
      <c r="BD116" s="1207"/>
      <c r="BE116" s="1213"/>
    </row>
    <row r="117" spans="1:57" ht="15.75" customHeight="1">
      <c r="A117" s="1207"/>
      <c r="B117" s="2284"/>
      <c r="C117" s="2285"/>
      <c r="D117" s="2285"/>
      <c r="E117" s="2285"/>
      <c r="F117" s="2285"/>
      <c r="G117" s="2285"/>
      <c r="H117" s="2285"/>
      <c r="I117" s="2285"/>
      <c r="J117" s="2285"/>
      <c r="K117" s="2285"/>
      <c r="L117" s="2285"/>
      <c r="M117" s="2285"/>
      <c r="N117" s="2285"/>
      <c r="O117" s="2285"/>
      <c r="P117" s="2285"/>
      <c r="Q117" s="2285"/>
      <c r="R117" s="2285"/>
      <c r="S117" s="2285"/>
      <c r="T117" s="2285"/>
      <c r="U117" s="2285"/>
      <c r="V117" s="2285"/>
      <c r="W117" s="2285"/>
      <c r="X117" s="2285"/>
      <c r="Y117" s="2285"/>
      <c r="Z117" s="2285"/>
      <c r="AA117" s="2285"/>
      <c r="AB117" s="2285"/>
      <c r="AC117" s="2285"/>
      <c r="AD117" s="2285"/>
      <c r="AE117" s="2285"/>
      <c r="AF117" s="2285"/>
      <c r="AG117" s="2285"/>
      <c r="AH117" s="2285"/>
      <c r="AI117" s="2285"/>
      <c r="AJ117" s="2285"/>
      <c r="AK117" s="2285"/>
      <c r="AL117" s="2285"/>
      <c r="AM117" s="2285"/>
      <c r="AN117" s="2285"/>
      <c r="AO117" s="2285"/>
      <c r="AP117" s="2285"/>
      <c r="AQ117" s="2285"/>
      <c r="AR117" s="2285"/>
      <c r="AS117" s="2285"/>
      <c r="AT117" s="2285"/>
      <c r="AU117" s="2285"/>
      <c r="AV117" s="2285"/>
      <c r="AW117" s="2285"/>
      <c r="AX117" s="2286"/>
      <c r="AY117" s="1207"/>
      <c r="AZ117" s="1207"/>
      <c r="BA117" s="1207"/>
      <c r="BB117" s="1207"/>
      <c r="BC117" s="1207"/>
      <c r="BD117" s="1207"/>
      <c r="BE117" s="1213"/>
    </row>
    <row r="118" spans="1:57" ht="15.75" customHeight="1">
      <c r="A118" s="1207"/>
      <c r="B118" s="2284"/>
      <c r="C118" s="2285"/>
      <c r="D118" s="2285"/>
      <c r="E118" s="2285"/>
      <c r="F118" s="2285"/>
      <c r="G118" s="2285"/>
      <c r="H118" s="2285"/>
      <c r="I118" s="2285"/>
      <c r="J118" s="2285"/>
      <c r="K118" s="2285"/>
      <c r="L118" s="2285"/>
      <c r="M118" s="2285"/>
      <c r="N118" s="2285"/>
      <c r="O118" s="2285"/>
      <c r="P118" s="2285"/>
      <c r="Q118" s="2285"/>
      <c r="R118" s="2285"/>
      <c r="S118" s="2285"/>
      <c r="T118" s="2285"/>
      <c r="U118" s="2285"/>
      <c r="V118" s="2285"/>
      <c r="W118" s="2285"/>
      <c r="X118" s="2285"/>
      <c r="Y118" s="2285"/>
      <c r="Z118" s="2285"/>
      <c r="AA118" s="2285"/>
      <c r="AB118" s="2285"/>
      <c r="AC118" s="2285"/>
      <c r="AD118" s="2285"/>
      <c r="AE118" s="2285"/>
      <c r="AF118" s="2285"/>
      <c r="AG118" s="2285"/>
      <c r="AH118" s="2285"/>
      <c r="AI118" s="2285"/>
      <c r="AJ118" s="2285"/>
      <c r="AK118" s="2285"/>
      <c r="AL118" s="2285"/>
      <c r="AM118" s="2285"/>
      <c r="AN118" s="2285"/>
      <c r="AO118" s="2285"/>
      <c r="AP118" s="2285"/>
      <c r="AQ118" s="2285"/>
      <c r="AR118" s="2285"/>
      <c r="AS118" s="2285"/>
      <c r="AT118" s="2285"/>
      <c r="AU118" s="2285"/>
      <c r="AV118" s="2285"/>
      <c r="AW118" s="2285"/>
      <c r="AX118" s="2286"/>
      <c r="AY118" s="1207"/>
      <c r="AZ118" s="1207"/>
      <c r="BA118" s="1207"/>
      <c r="BB118" s="1207"/>
      <c r="BC118" s="1207"/>
      <c r="BD118" s="1207"/>
      <c r="BE118" s="1213"/>
    </row>
    <row r="119" spans="1:57" ht="15.75" customHeight="1">
      <c r="A119" s="1207"/>
      <c r="B119" s="2284"/>
      <c r="C119" s="2285"/>
      <c r="D119" s="2285"/>
      <c r="E119" s="2285"/>
      <c r="F119" s="2285"/>
      <c r="G119" s="2285"/>
      <c r="H119" s="2285"/>
      <c r="I119" s="2285"/>
      <c r="J119" s="2285"/>
      <c r="K119" s="2285"/>
      <c r="L119" s="2285"/>
      <c r="M119" s="2285"/>
      <c r="N119" s="2285"/>
      <c r="O119" s="2285"/>
      <c r="P119" s="2285"/>
      <c r="Q119" s="2285"/>
      <c r="R119" s="2285"/>
      <c r="S119" s="2285"/>
      <c r="T119" s="2285"/>
      <c r="U119" s="2285"/>
      <c r="V119" s="2285"/>
      <c r="W119" s="2285"/>
      <c r="X119" s="2285"/>
      <c r="Y119" s="2285"/>
      <c r="Z119" s="2285"/>
      <c r="AA119" s="2285"/>
      <c r="AB119" s="2285"/>
      <c r="AC119" s="2285"/>
      <c r="AD119" s="2285"/>
      <c r="AE119" s="2285"/>
      <c r="AF119" s="2285"/>
      <c r="AG119" s="2285"/>
      <c r="AH119" s="2285"/>
      <c r="AI119" s="2285"/>
      <c r="AJ119" s="2285"/>
      <c r="AK119" s="2285"/>
      <c r="AL119" s="2285"/>
      <c r="AM119" s="2285"/>
      <c r="AN119" s="2285"/>
      <c r="AO119" s="2285"/>
      <c r="AP119" s="2285"/>
      <c r="AQ119" s="2285"/>
      <c r="AR119" s="2285"/>
      <c r="AS119" s="2285"/>
      <c r="AT119" s="2285"/>
      <c r="AU119" s="2285"/>
      <c r="AV119" s="2285"/>
      <c r="AW119" s="2285"/>
      <c r="AX119" s="2286"/>
      <c r="AY119" s="1207"/>
      <c r="AZ119" s="1207"/>
      <c r="BA119" s="1207"/>
      <c r="BB119" s="1207"/>
      <c r="BC119" s="1207"/>
      <c r="BD119" s="1207"/>
      <c r="BE119" s="1213"/>
    </row>
    <row r="120" spans="1:57" ht="15.75" customHeight="1">
      <c r="A120" s="1207"/>
      <c r="B120" s="2284"/>
      <c r="C120" s="2285"/>
      <c r="D120" s="2285"/>
      <c r="E120" s="2285"/>
      <c r="F120" s="2285"/>
      <c r="G120" s="2285"/>
      <c r="H120" s="2285"/>
      <c r="I120" s="2285"/>
      <c r="J120" s="2285"/>
      <c r="K120" s="2285"/>
      <c r="L120" s="2285"/>
      <c r="M120" s="2285"/>
      <c r="N120" s="2285"/>
      <c r="O120" s="2285"/>
      <c r="P120" s="2285"/>
      <c r="Q120" s="2285"/>
      <c r="R120" s="2285"/>
      <c r="S120" s="2285"/>
      <c r="T120" s="2285"/>
      <c r="U120" s="2285"/>
      <c r="V120" s="2285"/>
      <c r="W120" s="2285"/>
      <c r="X120" s="2285"/>
      <c r="Y120" s="2285"/>
      <c r="Z120" s="2285"/>
      <c r="AA120" s="2285"/>
      <c r="AB120" s="2285"/>
      <c r="AC120" s="2285"/>
      <c r="AD120" s="2285"/>
      <c r="AE120" s="2285"/>
      <c r="AF120" s="2285"/>
      <c r="AG120" s="2285"/>
      <c r="AH120" s="2285"/>
      <c r="AI120" s="2285"/>
      <c r="AJ120" s="2285"/>
      <c r="AK120" s="2285"/>
      <c r="AL120" s="2285"/>
      <c r="AM120" s="2285"/>
      <c r="AN120" s="2285"/>
      <c r="AO120" s="2285"/>
      <c r="AP120" s="2285"/>
      <c r="AQ120" s="2285"/>
      <c r="AR120" s="2285"/>
      <c r="AS120" s="2285"/>
      <c r="AT120" s="2285"/>
      <c r="AU120" s="2285"/>
      <c r="AV120" s="2285"/>
      <c r="AW120" s="2285"/>
      <c r="AX120" s="2286"/>
      <c r="AY120" s="1207"/>
      <c r="AZ120" s="1207"/>
      <c r="BA120" s="1207"/>
      <c r="BB120" s="1207"/>
      <c r="BC120" s="1207"/>
      <c r="BD120" s="1207"/>
      <c r="BE120" s="1213"/>
    </row>
    <row r="121" spans="1:57" ht="15.75" customHeight="1" thickBot="1">
      <c r="A121" s="1207"/>
      <c r="B121" s="2287"/>
      <c r="C121" s="2288"/>
      <c r="D121" s="2288"/>
      <c r="E121" s="2288"/>
      <c r="F121" s="2288"/>
      <c r="G121" s="2288"/>
      <c r="H121" s="2288"/>
      <c r="I121" s="2288"/>
      <c r="J121" s="2288"/>
      <c r="K121" s="2288"/>
      <c r="L121" s="2288"/>
      <c r="M121" s="2288"/>
      <c r="N121" s="2288"/>
      <c r="O121" s="2288"/>
      <c r="P121" s="2288"/>
      <c r="Q121" s="2288"/>
      <c r="R121" s="2288"/>
      <c r="S121" s="2288"/>
      <c r="T121" s="2288"/>
      <c r="U121" s="2288"/>
      <c r="V121" s="2288"/>
      <c r="W121" s="2288"/>
      <c r="X121" s="2288"/>
      <c r="Y121" s="2288"/>
      <c r="Z121" s="2288"/>
      <c r="AA121" s="2288"/>
      <c r="AB121" s="2288"/>
      <c r="AC121" s="2288"/>
      <c r="AD121" s="2288"/>
      <c r="AE121" s="2288"/>
      <c r="AF121" s="2288"/>
      <c r="AG121" s="2288"/>
      <c r="AH121" s="2288"/>
      <c r="AI121" s="2288"/>
      <c r="AJ121" s="2288"/>
      <c r="AK121" s="2288"/>
      <c r="AL121" s="2288"/>
      <c r="AM121" s="2288"/>
      <c r="AN121" s="2288"/>
      <c r="AO121" s="2288"/>
      <c r="AP121" s="2288"/>
      <c r="AQ121" s="2288"/>
      <c r="AR121" s="2288"/>
      <c r="AS121" s="2288"/>
      <c r="AT121" s="2288"/>
      <c r="AU121" s="2288"/>
      <c r="AV121" s="2288"/>
      <c r="AW121" s="2288"/>
      <c r="AX121" s="2289"/>
      <c r="AY121" s="1207"/>
      <c r="AZ121" s="1207"/>
      <c r="BA121" s="1207"/>
      <c r="BB121" s="1207"/>
      <c r="BC121" s="1207"/>
      <c r="BD121" s="1207"/>
      <c r="BE121" s="1213"/>
    </row>
    <row r="122" spans="1:57" ht="15.75" customHeight="1">
      <c r="A122" s="1207"/>
      <c r="B122" s="1207"/>
      <c r="C122" s="1207"/>
      <c r="D122" s="1207"/>
      <c r="E122" s="1207"/>
      <c r="F122" s="1207"/>
      <c r="G122" s="1207"/>
      <c r="H122" s="1207"/>
      <c r="I122" s="1207"/>
      <c r="J122" s="1207"/>
      <c r="K122" s="1207"/>
      <c r="L122" s="1207"/>
      <c r="M122" s="1207"/>
      <c r="N122" s="1207"/>
      <c r="O122" s="1207"/>
      <c r="P122" s="1207"/>
      <c r="Q122" s="1207"/>
      <c r="R122" s="1207"/>
      <c r="S122" s="1207"/>
      <c r="T122" s="1207"/>
      <c r="U122" s="1207"/>
      <c r="V122" s="1207"/>
      <c r="W122" s="1207"/>
      <c r="X122" s="1207"/>
      <c r="Y122" s="1207"/>
      <c r="Z122" s="1207"/>
      <c r="AA122" s="1207"/>
      <c r="AB122" s="1207"/>
      <c r="AC122" s="1207"/>
      <c r="AD122" s="1207"/>
      <c r="AE122" s="1207"/>
      <c r="AF122" s="1207"/>
      <c r="AG122" s="1207"/>
      <c r="AH122" s="1207"/>
      <c r="AI122" s="1207"/>
      <c r="AJ122" s="1207"/>
      <c r="AK122" s="1207"/>
      <c r="AL122" s="1207"/>
      <c r="AM122" s="1207"/>
      <c r="AN122" s="1207"/>
      <c r="AO122" s="1207"/>
      <c r="AP122" s="1207"/>
      <c r="AQ122" s="1207"/>
      <c r="AR122" s="1207"/>
      <c r="AS122" s="1207"/>
      <c r="AT122" s="1207"/>
      <c r="AU122" s="1207"/>
      <c r="AV122" s="1207"/>
      <c r="AW122" s="1207"/>
      <c r="AX122" s="1207"/>
      <c r="AY122" s="1207"/>
      <c r="AZ122" s="1207"/>
      <c r="BA122" s="1207"/>
      <c r="BB122" s="1207"/>
      <c r="BC122" s="1207"/>
      <c r="BD122" s="1207"/>
      <c r="BE122" s="1213"/>
    </row>
    <row r="123" spans="1:57" ht="15.75" customHeight="1">
      <c r="A123" s="1207"/>
      <c r="B123" s="1217" t="s">
        <v>1907</v>
      </c>
      <c r="C123" s="1217"/>
      <c r="D123" s="1217"/>
      <c r="E123" s="1217"/>
      <c r="F123" s="1217"/>
      <c r="G123" s="1217"/>
      <c r="H123" s="1217"/>
      <c r="I123" s="1217"/>
      <c r="J123" s="1217"/>
      <c r="K123" s="1217"/>
      <c r="L123" s="1217"/>
      <c r="M123" s="1217"/>
      <c r="N123" s="1214"/>
      <c r="O123" s="1214"/>
      <c r="P123" s="1207"/>
      <c r="Q123" s="1207"/>
      <c r="R123" s="1207"/>
      <c r="S123" s="1207"/>
      <c r="T123" s="1207"/>
      <c r="U123" s="1207" t="s">
        <v>251</v>
      </c>
      <c r="V123" s="1207"/>
      <c r="W123" s="1207"/>
      <c r="X123" s="1221" t="s">
        <v>2266</v>
      </c>
      <c r="Y123" s="1221"/>
      <c r="Z123" s="1221"/>
      <c r="AA123" s="1221"/>
      <c r="AB123" s="1221"/>
      <c r="AC123" s="1221"/>
      <c r="AD123" s="1221"/>
      <c r="AE123" s="1221"/>
      <c r="AF123" s="1221"/>
      <c r="AG123" s="1221"/>
      <c r="AH123" s="1221"/>
      <c r="AI123" s="1221"/>
      <c r="AJ123" s="1221"/>
      <c r="AK123" s="1222"/>
      <c r="AL123" s="1222"/>
      <c r="AM123" s="1222"/>
      <c r="AN123" s="1207"/>
      <c r="AO123" s="1207"/>
      <c r="AP123" s="1207"/>
      <c r="AQ123" s="1207"/>
      <c r="AR123" s="1207"/>
      <c r="AS123" s="1207"/>
      <c r="AT123" s="1207"/>
      <c r="AU123" s="1207"/>
      <c r="AV123" s="1207"/>
      <c r="AW123" s="1207"/>
      <c r="AX123" s="1207"/>
      <c r="AY123" s="1207"/>
      <c r="AZ123" s="1207"/>
      <c r="BA123" s="1207"/>
      <c r="BB123" s="1207"/>
      <c r="BC123" s="1207"/>
      <c r="BD123" s="1207"/>
      <c r="BE123" s="1213"/>
    </row>
    <row r="124" spans="1:57" ht="15.75" customHeight="1" thickBot="1">
      <c r="A124" s="1207"/>
      <c r="B124" s="1207"/>
      <c r="C124" s="1207"/>
      <c r="D124" s="1207"/>
      <c r="E124" s="1207"/>
      <c r="F124" s="1207"/>
      <c r="G124" s="1207"/>
      <c r="H124" s="1207"/>
      <c r="I124" s="1207"/>
      <c r="J124" s="1207"/>
      <c r="K124" s="1207"/>
      <c r="L124" s="1207"/>
      <c r="M124" s="1207"/>
      <c r="N124" s="1207"/>
      <c r="O124" s="1207"/>
      <c r="P124" s="1214"/>
      <c r="Q124" s="1207"/>
      <c r="R124" s="1207"/>
      <c r="S124" s="1207"/>
      <c r="T124" s="1207"/>
      <c r="U124" s="1207"/>
      <c r="V124" s="1207"/>
      <c r="W124" s="1207"/>
      <c r="X124" s="1207"/>
      <c r="Y124" s="1207"/>
      <c r="Z124" s="1207"/>
      <c r="AA124" s="1207"/>
      <c r="AB124" s="1207"/>
      <c r="AC124" s="1207"/>
      <c r="AD124" s="1207"/>
      <c r="AE124" s="1207"/>
      <c r="AF124" s="1207"/>
      <c r="AG124" s="1207"/>
      <c r="AH124" s="1207"/>
      <c r="AI124" s="1207"/>
      <c r="AJ124" s="1207"/>
      <c r="AK124" s="1207"/>
      <c r="AL124" s="1207"/>
      <c r="AM124" s="1207"/>
      <c r="AN124" s="1207"/>
      <c r="AO124" s="1207"/>
      <c r="AP124" s="1207"/>
      <c r="AQ124" s="1207"/>
      <c r="AR124" s="1207"/>
      <c r="AS124" s="1207"/>
      <c r="AT124" s="1207"/>
      <c r="AU124" s="1207"/>
      <c r="AV124" s="1207"/>
      <c r="AW124" s="1207"/>
      <c r="AX124" s="1207"/>
      <c r="AY124" s="1207"/>
      <c r="AZ124" s="1207"/>
      <c r="BA124" s="1207"/>
      <c r="BB124" s="1207"/>
      <c r="BC124" s="1207"/>
      <c r="BD124" s="1207"/>
      <c r="BE124" s="1213"/>
    </row>
    <row r="125" spans="1:57" ht="15.75" customHeight="1">
      <c r="A125" s="1207"/>
      <c r="B125" s="2270" t="s">
        <v>1908</v>
      </c>
      <c r="C125" s="2236"/>
      <c r="D125" s="2236"/>
      <c r="E125" s="2236"/>
      <c r="F125" s="2236"/>
      <c r="G125" s="2236"/>
      <c r="H125" s="2236"/>
      <c r="I125" s="2236"/>
      <c r="J125" s="2236"/>
      <c r="K125" s="2236"/>
      <c r="L125" s="2236"/>
      <c r="M125" s="2236"/>
      <c r="N125" s="2236"/>
      <c r="O125" s="2236"/>
      <c r="P125" s="2236"/>
      <c r="Q125" s="2236"/>
      <c r="R125" s="2236"/>
      <c r="S125" s="2236"/>
      <c r="T125" s="2236"/>
      <c r="U125" s="2237"/>
      <c r="V125" s="1207"/>
      <c r="W125" s="1209"/>
      <c r="X125" s="2270" t="s">
        <v>2267</v>
      </c>
      <c r="Y125" s="2236"/>
      <c r="Z125" s="2236"/>
      <c r="AA125" s="2236"/>
      <c r="AB125" s="2236"/>
      <c r="AC125" s="2236"/>
      <c r="AD125" s="2236"/>
      <c r="AE125" s="2236"/>
      <c r="AF125" s="2236"/>
      <c r="AG125" s="2236"/>
      <c r="AH125" s="2236"/>
      <c r="AI125" s="2236"/>
      <c r="AJ125" s="2236"/>
      <c r="AK125" s="2236"/>
      <c r="AL125" s="2236"/>
      <c r="AM125" s="2236"/>
      <c r="AN125" s="2236"/>
      <c r="AO125" s="2236"/>
      <c r="AP125" s="2236"/>
      <c r="AQ125" s="2237"/>
      <c r="AR125" s="1207"/>
      <c r="AS125" s="1207"/>
      <c r="AT125" s="1207"/>
      <c r="AU125" s="1207"/>
      <c r="AV125" s="1207"/>
      <c r="AW125" s="1207"/>
      <c r="AX125" s="1207"/>
      <c r="AY125" s="1207"/>
      <c r="AZ125" s="1207"/>
      <c r="BA125" s="1207"/>
      <c r="BB125" s="1207"/>
      <c r="BC125" s="1207"/>
      <c r="BD125" s="1207"/>
      <c r="BE125" s="1213"/>
    </row>
    <row r="126" spans="1:57" ht="15.75" customHeight="1">
      <c r="A126" s="1207"/>
      <c r="B126" s="2244"/>
      <c r="C126" s="2245"/>
      <c r="D126" s="2245"/>
      <c r="E126" s="2245"/>
      <c r="F126" s="2245"/>
      <c r="G126" s="2245"/>
      <c r="H126" s="2245"/>
      <c r="I126" s="2276" t="s">
        <v>1897</v>
      </c>
      <c r="J126" s="2276"/>
      <c r="K126" s="2276"/>
      <c r="L126" s="2276"/>
      <c r="M126" s="2276"/>
      <c r="N126" s="2276"/>
      <c r="O126" s="2276"/>
      <c r="P126" s="2276" t="s">
        <v>2268</v>
      </c>
      <c r="Q126" s="2276"/>
      <c r="R126" s="2276"/>
      <c r="S126" s="2276"/>
      <c r="T126" s="2276"/>
      <c r="U126" s="2277"/>
      <c r="V126" s="1207"/>
      <c r="W126" s="1207"/>
      <c r="X126" s="2244"/>
      <c r="Y126" s="2245"/>
      <c r="Z126" s="2245"/>
      <c r="AA126" s="2245"/>
      <c r="AB126" s="2245"/>
      <c r="AC126" s="2245"/>
      <c r="AD126" s="2245"/>
      <c r="AE126" s="2276" t="s">
        <v>1897</v>
      </c>
      <c r="AF126" s="2276"/>
      <c r="AG126" s="2276"/>
      <c r="AH126" s="2276"/>
      <c r="AI126" s="2276"/>
      <c r="AJ126" s="2276"/>
      <c r="AK126" s="2276"/>
      <c r="AL126" s="2276" t="s">
        <v>2262</v>
      </c>
      <c r="AM126" s="2276"/>
      <c r="AN126" s="2276"/>
      <c r="AO126" s="2276"/>
      <c r="AP126" s="2276"/>
      <c r="AQ126" s="2277"/>
      <c r="AR126" s="1207"/>
      <c r="AS126" s="1207"/>
      <c r="AT126" s="1207"/>
      <c r="AU126" s="1207"/>
      <c r="AV126" s="1207"/>
      <c r="AW126" s="1207"/>
      <c r="AX126" s="1207"/>
      <c r="AY126" s="1207"/>
      <c r="AZ126" s="1207"/>
      <c r="BA126" s="1207"/>
      <c r="BB126" s="1207"/>
      <c r="BC126" s="1207"/>
      <c r="BD126" s="1207"/>
      <c r="BE126" s="1213"/>
    </row>
    <row r="127" spans="1:57" ht="15.75" customHeight="1">
      <c r="A127" s="1207"/>
      <c r="B127" s="2244"/>
      <c r="C127" s="2245"/>
      <c r="D127" s="2245"/>
      <c r="E127" s="2245"/>
      <c r="F127" s="2245"/>
      <c r="G127" s="2245"/>
      <c r="H127" s="2245"/>
      <c r="I127" s="2276"/>
      <c r="J127" s="2276"/>
      <c r="K127" s="2276"/>
      <c r="L127" s="2276"/>
      <c r="M127" s="2276"/>
      <c r="N127" s="2276"/>
      <c r="O127" s="2276"/>
      <c r="P127" s="2276"/>
      <c r="Q127" s="2276"/>
      <c r="R127" s="2276"/>
      <c r="S127" s="2276"/>
      <c r="T127" s="2276"/>
      <c r="U127" s="2277"/>
      <c r="V127" s="1207"/>
      <c r="W127" s="1207"/>
      <c r="X127" s="2244"/>
      <c r="Y127" s="2245"/>
      <c r="Z127" s="2245"/>
      <c r="AA127" s="2245"/>
      <c r="AB127" s="2245"/>
      <c r="AC127" s="2245"/>
      <c r="AD127" s="2245"/>
      <c r="AE127" s="2276"/>
      <c r="AF127" s="2276"/>
      <c r="AG127" s="2276"/>
      <c r="AH127" s="2276"/>
      <c r="AI127" s="2276"/>
      <c r="AJ127" s="2276"/>
      <c r="AK127" s="2276"/>
      <c r="AL127" s="2276"/>
      <c r="AM127" s="2276"/>
      <c r="AN127" s="2276"/>
      <c r="AO127" s="2276"/>
      <c r="AP127" s="2276"/>
      <c r="AQ127" s="2277"/>
      <c r="AR127" s="1207"/>
      <c r="AS127" s="1207"/>
      <c r="AT127" s="1207"/>
      <c r="AU127" s="1207"/>
      <c r="AV127" s="1207"/>
      <c r="AW127" s="1207"/>
      <c r="AX127" s="1207"/>
      <c r="AY127" s="1207"/>
      <c r="AZ127" s="1207"/>
      <c r="BA127" s="1207"/>
      <c r="BB127" s="1207"/>
      <c r="BC127" s="1207"/>
      <c r="BD127" s="1207"/>
      <c r="BE127" s="1213"/>
    </row>
    <row r="128" spans="1:57" ht="15.75" customHeight="1" thickBot="1">
      <c r="A128" s="1207"/>
      <c r="B128" s="2272" t="s">
        <v>2250</v>
      </c>
      <c r="C128" s="2273"/>
      <c r="D128" s="2273"/>
      <c r="E128" s="2273"/>
      <c r="F128" s="2273"/>
      <c r="G128" s="2273"/>
      <c r="H128" s="2273"/>
      <c r="I128" s="2274">
        <v>0</v>
      </c>
      <c r="J128" s="2274"/>
      <c r="K128" s="2274"/>
      <c r="L128" s="2274"/>
      <c r="M128" s="2274"/>
      <c r="N128" s="2274"/>
      <c r="O128" s="2274"/>
      <c r="P128" s="2274">
        <v>0</v>
      </c>
      <c r="Q128" s="2274"/>
      <c r="R128" s="2274"/>
      <c r="S128" s="2274"/>
      <c r="T128" s="2274"/>
      <c r="U128" s="2275"/>
      <c r="V128" s="1207"/>
      <c r="W128" s="1207"/>
      <c r="X128" s="2266" t="s">
        <v>2250</v>
      </c>
      <c r="Y128" s="2267"/>
      <c r="Z128" s="2267"/>
      <c r="AA128" s="2267"/>
      <c r="AB128" s="2267"/>
      <c r="AC128" s="2267"/>
      <c r="AD128" s="2267"/>
      <c r="AE128" s="2268">
        <v>0</v>
      </c>
      <c r="AF128" s="2268"/>
      <c r="AG128" s="2268"/>
      <c r="AH128" s="2268"/>
      <c r="AI128" s="2268"/>
      <c r="AJ128" s="2268"/>
      <c r="AK128" s="2268"/>
      <c r="AL128" s="2268">
        <v>0</v>
      </c>
      <c r="AM128" s="2268"/>
      <c r="AN128" s="2268"/>
      <c r="AO128" s="2268"/>
      <c r="AP128" s="2268"/>
      <c r="AQ128" s="2269"/>
      <c r="AR128" s="1207"/>
      <c r="AS128" s="1207"/>
      <c r="AT128" s="1207"/>
      <c r="AU128" s="1207"/>
      <c r="AV128" s="1207"/>
      <c r="AW128" s="1207"/>
      <c r="AX128" s="1207"/>
      <c r="AY128" s="1207"/>
      <c r="AZ128" s="1207"/>
      <c r="BA128" s="1207"/>
      <c r="BB128" s="1207"/>
      <c r="BC128" s="1207"/>
      <c r="BD128" s="1207"/>
      <c r="BE128" s="1213"/>
    </row>
    <row r="129" spans="1:57" ht="15.75" customHeight="1" thickBot="1">
      <c r="A129" s="1207"/>
      <c r="B129" s="2266" t="s">
        <v>2251</v>
      </c>
      <c r="C129" s="2267"/>
      <c r="D129" s="2267"/>
      <c r="E129" s="2267"/>
      <c r="F129" s="2267"/>
      <c r="G129" s="2267"/>
      <c r="H129" s="2267"/>
      <c r="I129" s="2268">
        <v>0</v>
      </c>
      <c r="J129" s="2268"/>
      <c r="K129" s="2268"/>
      <c r="L129" s="2268"/>
      <c r="M129" s="2268"/>
      <c r="N129" s="2268"/>
      <c r="O129" s="2268"/>
      <c r="P129" s="2268">
        <v>0</v>
      </c>
      <c r="Q129" s="2268"/>
      <c r="R129" s="2268"/>
      <c r="S129" s="2268"/>
      <c r="T129" s="2268"/>
      <c r="U129" s="2269"/>
      <c r="V129" s="1207"/>
      <c r="W129" s="1207"/>
      <c r="X129" s="1207"/>
      <c r="Y129" s="1207"/>
      <c r="Z129" s="1207"/>
      <c r="AA129" s="1207"/>
      <c r="AB129" s="1207"/>
      <c r="AC129" s="1207"/>
      <c r="AD129" s="1207"/>
      <c r="AE129" s="1207"/>
      <c r="AF129" s="1207"/>
      <c r="AG129" s="1207"/>
      <c r="AH129" s="1207"/>
      <c r="AI129" s="1207"/>
      <c r="AJ129" s="1207"/>
      <c r="AK129" s="1207"/>
      <c r="AL129" s="1207"/>
      <c r="AM129" s="1207"/>
      <c r="AN129" s="1207"/>
      <c r="AO129" s="1207"/>
      <c r="AP129" s="1207"/>
      <c r="AQ129" s="1207"/>
      <c r="AR129" s="1207"/>
      <c r="AS129" s="1207"/>
      <c r="AT129" s="1207"/>
      <c r="AU129" s="1207"/>
      <c r="AV129" s="1207"/>
      <c r="AW129" s="1207"/>
      <c r="AX129" s="1207"/>
      <c r="AY129" s="1207"/>
      <c r="AZ129" s="1207"/>
      <c r="BA129" s="1207"/>
      <c r="BB129" s="1207"/>
      <c r="BC129" s="1207"/>
      <c r="BD129" s="1207"/>
      <c r="BE129" s="1213"/>
    </row>
    <row r="130" spans="1:57" ht="15.75" customHeight="1" thickBot="1">
      <c r="A130" s="1207"/>
      <c r="B130" s="1207"/>
      <c r="C130" s="1207"/>
      <c r="D130" s="1207"/>
      <c r="E130" s="1207"/>
      <c r="F130" s="1207"/>
      <c r="G130" s="1207"/>
      <c r="H130" s="1207"/>
      <c r="I130" s="1207"/>
      <c r="J130" s="1207"/>
      <c r="K130" s="1207"/>
      <c r="L130" s="1207"/>
      <c r="M130" s="1207"/>
      <c r="N130" s="1207"/>
      <c r="O130" s="1207"/>
      <c r="P130" s="1207"/>
      <c r="Q130" s="1207"/>
      <c r="R130" s="1207"/>
      <c r="S130" s="1207"/>
      <c r="T130" s="1207"/>
      <c r="U130" s="1207"/>
      <c r="V130" s="1207"/>
      <c r="W130" s="1207"/>
      <c r="X130" s="1207"/>
      <c r="Y130" s="1207"/>
      <c r="Z130" s="1207"/>
      <c r="AA130" s="1207"/>
      <c r="AB130" s="1207"/>
      <c r="AC130" s="1207"/>
      <c r="AD130" s="1207"/>
      <c r="AE130" s="1207"/>
      <c r="AF130" s="1207"/>
      <c r="AG130" s="1207"/>
      <c r="AH130" s="1207"/>
      <c r="AI130" s="1207"/>
      <c r="AJ130" s="1207"/>
      <c r="AK130" s="1207"/>
      <c r="AL130" s="1207"/>
      <c r="AM130" s="1207"/>
      <c r="AN130" s="1207"/>
      <c r="AO130" s="1207"/>
      <c r="AP130" s="1207"/>
      <c r="AQ130" s="1207"/>
      <c r="AR130" s="1207"/>
      <c r="AS130" s="1207"/>
      <c r="AT130" s="1207"/>
      <c r="AU130" s="1207"/>
      <c r="AV130" s="1207"/>
      <c r="AW130" s="1207"/>
      <c r="AX130" s="1207"/>
      <c r="AY130" s="1207"/>
      <c r="AZ130" s="1207"/>
      <c r="BA130" s="1207"/>
      <c r="BB130" s="1207"/>
      <c r="BC130" s="1207"/>
      <c r="BD130" s="1207"/>
      <c r="BE130" s="1213"/>
    </row>
    <row r="131" spans="1:57" ht="15.75" customHeight="1">
      <c r="A131" s="1207"/>
      <c r="B131" s="1207"/>
      <c r="C131" s="2270" t="s">
        <v>2252</v>
      </c>
      <c r="D131" s="2236"/>
      <c r="E131" s="2236"/>
      <c r="F131" s="2236"/>
      <c r="G131" s="2236"/>
      <c r="H131" s="2236"/>
      <c r="I131" s="2236"/>
      <c r="J131" s="2236"/>
      <c r="K131" s="2236"/>
      <c r="L131" s="2236"/>
      <c r="M131" s="2236"/>
      <c r="N131" s="2236"/>
      <c r="O131" s="2236"/>
      <c r="P131" s="2236"/>
      <c r="Q131" s="2236"/>
      <c r="R131" s="2236"/>
      <c r="S131" s="2236"/>
      <c r="T131" s="2236"/>
      <c r="U131" s="2236"/>
      <c r="V131" s="2236"/>
      <c r="W131" s="2236"/>
      <c r="X131" s="2236"/>
      <c r="Y131" s="2236"/>
      <c r="Z131" s="2236"/>
      <c r="AA131" s="2236"/>
      <c r="AB131" s="2236"/>
      <c r="AC131" s="2236"/>
      <c r="AD131" s="2236"/>
      <c r="AE131" s="2236"/>
      <c r="AF131" s="2236"/>
      <c r="AG131" s="2237"/>
      <c r="AH131" s="1207"/>
      <c r="AI131" s="1207"/>
      <c r="AJ131" s="1207"/>
      <c r="AK131" s="1207"/>
      <c r="AL131" s="1207"/>
      <c r="AM131" s="1207"/>
      <c r="AN131" s="1207"/>
      <c r="AO131" s="1207"/>
      <c r="AP131" s="1207"/>
      <c r="AQ131" s="1207"/>
      <c r="AR131" s="1207"/>
      <c r="AS131" s="1207"/>
      <c r="AT131" s="1207"/>
      <c r="AU131" s="1207"/>
      <c r="AV131" s="1207"/>
      <c r="AW131" s="1207"/>
      <c r="AX131" s="1207"/>
      <c r="AY131" s="1207"/>
      <c r="AZ131" s="1207"/>
      <c r="BA131" s="1207"/>
      <c r="BB131" s="1207"/>
      <c r="BC131" s="1207"/>
      <c r="BD131" s="1207"/>
      <c r="BE131" s="1213"/>
    </row>
    <row r="132" spans="1:57" ht="15.75" customHeight="1">
      <c r="A132" s="1207"/>
      <c r="B132" s="1207"/>
      <c r="C132" s="2244" t="s">
        <v>1909</v>
      </c>
      <c r="D132" s="2245"/>
      <c r="E132" s="2245"/>
      <c r="F132" s="2245"/>
      <c r="G132" s="2245"/>
      <c r="H132" s="2245"/>
      <c r="I132" s="2245"/>
      <c r="J132" s="2245"/>
      <c r="K132" s="2245"/>
      <c r="L132" s="2245"/>
      <c r="M132" s="2245"/>
      <c r="N132" s="2245"/>
      <c r="O132" s="2245"/>
      <c r="P132" s="2245"/>
      <c r="Q132" s="2245" t="s">
        <v>1910</v>
      </c>
      <c r="R132" s="2245"/>
      <c r="S132" s="2245"/>
      <c r="T132" s="2271" t="s">
        <v>2253</v>
      </c>
      <c r="U132" s="2271"/>
      <c r="V132" s="2271"/>
      <c r="W132" s="2271"/>
      <c r="X132" s="2271"/>
      <c r="Y132" s="2271"/>
      <c r="Z132" s="2271"/>
      <c r="AA132" s="2271"/>
      <c r="AB132" s="2245" t="s">
        <v>1911</v>
      </c>
      <c r="AC132" s="2245"/>
      <c r="AD132" s="2245"/>
      <c r="AE132" s="2245"/>
      <c r="AF132" s="2245"/>
      <c r="AG132" s="2246"/>
      <c r="AH132" s="1207"/>
      <c r="AI132" s="1207"/>
      <c r="AJ132" s="1207"/>
      <c r="AK132" s="1207"/>
      <c r="AL132" s="1207"/>
      <c r="AM132" s="1207"/>
      <c r="AN132" s="1207"/>
      <c r="AO132" s="1207"/>
      <c r="AP132" s="1207"/>
      <c r="AQ132" s="1207"/>
      <c r="AR132" s="1207"/>
      <c r="AS132" s="1207"/>
      <c r="AT132" s="1207"/>
      <c r="AU132" s="1207"/>
      <c r="AV132" s="1207"/>
      <c r="AW132" s="1207"/>
      <c r="AX132" s="1207"/>
      <c r="AY132" s="1207"/>
      <c r="AZ132" s="1207"/>
      <c r="BA132" s="1207"/>
      <c r="BB132" s="1207"/>
      <c r="BC132" s="1207"/>
      <c r="BD132" s="1207"/>
      <c r="BE132" s="1213"/>
    </row>
    <row r="133" spans="1:57" ht="15.75" customHeight="1">
      <c r="A133" s="1207"/>
      <c r="B133" s="1207"/>
      <c r="C133" s="2253" t="s">
        <v>1912</v>
      </c>
      <c r="D133" s="2254"/>
      <c r="E133" s="2254"/>
      <c r="F133" s="2254"/>
      <c r="G133" s="2254"/>
      <c r="H133" s="2254"/>
      <c r="I133" s="2254"/>
      <c r="J133" s="2254"/>
      <c r="K133" s="2254"/>
      <c r="L133" s="2254"/>
      <c r="M133" s="2254"/>
      <c r="N133" s="2254"/>
      <c r="O133" s="2254"/>
      <c r="P133" s="2254"/>
      <c r="Q133" s="2201">
        <v>55</v>
      </c>
      <c r="R133" s="2201"/>
      <c r="S133" s="2201"/>
      <c r="T133" s="2238"/>
      <c r="U133" s="2238"/>
      <c r="V133" s="2238"/>
      <c r="W133" s="2238"/>
      <c r="X133" s="2238"/>
      <c r="Y133" s="2238"/>
      <c r="Z133" s="2238"/>
      <c r="AA133" s="2238"/>
      <c r="AB133" s="1225"/>
      <c r="AC133" s="1225"/>
      <c r="AD133" s="1225"/>
      <c r="AE133" s="1225"/>
      <c r="AF133" s="1225"/>
      <c r="AG133" s="1226"/>
      <c r="AH133" s="1207"/>
      <c r="AI133" s="1207"/>
      <c r="AJ133" s="1207"/>
      <c r="AK133" s="1207"/>
      <c r="AL133" s="1207"/>
      <c r="AM133" s="1207"/>
      <c r="AN133" s="1207"/>
      <c r="AO133" s="1207"/>
      <c r="AP133" s="1207" t="s">
        <v>251</v>
      </c>
      <c r="AQ133" s="1207"/>
      <c r="AR133" s="1207"/>
      <c r="AS133" s="1207"/>
      <c r="AT133" s="1207"/>
      <c r="AU133" s="1207"/>
      <c r="AV133" s="1207"/>
      <c r="AW133" s="1207"/>
      <c r="AX133" s="1207"/>
      <c r="AY133" s="1207"/>
      <c r="AZ133" s="1207"/>
      <c r="BA133" s="1207"/>
      <c r="BB133" s="1207"/>
      <c r="BC133" s="1207"/>
      <c r="BD133" s="1207"/>
      <c r="BE133" s="1213"/>
    </row>
    <row r="134" spans="1:57" ht="15.75" customHeight="1">
      <c r="A134" s="1207"/>
      <c r="B134" s="1207"/>
      <c r="C134" s="2253" t="s">
        <v>1913</v>
      </c>
      <c r="D134" s="2254"/>
      <c r="E134" s="2254"/>
      <c r="F134" s="2254"/>
      <c r="G134" s="2254"/>
      <c r="H134" s="2254"/>
      <c r="I134" s="2254"/>
      <c r="J134" s="2254"/>
      <c r="K134" s="2254"/>
      <c r="L134" s="2254"/>
      <c r="M134" s="2254"/>
      <c r="N134" s="2254"/>
      <c r="O134" s="2254"/>
      <c r="P134" s="2254"/>
      <c r="Q134" s="2201">
        <v>55</v>
      </c>
      <c r="R134" s="2201"/>
      <c r="S134" s="2201"/>
      <c r="T134" s="2256"/>
      <c r="U134" s="2256"/>
      <c r="V134" s="2256"/>
      <c r="W134" s="2256"/>
      <c r="X134" s="2256"/>
      <c r="Y134" s="2256"/>
      <c r="Z134" s="2256"/>
      <c r="AA134" s="2256"/>
      <c r="AB134" s="1225"/>
      <c r="AC134" s="1225"/>
      <c r="AD134" s="1225"/>
      <c r="AE134" s="1225"/>
      <c r="AF134" s="1225"/>
      <c r="AG134" s="1226"/>
      <c r="AH134" s="1207"/>
      <c r="AI134" s="1207"/>
      <c r="AJ134" s="1207"/>
      <c r="AK134" s="1207"/>
      <c r="AL134" s="1207"/>
      <c r="AM134" s="1207"/>
      <c r="AN134" s="1207"/>
      <c r="AO134" s="1207"/>
      <c r="AP134" s="1207"/>
      <c r="AQ134" s="1207"/>
      <c r="AR134" s="1207"/>
      <c r="AS134" s="1207"/>
      <c r="AT134" s="1207"/>
      <c r="AU134" s="1207"/>
      <c r="AV134" s="1207"/>
      <c r="AW134" s="1207"/>
      <c r="AX134" s="1207"/>
      <c r="AY134" s="1207"/>
      <c r="AZ134" s="1207"/>
      <c r="BA134" s="1207"/>
      <c r="BB134" s="1207"/>
      <c r="BC134" s="1207"/>
      <c r="BD134" s="1207"/>
      <c r="BE134" s="1213"/>
    </row>
    <row r="135" spans="1:57" ht="15.75" customHeight="1">
      <c r="A135" s="1207"/>
      <c r="B135" s="1207"/>
      <c r="C135" s="2253" t="s">
        <v>1914</v>
      </c>
      <c r="D135" s="2254"/>
      <c r="E135" s="2254"/>
      <c r="F135" s="2254"/>
      <c r="G135" s="2254"/>
      <c r="H135" s="2254"/>
      <c r="I135" s="2254"/>
      <c r="J135" s="2254"/>
      <c r="K135" s="2254"/>
      <c r="L135" s="2254"/>
      <c r="M135" s="2254"/>
      <c r="N135" s="2254"/>
      <c r="O135" s="2254"/>
      <c r="P135" s="2254"/>
      <c r="Q135" s="2201">
        <v>55</v>
      </c>
      <c r="R135" s="2201"/>
      <c r="S135" s="2201"/>
      <c r="T135" s="2238"/>
      <c r="U135" s="2238"/>
      <c r="V135" s="2238"/>
      <c r="W135" s="2238"/>
      <c r="X135" s="2238"/>
      <c r="Y135" s="2238"/>
      <c r="Z135" s="2238"/>
      <c r="AA135" s="2238"/>
      <c r="AB135" s="1225"/>
      <c r="AC135" s="1225"/>
      <c r="AD135" s="1225"/>
      <c r="AE135" s="1225"/>
      <c r="AF135" s="1225"/>
      <c r="AG135" s="1226"/>
      <c r="AH135" s="1207"/>
      <c r="AI135" s="1207"/>
      <c r="AJ135" s="1207"/>
      <c r="AK135" s="1207"/>
      <c r="AL135" s="1207"/>
      <c r="AM135" s="1207"/>
      <c r="AN135" s="1207"/>
      <c r="AO135" s="1207"/>
      <c r="AP135" s="1207"/>
      <c r="AQ135" s="1207"/>
      <c r="AR135" s="1207"/>
      <c r="AS135" s="1207"/>
      <c r="AT135" s="1207"/>
      <c r="AU135" s="1207"/>
      <c r="AV135" s="1207"/>
      <c r="AW135" s="1207"/>
      <c r="AX135" s="1207"/>
      <c r="AY135" s="1207"/>
      <c r="AZ135" s="1207"/>
      <c r="BA135" s="1207"/>
      <c r="BB135" s="1207"/>
      <c r="BC135" s="1207"/>
      <c r="BD135" s="1207"/>
      <c r="BE135" s="1213"/>
    </row>
    <row r="136" spans="1:57" ht="15.75" customHeight="1">
      <c r="A136" s="1207"/>
      <c r="B136" s="1207"/>
      <c r="C136" s="2253" t="s">
        <v>1882</v>
      </c>
      <c r="D136" s="2254"/>
      <c r="E136" s="2254"/>
      <c r="F136" s="2254"/>
      <c r="G136" s="2254"/>
      <c r="H136" s="2254"/>
      <c r="I136" s="2254"/>
      <c r="J136" s="2254"/>
      <c r="K136" s="2254"/>
      <c r="L136" s="2254"/>
      <c r="M136" s="2254"/>
      <c r="N136" s="2254"/>
      <c r="O136" s="2254"/>
      <c r="P136" s="2254"/>
      <c r="Q136" s="2201">
        <v>55</v>
      </c>
      <c r="R136" s="2201"/>
      <c r="S136" s="2201"/>
      <c r="T136" s="2238"/>
      <c r="U136" s="2238"/>
      <c r="V136" s="2238"/>
      <c r="W136" s="2238"/>
      <c r="X136" s="2238"/>
      <c r="Y136" s="2238"/>
      <c r="Z136" s="2238"/>
      <c r="AA136" s="2238"/>
      <c r="AB136" s="2257">
        <v>0</v>
      </c>
      <c r="AC136" s="2257"/>
      <c r="AD136" s="2257"/>
      <c r="AE136" s="2257"/>
      <c r="AF136" s="2257"/>
      <c r="AG136" s="2258"/>
      <c r="AH136" s="1207"/>
      <c r="AI136" s="1207"/>
      <c r="AJ136" s="1207"/>
      <c r="AK136" s="1207"/>
      <c r="AL136" s="1207"/>
      <c r="AM136" s="1207"/>
      <c r="AN136" s="1207"/>
      <c r="AO136" s="1207"/>
      <c r="AP136" s="1207"/>
      <c r="AQ136" s="1207"/>
      <c r="AR136" s="1207"/>
      <c r="AS136" s="1207"/>
      <c r="AT136" s="1207"/>
      <c r="AU136" s="1207"/>
      <c r="AV136" s="1207"/>
      <c r="AW136" s="1207"/>
      <c r="AX136" s="1207"/>
      <c r="AY136" s="1207"/>
      <c r="AZ136" s="1207"/>
      <c r="BA136" s="1207"/>
      <c r="BB136" s="1207"/>
      <c r="BC136" s="1207"/>
      <c r="BD136" s="1207"/>
      <c r="BE136" s="1213"/>
    </row>
    <row r="137" spans="1:57" ht="15.75" customHeight="1">
      <c r="A137" s="1207"/>
      <c r="B137" s="1207"/>
      <c r="C137" s="2253" t="s">
        <v>170</v>
      </c>
      <c r="D137" s="2254"/>
      <c r="E137" s="2254"/>
      <c r="F137" s="2255" t="s">
        <v>1915</v>
      </c>
      <c r="G137" s="2255"/>
      <c r="H137" s="2255"/>
      <c r="I137" s="2255"/>
      <c r="J137" s="2255"/>
      <c r="K137" s="2255"/>
      <c r="L137" s="2255"/>
      <c r="M137" s="2255"/>
      <c r="N137" s="2255"/>
      <c r="O137" s="2255"/>
      <c r="P137" s="2255"/>
      <c r="Q137" s="2201">
        <v>55</v>
      </c>
      <c r="R137" s="2201"/>
      <c r="S137" s="2201"/>
      <c r="T137" s="2256"/>
      <c r="U137" s="2256"/>
      <c r="V137" s="2256"/>
      <c r="W137" s="2256"/>
      <c r="X137" s="2256"/>
      <c r="Y137" s="2256"/>
      <c r="Z137" s="2256"/>
      <c r="AA137" s="2256"/>
      <c r="AB137" s="2257">
        <v>0</v>
      </c>
      <c r="AC137" s="2257"/>
      <c r="AD137" s="2257"/>
      <c r="AE137" s="2257"/>
      <c r="AF137" s="2257"/>
      <c r="AG137" s="2258"/>
      <c r="AH137" s="1207"/>
      <c r="AI137" s="1207"/>
      <c r="AJ137" s="1207"/>
      <c r="AK137" s="1207"/>
      <c r="AL137" s="1207"/>
      <c r="AM137" s="1207"/>
      <c r="AN137" s="1207"/>
      <c r="AO137" s="1207"/>
      <c r="AP137" s="1207"/>
      <c r="AQ137" s="1207"/>
      <c r="AR137" s="1207"/>
      <c r="AS137" s="1207"/>
      <c r="AT137" s="1207"/>
      <c r="AU137" s="1207"/>
      <c r="AV137" s="1207"/>
      <c r="AW137" s="1207"/>
      <c r="AX137" s="1207"/>
      <c r="AY137" s="1207"/>
      <c r="AZ137" s="1207"/>
      <c r="BA137" s="1207"/>
      <c r="BB137" s="1207"/>
      <c r="BC137" s="1207"/>
      <c r="BD137" s="1207"/>
      <c r="BE137" s="1213"/>
    </row>
    <row r="138" spans="1:57" ht="15.75" customHeight="1">
      <c r="A138" s="1207"/>
      <c r="B138" s="1207"/>
      <c r="C138" s="2253" t="s">
        <v>170</v>
      </c>
      <c r="D138" s="2254"/>
      <c r="E138" s="2254"/>
      <c r="F138" s="2255" t="s">
        <v>1915</v>
      </c>
      <c r="G138" s="2255"/>
      <c r="H138" s="2255"/>
      <c r="I138" s="2255"/>
      <c r="J138" s="2255"/>
      <c r="K138" s="2255"/>
      <c r="L138" s="2255"/>
      <c r="M138" s="2255"/>
      <c r="N138" s="2255"/>
      <c r="O138" s="2255"/>
      <c r="P138" s="2255"/>
      <c r="Q138" s="2201">
        <v>55</v>
      </c>
      <c r="R138" s="2201"/>
      <c r="S138" s="2201"/>
      <c r="T138" s="2256"/>
      <c r="U138" s="2256"/>
      <c r="V138" s="2256"/>
      <c r="W138" s="2256"/>
      <c r="X138" s="2256"/>
      <c r="Y138" s="2256"/>
      <c r="Z138" s="2256"/>
      <c r="AA138" s="2256"/>
      <c r="AB138" s="2257">
        <v>0</v>
      </c>
      <c r="AC138" s="2257"/>
      <c r="AD138" s="2257"/>
      <c r="AE138" s="2257"/>
      <c r="AF138" s="2257"/>
      <c r="AG138" s="2258"/>
      <c r="AH138" s="1207"/>
      <c r="AI138" s="1207"/>
      <c r="AJ138" s="1207"/>
      <c r="AK138" s="1207" t="s">
        <v>251</v>
      </c>
      <c r="AL138" s="1207"/>
      <c r="AM138" s="1207"/>
      <c r="AN138" s="1207"/>
      <c r="AO138" s="1207"/>
      <c r="AP138" s="1207"/>
      <c r="AQ138" s="1207"/>
      <c r="AR138" s="1207"/>
      <c r="AS138" s="1207"/>
      <c r="AT138" s="1207"/>
      <c r="AU138" s="1207"/>
      <c r="AV138" s="1207"/>
      <c r="AW138" s="1207"/>
      <c r="AX138" s="1207"/>
      <c r="AY138" s="1207"/>
      <c r="AZ138" s="1207"/>
      <c r="BA138" s="1207"/>
      <c r="BB138" s="1207"/>
      <c r="BC138" s="1207"/>
      <c r="BD138" s="1207"/>
      <c r="BE138" s="1213"/>
    </row>
    <row r="139" spans="1:57" ht="15.75" customHeight="1" thickBot="1">
      <c r="A139" s="1207"/>
      <c r="B139" s="1207"/>
      <c r="C139" s="2259" t="s">
        <v>170</v>
      </c>
      <c r="D139" s="2260"/>
      <c r="E139" s="2260"/>
      <c r="F139" s="2261" t="s">
        <v>1915</v>
      </c>
      <c r="G139" s="2261"/>
      <c r="H139" s="2261"/>
      <c r="I139" s="2261"/>
      <c r="J139" s="2261"/>
      <c r="K139" s="2261"/>
      <c r="L139" s="2261"/>
      <c r="M139" s="2261"/>
      <c r="N139" s="2261"/>
      <c r="O139" s="2261"/>
      <c r="P139" s="2261"/>
      <c r="Q139" s="2262">
        <v>55</v>
      </c>
      <c r="R139" s="2262"/>
      <c r="S139" s="2262"/>
      <c r="T139" s="2263"/>
      <c r="U139" s="2263"/>
      <c r="V139" s="2263"/>
      <c r="W139" s="2263"/>
      <c r="X139" s="2263"/>
      <c r="Y139" s="2263"/>
      <c r="Z139" s="2263"/>
      <c r="AA139" s="2263"/>
      <c r="AB139" s="2264">
        <v>0</v>
      </c>
      <c r="AC139" s="2264"/>
      <c r="AD139" s="2264"/>
      <c r="AE139" s="2264"/>
      <c r="AF139" s="2264"/>
      <c r="AG139" s="2265"/>
      <c r="AH139" s="1207"/>
      <c r="AI139" s="1207"/>
      <c r="AJ139" s="1207"/>
      <c r="AK139" s="1207"/>
      <c r="AL139" s="1207"/>
      <c r="AM139" s="1207"/>
      <c r="AN139" s="1207"/>
      <c r="AO139" s="1207"/>
      <c r="AP139" s="1207"/>
      <c r="AQ139" s="1207"/>
      <c r="AR139" s="1207"/>
      <c r="AS139" s="1207"/>
      <c r="AT139" s="1207"/>
      <c r="AU139" s="1207"/>
      <c r="AV139" s="1207"/>
      <c r="AW139" s="1207"/>
      <c r="AX139" s="1207"/>
      <c r="AY139" s="1207"/>
      <c r="AZ139" s="1207"/>
      <c r="BA139" s="1207"/>
      <c r="BB139" s="1207"/>
      <c r="BC139" s="1207"/>
      <c r="BD139" s="1207"/>
      <c r="BE139" s="1213"/>
    </row>
    <row r="140" spans="1:57" ht="15.75" customHeight="1" thickBot="1">
      <c r="A140" s="1207"/>
      <c r="B140" s="1207"/>
      <c r="C140" s="1207"/>
      <c r="D140" s="1207"/>
      <c r="E140" s="1207"/>
      <c r="F140" s="1207"/>
      <c r="G140" s="1207"/>
      <c r="H140" s="1207"/>
      <c r="I140" s="1207"/>
      <c r="J140" s="1207"/>
      <c r="K140" s="1207"/>
      <c r="L140" s="1207"/>
      <c r="M140" s="1207"/>
      <c r="N140" s="1207"/>
      <c r="O140" s="1207"/>
      <c r="P140" s="1207"/>
      <c r="Q140" s="1207"/>
      <c r="R140" s="1207"/>
      <c r="S140" s="1207"/>
      <c r="T140" s="1207"/>
      <c r="U140" s="1207"/>
      <c r="V140" s="1207"/>
      <c r="W140" s="1207"/>
      <c r="X140" s="1207"/>
      <c r="Y140" s="1207"/>
      <c r="Z140" s="1207"/>
      <c r="AA140" s="1207"/>
      <c r="AB140" s="1207"/>
      <c r="AC140" s="1207"/>
      <c r="AD140" s="1207"/>
      <c r="AE140" s="1207"/>
      <c r="AF140" s="1207"/>
      <c r="AG140" s="1207"/>
      <c r="AH140" s="1207"/>
      <c r="AI140" s="1207"/>
      <c r="AJ140" s="1207"/>
      <c r="AK140" s="1207"/>
      <c r="AL140" s="1207"/>
      <c r="AM140" s="1207"/>
      <c r="AN140" s="1207"/>
      <c r="AO140" s="1207"/>
      <c r="AP140" s="1207"/>
      <c r="AQ140" s="1207"/>
      <c r="AR140" s="1207"/>
      <c r="AS140" s="1207"/>
      <c r="AT140" s="1207"/>
      <c r="AU140" s="1207"/>
      <c r="AV140" s="1207"/>
      <c r="AW140" s="1207"/>
      <c r="AX140" s="1207"/>
      <c r="AY140" s="1207"/>
      <c r="AZ140" s="1207"/>
      <c r="BA140" s="1207"/>
      <c r="BB140" s="1207"/>
      <c r="BC140" s="1207"/>
      <c r="BD140" s="1207"/>
      <c r="BE140" s="1213"/>
    </row>
    <row r="141" spans="1:57" ht="15.75" customHeight="1">
      <c r="A141" s="1207"/>
      <c r="B141" s="1207"/>
      <c r="C141" s="2234" t="s">
        <v>1916</v>
      </c>
      <c r="D141" s="2235"/>
      <c r="E141" s="2235"/>
      <c r="F141" s="2235"/>
      <c r="G141" s="2235"/>
      <c r="H141" s="2235"/>
      <c r="I141" s="2235"/>
      <c r="J141" s="2235"/>
      <c r="K141" s="2235"/>
      <c r="L141" s="2235"/>
      <c r="M141" s="2235"/>
      <c r="N141" s="2240"/>
      <c r="O141" s="1207"/>
      <c r="P141" s="2241" t="s">
        <v>1917</v>
      </c>
      <c r="Q141" s="2242"/>
      <c r="R141" s="2242"/>
      <c r="S141" s="2242"/>
      <c r="T141" s="2242"/>
      <c r="U141" s="2242"/>
      <c r="V141" s="2242"/>
      <c r="W141" s="2242"/>
      <c r="X141" s="2242"/>
      <c r="Y141" s="2242"/>
      <c r="Z141" s="2242"/>
      <c r="AA141" s="2242"/>
      <c r="AB141" s="2242"/>
      <c r="AC141" s="2242"/>
      <c r="AD141" s="2242"/>
      <c r="AE141" s="2242"/>
      <c r="AF141" s="2242"/>
      <c r="AG141" s="2242"/>
      <c r="AH141" s="2242"/>
      <c r="AI141" s="2242"/>
      <c r="AJ141" s="2242"/>
      <c r="AK141" s="2242"/>
      <c r="AL141" s="2242"/>
      <c r="AM141" s="2242"/>
      <c r="AN141" s="2242"/>
      <c r="AO141" s="2243"/>
      <c r="AP141" s="1207"/>
      <c r="AQ141" s="1207"/>
      <c r="AR141" s="1207"/>
      <c r="AS141" s="1207"/>
      <c r="AT141" s="1207"/>
      <c r="AU141" s="1207"/>
      <c r="AV141" s="1207"/>
      <c r="AW141" s="1207"/>
      <c r="AX141" s="1207"/>
      <c r="AY141" s="1207"/>
      <c r="AZ141" s="1207"/>
      <c r="BA141" s="1207"/>
      <c r="BB141" s="1207"/>
      <c r="BC141" s="1207"/>
      <c r="BD141" s="1207"/>
      <c r="BE141" s="1213"/>
    </row>
    <row r="142" spans="1:57" ht="15.75" customHeight="1">
      <c r="A142" s="1207"/>
      <c r="B142" s="1207"/>
      <c r="C142" s="2244" t="s">
        <v>1918</v>
      </c>
      <c r="D142" s="2245"/>
      <c r="E142" s="2245"/>
      <c r="F142" s="2245"/>
      <c r="G142" s="2245"/>
      <c r="H142" s="2245"/>
      <c r="I142" s="2245" t="s">
        <v>1919</v>
      </c>
      <c r="J142" s="2245"/>
      <c r="K142" s="2245"/>
      <c r="L142" s="2245"/>
      <c r="M142" s="2245"/>
      <c r="N142" s="2246"/>
      <c r="O142" s="1207"/>
      <c r="P142" s="2247" t="s">
        <v>2261</v>
      </c>
      <c r="Q142" s="2248"/>
      <c r="R142" s="2248"/>
      <c r="S142" s="2248"/>
      <c r="T142" s="2248"/>
      <c r="U142" s="2248"/>
      <c r="V142" s="2248"/>
      <c r="W142" s="2248"/>
      <c r="X142" s="2248"/>
      <c r="Y142" s="2248"/>
      <c r="Z142" s="2248"/>
      <c r="AA142" s="2248"/>
      <c r="AB142" s="2248"/>
      <c r="AC142" s="2248"/>
      <c r="AD142" s="2248"/>
      <c r="AE142" s="2248"/>
      <c r="AF142" s="2248"/>
      <c r="AG142" s="2248"/>
      <c r="AH142" s="2248"/>
      <c r="AI142" s="2248"/>
      <c r="AJ142" s="2248"/>
      <c r="AK142" s="2248"/>
      <c r="AL142" s="2248"/>
      <c r="AM142" s="2248"/>
      <c r="AN142" s="2248"/>
      <c r="AO142" s="2249"/>
      <c r="AP142" s="1207"/>
      <c r="AQ142" s="1207"/>
      <c r="AR142" s="1207"/>
      <c r="AS142" s="1207"/>
      <c r="AT142" s="1207"/>
      <c r="AU142" s="1207"/>
      <c r="AV142" s="1207"/>
      <c r="AW142" s="1207"/>
      <c r="AX142" s="1207"/>
      <c r="AY142" s="1207"/>
      <c r="AZ142" s="1207"/>
      <c r="BA142" s="1207"/>
      <c r="BB142" s="1207"/>
      <c r="BC142" s="1207"/>
      <c r="BD142" s="1207"/>
      <c r="BE142" s="1213"/>
    </row>
    <row r="143" spans="1:57" ht="15.75" customHeight="1">
      <c r="A143" s="1207"/>
      <c r="B143" s="1207"/>
      <c r="C143" s="2194"/>
      <c r="D143" s="2195"/>
      <c r="E143" s="2195"/>
      <c r="F143" s="2195"/>
      <c r="G143" s="2195"/>
      <c r="H143" s="2195"/>
      <c r="I143" s="2238"/>
      <c r="J143" s="2238"/>
      <c r="K143" s="2238"/>
      <c r="L143" s="2238"/>
      <c r="M143" s="2238"/>
      <c r="N143" s="2239"/>
      <c r="O143" s="1207"/>
      <c r="P143" s="2247"/>
      <c r="Q143" s="2248"/>
      <c r="R143" s="2248"/>
      <c r="S143" s="2248"/>
      <c r="T143" s="2248"/>
      <c r="U143" s="2248"/>
      <c r="V143" s="2248"/>
      <c r="W143" s="2248"/>
      <c r="X143" s="2248"/>
      <c r="Y143" s="2248"/>
      <c r="Z143" s="2248"/>
      <c r="AA143" s="2248"/>
      <c r="AB143" s="2248"/>
      <c r="AC143" s="2248"/>
      <c r="AD143" s="2248"/>
      <c r="AE143" s="2248"/>
      <c r="AF143" s="2248"/>
      <c r="AG143" s="2248"/>
      <c r="AH143" s="2248"/>
      <c r="AI143" s="2248"/>
      <c r="AJ143" s="2248"/>
      <c r="AK143" s="2248"/>
      <c r="AL143" s="2248"/>
      <c r="AM143" s="2248"/>
      <c r="AN143" s="2248"/>
      <c r="AO143" s="2249"/>
      <c r="AP143" s="1207"/>
      <c r="AQ143" s="1207"/>
      <c r="AR143" s="1207"/>
      <c r="AS143" s="1207"/>
      <c r="AT143" s="1207"/>
      <c r="AU143" s="1207"/>
      <c r="AV143" s="1207"/>
      <c r="AW143" s="1207"/>
      <c r="AX143" s="1207"/>
      <c r="AY143" s="1207"/>
      <c r="AZ143" s="1207"/>
      <c r="BA143" s="1207"/>
      <c r="BB143" s="1207"/>
      <c r="BC143" s="1207"/>
      <c r="BD143" s="1207"/>
      <c r="BE143" s="1213"/>
    </row>
    <row r="144" spans="1:57" ht="15.75" customHeight="1">
      <c r="A144" s="1207"/>
      <c r="B144" s="1207"/>
      <c r="C144" s="2194"/>
      <c r="D144" s="2195"/>
      <c r="E144" s="2195"/>
      <c r="F144" s="2195"/>
      <c r="G144" s="2195"/>
      <c r="H144" s="2195"/>
      <c r="I144" s="2238"/>
      <c r="J144" s="2238"/>
      <c r="K144" s="2238"/>
      <c r="L144" s="2238"/>
      <c r="M144" s="2238"/>
      <c r="N144" s="2239"/>
      <c r="O144" s="1207"/>
      <c r="P144" s="2247"/>
      <c r="Q144" s="2248"/>
      <c r="R144" s="2248"/>
      <c r="S144" s="2248"/>
      <c r="T144" s="2248"/>
      <c r="U144" s="2248"/>
      <c r="V144" s="2248"/>
      <c r="W144" s="2248"/>
      <c r="X144" s="2248"/>
      <c r="Y144" s="2248"/>
      <c r="Z144" s="2248"/>
      <c r="AA144" s="2248"/>
      <c r="AB144" s="2248"/>
      <c r="AC144" s="2248"/>
      <c r="AD144" s="2248"/>
      <c r="AE144" s="2248"/>
      <c r="AF144" s="2248"/>
      <c r="AG144" s="2248"/>
      <c r="AH144" s="2248"/>
      <c r="AI144" s="2248"/>
      <c r="AJ144" s="2248"/>
      <c r="AK144" s="2248"/>
      <c r="AL144" s="2248"/>
      <c r="AM144" s="2248"/>
      <c r="AN144" s="2248"/>
      <c r="AO144" s="2249"/>
      <c r="AP144" s="1207"/>
      <c r="AQ144" s="1207"/>
      <c r="AR144" s="1207"/>
      <c r="AS144" s="1207"/>
      <c r="AT144" s="1207"/>
      <c r="AU144" s="1207"/>
      <c r="AV144" s="1207"/>
      <c r="AW144" s="1207"/>
      <c r="AX144" s="1207"/>
      <c r="AY144" s="1207"/>
      <c r="AZ144" s="1207"/>
      <c r="BA144" s="1207"/>
      <c r="BB144" s="1207"/>
      <c r="BC144" s="1207"/>
      <c r="BD144" s="1207"/>
      <c r="BE144" s="1213"/>
    </row>
    <row r="145" spans="1:57" ht="15.75" customHeight="1">
      <c r="A145" s="1207"/>
      <c r="B145" s="1207"/>
      <c r="C145" s="2194"/>
      <c r="D145" s="2195"/>
      <c r="E145" s="2195"/>
      <c r="F145" s="2195"/>
      <c r="G145" s="2195"/>
      <c r="H145" s="2195"/>
      <c r="I145" s="2238"/>
      <c r="J145" s="2238"/>
      <c r="K145" s="2238"/>
      <c r="L145" s="2238"/>
      <c r="M145" s="2238"/>
      <c r="N145" s="2239"/>
      <c r="O145" s="1207"/>
      <c r="P145" s="2247"/>
      <c r="Q145" s="2248"/>
      <c r="R145" s="2248"/>
      <c r="S145" s="2248"/>
      <c r="T145" s="2248"/>
      <c r="U145" s="2248"/>
      <c r="V145" s="2248"/>
      <c r="W145" s="2248"/>
      <c r="X145" s="2248"/>
      <c r="Y145" s="2248"/>
      <c r="Z145" s="2248"/>
      <c r="AA145" s="2248"/>
      <c r="AB145" s="2248"/>
      <c r="AC145" s="2248"/>
      <c r="AD145" s="2248"/>
      <c r="AE145" s="2248"/>
      <c r="AF145" s="2248"/>
      <c r="AG145" s="2248"/>
      <c r="AH145" s="2248"/>
      <c r="AI145" s="2248"/>
      <c r="AJ145" s="2248"/>
      <c r="AK145" s="2248"/>
      <c r="AL145" s="2248"/>
      <c r="AM145" s="2248"/>
      <c r="AN145" s="2248"/>
      <c r="AO145" s="2249"/>
      <c r="AP145" s="1207"/>
      <c r="AQ145" s="1207"/>
      <c r="AR145" s="1207"/>
      <c r="AS145" s="1207"/>
      <c r="AT145" s="1207"/>
      <c r="AU145" s="1207"/>
      <c r="AV145" s="1207"/>
      <c r="AW145" s="1207"/>
      <c r="AX145" s="1207"/>
      <c r="AY145" s="1207"/>
      <c r="AZ145" s="1207"/>
      <c r="BA145" s="1207"/>
      <c r="BB145" s="1207"/>
      <c r="BC145" s="1207"/>
      <c r="BD145" s="1207"/>
      <c r="BE145" s="1213"/>
    </row>
    <row r="146" spans="1:57" ht="15.75" customHeight="1">
      <c r="A146" s="1207"/>
      <c r="B146" s="1207"/>
      <c r="C146" s="2194"/>
      <c r="D146" s="2195"/>
      <c r="E146" s="2195"/>
      <c r="F146" s="2195"/>
      <c r="G146" s="2195"/>
      <c r="H146" s="2195"/>
      <c r="I146" s="2238"/>
      <c r="J146" s="2238"/>
      <c r="K146" s="2238"/>
      <c r="L146" s="2238"/>
      <c r="M146" s="2238"/>
      <c r="N146" s="2239"/>
      <c r="O146" s="1207"/>
      <c r="P146" s="2247"/>
      <c r="Q146" s="2248"/>
      <c r="R146" s="2248"/>
      <c r="S146" s="2248"/>
      <c r="T146" s="2248"/>
      <c r="U146" s="2248"/>
      <c r="V146" s="2248"/>
      <c r="W146" s="2248"/>
      <c r="X146" s="2248"/>
      <c r="Y146" s="2248"/>
      <c r="Z146" s="2248"/>
      <c r="AA146" s="2248"/>
      <c r="AB146" s="2248"/>
      <c r="AC146" s="2248"/>
      <c r="AD146" s="2248"/>
      <c r="AE146" s="2248"/>
      <c r="AF146" s="2248"/>
      <c r="AG146" s="2248"/>
      <c r="AH146" s="2248"/>
      <c r="AI146" s="2248"/>
      <c r="AJ146" s="2248"/>
      <c r="AK146" s="2248"/>
      <c r="AL146" s="2248"/>
      <c r="AM146" s="2248"/>
      <c r="AN146" s="2248"/>
      <c r="AO146" s="2249"/>
      <c r="AP146" s="1207"/>
      <c r="AQ146" s="1207"/>
      <c r="AR146" s="1207"/>
      <c r="AS146" s="1207"/>
      <c r="AT146" s="1207"/>
      <c r="AU146" s="1207"/>
      <c r="AV146" s="1207"/>
      <c r="AW146" s="1207"/>
      <c r="AX146" s="1207"/>
      <c r="AY146" s="1207"/>
      <c r="AZ146" s="1207"/>
      <c r="BA146" s="1207"/>
      <c r="BB146" s="1207"/>
      <c r="BC146" s="1207"/>
      <c r="BD146" s="1207"/>
      <c r="BE146" s="1213"/>
    </row>
    <row r="147" spans="1:57" ht="15.75" customHeight="1">
      <c r="A147" s="1207"/>
      <c r="B147" s="1207"/>
      <c r="C147" s="2194"/>
      <c r="D147" s="2195"/>
      <c r="E147" s="2195"/>
      <c r="F147" s="2195"/>
      <c r="G147" s="2195"/>
      <c r="H147" s="2195"/>
      <c r="I147" s="2238"/>
      <c r="J147" s="2238"/>
      <c r="K147" s="2238"/>
      <c r="L147" s="2238"/>
      <c r="M147" s="2238"/>
      <c r="N147" s="2239"/>
      <c r="O147" s="1207"/>
      <c r="P147" s="2247"/>
      <c r="Q147" s="2248"/>
      <c r="R147" s="2248"/>
      <c r="S147" s="2248"/>
      <c r="T147" s="2248"/>
      <c r="U147" s="2248"/>
      <c r="V147" s="2248"/>
      <c r="W147" s="2248"/>
      <c r="X147" s="2248"/>
      <c r="Y147" s="2248"/>
      <c r="Z147" s="2248"/>
      <c r="AA147" s="2248"/>
      <c r="AB147" s="2248"/>
      <c r="AC147" s="2248"/>
      <c r="AD147" s="2248"/>
      <c r="AE147" s="2248"/>
      <c r="AF147" s="2248"/>
      <c r="AG147" s="2248"/>
      <c r="AH147" s="2248"/>
      <c r="AI147" s="2248"/>
      <c r="AJ147" s="2248"/>
      <c r="AK147" s="2248"/>
      <c r="AL147" s="2248"/>
      <c r="AM147" s="2248"/>
      <c r="AN147" s="2248"/>
      <c r="AO147" s="2249"/>
      <c r="AP147" s="1207"/>
      <c r="AQ147" s="1207"/>
      <c r="AR147" s="1207"/>
      <c r="AS147" s="1207"/>
      <c r="AT147" s="1207"/>
      <c r="AU147" s="1207"/>
      <c r="AV147" s="1207"/>
      <c r="AW147" s="1207"/>
      <c r="AX147" s="1207"/>
      <c r="AY147" s="1207"/>
      <c r="AZ147" s="1207"/>
      <c r="BA147" s="1207"/>
      <c r="BB147" s="1207"/>
      <c r="BC147" s="1207"/>
      <c r="BD147" s="1207"/>
      <c r="BE147" s="1213"/>
    </row>
    <row r="148" spans="1:57" ht="15.75" customHeight="1">
      <c r="A148" s="1207"/>
      <c r="B148" s="1207"/>
      <c r="C148" s="2194"/>
      <c r="D148" s="2195"/>
      <c r="E148" s="2195"/>
      <c r="F148" s="2195"/>
      <c r="G148" s="2195"/>
      <c r="H148" s="2195"/>
      <c r="I148" s="2238"/>
      <c r="J148" s="2238"/>
      <c r="K148" s="2238"/>
      <c r="L148" s="2238"/>
      <c r="M148" s="2238"/>
      <c r="N148" s="2239"/>
      <c r="O148" s="1207"/>
      <c r="P148" s="2247"/>
      <c r="Q148" s="2248"/>
      <c r="R148" s="2248"/>
      <c r="S148" s="2248"/>
      <c r="T148" s="2248"/>
      <c r="U148" s="2248"/>
      <c r="V148" s="2248"/>
      <c r="W148" s="2248"/>
      <c r="X148" s="2248"/>
      <c r="Y148" s="2248"/>
      <c r="Z148" s="2248"/>
      <c r="AA148" s="2248"/>
      <c r="AB148" s="2248"/>
      <c r="AC148" s="2248"/>
      <c r="AD148" s="2248"/>
      <c r="AE148" s="2248"/>
      <c r="AF148" s="2248"/>
      <c r="AG148" s="2248"/>
      <c r="AH148" s="2248"/>
      <c r="AI148" s="2248"/>
      <c r="AJ148" s="2248"/>
      <c r="AK148" s="2248"/>
      <c r="AL148" s="2248"/>
      <c r="AM148" s="2248"/>
      <c r="AN148" s="2248"/>
      <c r="AO148" s="2249"/>
      <c r="AP148" s="1207"/>
      <c r="AQ148" s="1207"/>
      <c r="AR148" s="1207"/>
      <c r="AS148" s="1207"/>
      <c r="AT148" s="1207"/>
      <c r="AU148" s="1207"/>
      <c r="AV148" s="1207"/>
      <c r="AW148" s="1207"/>
      <c r="AX148" s="1207"/>
      <c r="AY148" s="1207"/>
      <c r="AZ148" s="1207"/>
      <c r="BA148" s="1207"/>
      <c r="BB148" s="1207"/>
      <c r="BC148" s="1207"/>
      <c r="BD148" s="1207"/>
      <c r="BE148" s="1213"/>
    </row>
    <row r="149" spans="1:57" ht="15.75" customHeight="1" thickBot="1">
      <c r="A149" s="1207"/>
      <c r="B149" s="1207"/>
      <c r="C149" s="2229"/>
      <c r="D149" s="2230"/>
      <c r="E149" s="2230"/>
      <c r="F149" s="2230"/>
      <c r="G149" s="2230"/>
      <c r="H149" s="2230"/>
      <c r="I149" s="2231"/>
      <c r="J149" s="2231"/>
      <c r="K149" s="2231"/>
      <c r="L149" s="2231"/>
      <c r="M149" s="2231"/>
      <c r="N149" s="2232"/>
      <c r="O149" s="1207"/>
      <c r="P149" s="2250"/>
      <c r="Q149" s="2251"/>
      <c r="R149" s="2251"/>
      <c r="S149" s="2251"/>
      <c r="T149" s="2251"/>
      <c r="U149" s="2251"/>
      <c r="V149" s="2251"/>
      <c r="W149" s="2251"/>
      <c r="X149" s="2251"/>
      <c r="Y149" s="2251"/>
      <c r="Z149" s="2251"/>
      <c r="AA149" s="2251"/>
      <c r="AB149" s="2251"/>
      <c r="AC149" s="2251"/>
      <c r="AD149" s="2251"/>
      <c r="AE149" s="2251"/>
      <c r="AF149" s="2251"/>
      <c r="AG149" s="2251"/>
      <c r="AH149" s="2251"/>
      <c r="AI149" s="2251"/>
      <c r="AJ149" s="2251"/>
      <c r="AK149" s="2251"/>
      <c r="AL149" s="2251"/>
      <c r="AM149" s="2251"/>
      <c r="AN149" s="2251"/>
      <c r="AO149" s="2252"/>
      <c r="AP149" s="1207"/>
      <c r="AQ149" s="1207"/>
      <c r="AR149" s="1207"/>
      <c r="AS149" s="1207"/>
      <c r="AT149" s="1207"/>
      <c r="AU149" s="1207"/>
      <c r="AV149" s="1207"/>
      <c r="AW149" s="1207"/>
      <c r="AX149" s="1207"/>
      <c r="AY149" s="1207"/>
      <c r="AZ149" s="1207"/>
      <c r="BA149" s="1207"/>
      <c r="BB149" s="1207"/>
      <c r="BC149" s="1207"/>
      <c r="BD149" s="1207"/>
      <c r="BE149" s="1213"/>
    </row>
    <row r="150" spans="1:57" ht="15.75" customHeight="1">
      <c r="A150" s="1207"/>
      <c r="B150" s="1207"/>
      <c r="C150" s="1207"/>
      <c r="D150" s="1207"/>
      <c r="E150" s="1207"/>
      <c r="F150" s="1207"/>
      <c r="G150" s="1207"/>
      <c r="H150" s="1207"/>
      <c r="I150" s="1207"/>
      <c r="J150" s="1207"/>
      <c r="K150" s="1207"/>
      <c r="L150" s="1207"/>
      <c r="M150" s="1207"/>
      <c r="N150" s="1207"/>
      <c r="O150" s="1207"/>
      <c r="P150" s="1207"/>
      <c r="Q150" s="1207"/>
      <c r="R150" s="1207"/>
      <c r="S150" s="1207"/>
      <c r="T150" s="1207"/>
      <c r="U150" s="1207"/>
      <c r="V150" s="1207"/>
      <c r="W150" s="1207"/>
      <c r="X150" s="1207"/>
      <c r="Y150" s="1207"/>
      <c r="Z150" s="1207"/>
      <c r="AA150" s="1207"/>
      <c r="AB150" s="1207"/>
      <c r="AC150" s="1207"/>
      <c r="AD150" s="1207"/>
      <c r="AE150" s="1207"/>
      <c r="AF150" s="1207"/>
      <c r="AG150" s="1207"/>
      <c r="AH150" s="1207"/>
      <c r="AI150" s="1207"/>
      <c r="AJ150" s="1207"/>
      <c r="AK150" s="1207"/>
      <c r="AL150" s="1207"/>
      <c r="AM150" s="1207"/>
      <c r="AN150" s="1207"/>
      <c r="AO150" s="1207"/>
      <c r="AP150" s="1207"/>
      <c r="AQ150" s="1207"/>
      <c r="AR150" s="1207"/>
      <c r="AS150" s="1207"/>
      <c r="AT150" s="1207"/>
      <c r="AU150" s="1207"/>
      <c r="AV150" s="1207"/>
      <c r="AW150" s="1207"/>
      <c r="AX150" s="1207"/>
      <c r="AY150" s="1207"/>
      <c r="AZ150" s="1207"/>
      <c r="BA150" s="1207"/>
      <c r="BB150" s="1207"/>
      <c r="BC150" s="1207"/>
      <c r="BD150" s="1207"/>
      <c r="BE150" s="1213"/>
    </row>
    <row r="151" spans="1:57" ht="15.75" customHeight="1" thickBot="1">
      <c r="A151" s="1207"/>
      <c r="B151" s="1207"/>
      <c r="C151" s="2233" t="s">
        <v>2598</v>
      </c>
      <c r="D151" s="2233"/>
      <c r="E151" s="2233"/>
      <c r="F151" s="2233"/>
      <c r="G151" s="2233"/>
      <c r="H151" s="2233"/>
      <c r="I151" s="2233"/>
      <c r="J151" s="2233"/>
      <c r="K151" s="2233"/>
      <c r="L151" s="2233"/>
      <c r="M151" s="2233"/>
      <c r="N151" s="2233"/>
      <c r="O151" s="2233"/>
      <c r="P151" s="2233"/>
      <c r="Q151" s="2233"/>
      <c r="R151" s="2233"/>
      <c r="S151" s="2233"/>
      <c r="T151" s="2233"/>
      <c r="U151" s="2233"/>
      <c r="V151" s="2233"/>
      <c r="W151" s="2233"/>
      <c r="X151" s="2233"/>
      <c r="Y151" s="2233"/>
      <c r="Z151" s="2233"/>
      <c r="AA151" s="2233"/>
      <c r="AB151" s="2233"/>
      <c r="AC151" s="2233"/>
      <c r="AD151" s="2233"/>
      <c r="AE151" s="2233"/>
      <c r="AF151" s="1207"/>
      <c r="AG151" s="1207"/>
      <c r="AH151" s="1207"/>
      <c r="AI151" s="1207" t="s">
        <v>251</v>
      </c>
      <c r="AJ151" s="1207"/>
      <c r="AK151" s="1207"/>
      <c r="AL151" s="1207"/>
      <c r="AM151" s="1207"/>
      <c r="AN151" s="1207"/>
      <c r="AO151" s="1207"/>
      <c r="AP151" s="1207"/>
      <c r="AQ151" s="1207"/>
      <c r="AR151" s="1207"/>
      <c r="AS151" s="1207"/>
      <c r="AT151" s="1207"/>
      <c r="AU151" s="1207"/>
      <c r="AV151" s="1207"/>
      <c r="AW151" s="1207"/>
      <c r="AX151" s="1207"/>
      <c r="AY151" s="1207"/>
      <c r="AZ151" s="1207"/>
      <c r="BA151" s="1207"/>
      <c r="BB151" s="1207"/>
      <c r="BC151" s="1207"/>
      <c r="BD151" s="1207"/>
      <c r="BE151" s="1213"/>
    </row>
    <row r="152" spans="1:57" ht="15.75" customHeight="1" thickBot="1">
      <c r="A152" s="1207"/>
      <c r="B152" s="1207"/>
      <c r="C152" s="2233"/>
      <c r="D152" s="2233"/>
      <c r="E152" s="2233"/>
      <c r="F152" s="2233"/>
      <c r="G152" s="2233"/>
      <c r="H152" s="2233"/>
      <c r="I152" s="2233"/>
      <c r="J152" s="2233"/>
      <c r="K152" s="2233"/>
      <c r="L152" s="2233"/>
      <c r="M152" s="2233"/>
      <c r="N152" s="2233"/>
      <c r="O152" s="2233"/>
      <c r="P152" s="2233"/>
      <c r="Q152" s="2233"/>
      <c r="R152" s="2233"/>
      <c r="S152" s="2233"/>
      <c r="T152" s="2233"/>
      <c r="U152" s="2233"/>
      <c r="V152" s="2233"/>
      <c r="W152" s="2233"/>
      <c r="X152" s="2233"/>
      <c r="Y152" s="2233"/>
      <c r="Z152" s="2233"/>
      <c r="AA152" s="2233"/>
      <c r="AB152" s="2233"/>
      <c r="AC152" s="2233"/>
      <c r="AD152" s="2233"/>
      <c r="AE152" s="2233"/>
      <c r="AF152" s="1207"/>
      <c r="AG152" s="1207"/>
      <c r="AH152" s="1227" t="s">
        <v>1921</v>
      </c>
      <c r="AI152" s="1228"/>
      <c r="AJ152" s="1228"/>
      <c r="AK152" s="1228"/>
      <c r="AL152" s="1228"/>
      <c r="AM152" s="1228"/>
      <c r="AN152" s="1228"/>
      <c r="AO152" s="1228"/>
      <c r="AP152" s="1228"/>
      <c r="AQ152" s="1228"/>
      <c r="AR152" s="1229"/>
      <c r="AS152" s="1230">
        <v>0</v>
      </c>
      <c r="AT152" s="1231"/>
      <c r="AU152" s="1231"/>
      <c r="AV152" s="1231"/>
      <c r="AW152" s="1232"/>
      <c r="AX152" s="1207"/>
      <c r="AY152" s="1207"/>
      <c r="AZ152" s="1207"/>
      <c r="BA152" s="1207"/>
      <c r="BB152" s="1207"/>
      <c r="BC152" s="1207"/>
      <c r="BD152" s="1207"/>
      <c r="BE152" s="1213"/>
    </row>
    <row r="153" spans="1:57" ht="15.75" customHeight="1">
      <c r="A153" s="1207"/>
      <c r="B153" s="1207"/>
      <c r="C153" s="2234" t="s">
        <v>1909</v>
      </c>
      <c r="D153" s="2235"/>
      <c r="E153" s="2235"/>
      <c r="F153" s="2235"/>
      <c r="G153" s="2235"/>
      <c r="H153" s="2235"/>
      <c r="I153" s="2235"/>
      <c r="J153" s="2235"/>
      <c r="K153" s="2235"/>
      <c r="L153" s="2235"/>
      <c r="M153" s="2235"/>
      <c r="N153" s="2235" t="s">
        <v>1920</v>
      </c>
      <c r="O153" s="2235"/>
      <c r="P153" s="2235"/>
      <c r="Q153" s="2235"/>
      <c r="R153" s="2235"/>
      <c r="S153" s="2235"/>
      <c r="T153" s="2235"/>
      <c r="U153" s="2236" t="s">
        <v>1909</v>
      </c>
      <c r="V153" s="2236"/>
      <c r="W153" s="2236"/>
      <c r="X153" s="2236"/>
      <c r="Y153" s="2236"/>
      <c r="Z153" s="2236"/>
      <c r="AA153" s="2236"/>
      <c r="AB153" s="2236"/>
      <c r="AC153" s="2236"/>
      <c r="AD153" s="2236"/>
      <c r="AE153" s="2237"/>
      <c r="AF153" s="1207"/>
      <c r="AG153" s="1207"/>
      <c r="AH153" s="1233" t="s">
        <v>1922</v>
      </c>
      <c r="AI153" s="1234"/>
      <c r="AJ153" s="1234"/>
      <c r="AK153" s="1234"/>
      <c r="AL153" s="1234"/>
      <c r="AM153" s="1234"/>
      <c r="AN153" s="1234"/>
      <c r="AO153" s="1234"/>
      <c r="AP153" s="1234"/>
      <c r="AQ153" s="1234"/>
      <c r="AR153" s="1235"/>
      <c r="AS153" s="1236">
        <v>0</v>
      </c>
      <c r="AT153" s="1237"/>
      <c r="AU153" s="1237"/>
      <c r="AV153" s="1237"/>
      <c r="AW153" s="1238"/>
      <c r="AX153" s="1207"/>
      <c r="AY153" s="1207"/>
      <c r="AZ153" s="1207"/>
      <c r="BA153" s="1207"/>
      <c r="BB153" s="1207"/>
      <c r="BC153" s="1207"/>
      <c r="BD153" s="1207"/>
      <c r="BE153" s="1213"/>
    </row>
    <row r="154" spans="1:57" ht="15.75" customHeight="1">
      <c r="A154" s="1207"/>
      <c r="B154" s="1207"/>
      <c r="C154" s="2206" t="s">
        <v>2599</v>
      </c>
      <c r="D154" s="2207"/>
      <c r="E154" s="2207"/>
      <c r="F154" s="2207"/>
      <c r="G154" s="2207"/>
      <c r="H154" s="2207"/>
      <c r="I154" s="2207"/>
      <c r="J154" s="2207"/>
      <c r="K154" s="2207"/>
      <c r="L154" s="2207"/>
      <c r="M154" s="2207"/>
      <c r="N154" s="2223">
        <f>'Sources and Uses Budget'!B105</f>
        <v>67239893</v>
      </c>
      <c r="O154" s="2223"/>
      <c r="P154" s="2223"/>
      <c r="Q154" s="2223"/>
      <c r="R154" s="2223"/>
      <c r="S154" s="2223"/>
      <c r="T154" s="2223"/>
      <c r="U154" s="2224"/>
      <c r="V154" s="2224"/>
      <c r="W154" s="2224"/>
      <c r="X154" s="2224"/>
      <c r="Y154" s="2224"/>
      <c r="Z154" s="2224"/>
      <c r="AA154" s="2224"/>
      <c r="AB154" s="2224"/>
      <c r="AC154" s="2224"/>
      <c r="AD154" s="2224"/>
      <c r="AE154" s="2225"/>
      <c r="AF154" s="1207"/>
      <c r="AG154" s="1207"/>
      <c r="AH154" s="1233" t="s">
        <v>2600</v>
      </c>
      <c r="AI154" s="1234"/>
      <c r="AJ154" s="1234"/>
      <c r="AK154" s="1234"/>
      <c r="AL154" s="1234"/>
      <c r="AM154" s="1234"/>
      <c r="AN154" s="1234"/>
      <c r="AO154" s="1234"/>
      <c r="AP154" s="1234"/>
      <c r="AQ154" s="1234"/>
      <c r="AR154" s="1235"/>
      <c r="AS154" s="1236">
        <v>0</v>
      </c>
      <c r="AT154" s="1237"/>
      <c r="AU154" s="1237"/>
      <c r="AV154" s="1237"/>
      <c r="AW154" s="1238"/>
      <c r="AX154" s="1207"/>
      <c r="AY154" s="1207"/>
      <c r="AZ154" s="1207"/>
      <c r="BA154" s="1207"/>
      <c r="BB154" s="1207"/>
      <c r="BC154" s="1207"/>
      <c r="BD154" s="1207"/>
      <c r="BE154" s="1213"/>
    </row>
    <row r="155" spans="1:57" ht="15.75" customHeight="1">
      <c r="A155" s="1207"/>
      <c r="B155" s="1207"/>
      <c r="C155" s="2206" t="s">
        <v>2601</v>
      </c>
      <c r="D155" s="2207"/>
      <c r="E155" s="2207"/>
      <c r="F155" s="2207"/>
      <c r="G155" s="2207"/>
      <c r="H155" s="2207"/>
      <c r="I155" s="2207"/>
      <c r="J155" s="2207"/>
      <c r="K155" s="2207"/>
      <c r="L155" s="2207"/>
      <c r="M155" s="2207"/>
      <c r="N155" s="2223">
        <f>N154/J29</f>
        <v>400237.45833333331</v>
      </c>
      <c r="O155" s="2223"/>
      <c r="P155" s="2223"/>
      <c r="Q155" s="2223"/>
      <c r="R155" s="2223"/>
      <c r="S155" s="2223"/>
      <c r="T155" s="2223"/>
      <c r="U155" s="1239"/>
      <c r="V155" s="1239"/>
      <c r="W155" s="1239"/>
      <c r="X155" s="1239"/>
      <c r="Y155" s="1239"/>
      <c r="Z155" s="1239"/>
      <c r="AA155" s="1239"/>
      <c r="AB155" s="1239"/>
      <c r="AC155" s="1239"/>
      <c r="AD155" s="1239"/>
      <c r="AE155" s="1240"/>
      <c r="AF155" s="1207"/>
      <c r="AG155" s="1207"/>
      <c r="AH155" s="1241"/>
      <c r="AI155" s="1242"/>
      <c r="AJ155" s="1242"/>
      <c r="AK155" s="1242"/>
      <c r="AL155" s="1242"/>
      <c r="AM155" s="1242"/>
      <c r="AN155" s="1242"/>
      <c r="AO155" s="1242"/>
      <c r="AP155" s="1242"/>
      <c r="AQ155" s="1242"/>
      <c r="AR155" s="1243"/>
      <c r="AS155" s="1244"/>
      <c r="AT155" s="1245"/>
      <c r="AU155" s="1245"/>
      <c r="AV155" s="1245"/>
      <c r="AW155" s="1246"/>
      <c r="AX155" s="1207"/>
      <c r="AY155" s="1207"/>
      <c r="AZ155" s="1207"/>
      <c r="BA155" s="1207"/>
      <c r="BB155" s="1207"/>
      <c r="BC155" s="1207"/>
      <c r="BD155" s="1207"/>
      <c r="BE155" s="1213"/>
    </row>
    <row r="156" spans="1:57" ht="15.75" customHeight="1" thickBot="1">
      <c r="A156" s="1207"/>
      <c r="B156" s="1207"/>
      <c r="C156" s="2226" t="s">
        <v>2602</v>
      </c>
      <c r="D156" s="2227"/>
      <c r="E156" s="2227"/>
      <c r="F156" s="2227"/>
      <c r="G156" s="2227"/>
      <c r="H156" s="2227"/>
      <c r="I156" s="2227"/>
      <c r="J156" s="2227"/>
      <c r="K156" s="2227"/>
      <c r="L156" s="2227"/>
      <c r="M156" s="2227"/>
      <c r="N156" s="2228">
        <v>0</v>
      </c>
      <c r="O156" s="2228"/>
      <c r="P156" s="2228"/>
      <c r="Q156" s="2228"/>
      <c r="R156" s="2228"/>
      <c r="S156" s="2228"/>
      <c r="T156" s="2228"/>
      <c r="U156" s="2198"/>
      <c r="V156" s="2198"/>
      <c r="W156" s="2198"/>
      <c r="X156" s="2198"/>
      <c r="Y156" s="2198"/>
      <c r="Z156" s="2198"/>
      <c r="AA156" s="2198"/>
      <c r="AB156" s="2198"/>
      <c r="AC156" s="2198"/>
      <c r="AD156" s="2198"/>
      <c r="AE156" s="2199"/>
      <c r="AF156" s="1207"/>
      <c r="AG156" s="1207"/>
      <c r="AH156" s="2208" t="s">
        <v>2269</v>
      </c>
      <c r="AI156" s="2209"/>
      <c r="AJ156" s="2209"/>
      <c r="AK156" s="2209"/>
      <c r="AL156" s="2209"/>
      <c r="AM156" s="2209"/>
      <c r="AN156" s="2209"/>
      <c r="AO156" s="2209"/>
      <c r="AP156" s="2209"/>
      <c r="AQ156" s="2209"/>
      <c r="AR156" s="2209"/>
      <c r="AS156" s="2210">
        <f>SUM(AS152:AW154)</f>
        <v>0</v>
      </c>
      <c r="AT156" s="2210"/>
      <c r="AU156" s="2210"/>
      <c r="AV156" s="2210"/>
      <c r="AW156" s="2211"/>
      <c r="AX156" s="1207"/>
      <c r="AY156" s="1207"/>
      <c r="AZ156" s="1207"/>
      <c r="BA156" s="1207"/>
      <c r="BB156" s="1207"/>
      <c r="BC156" s="1207"/>
      <c r="BD156" s="1207"/>
      <c r="BE156" s="1213"/>
    </row>
    <row r="157" spans="1:57" ht="15.75" customHeight="1" thickBot="1">
      <c r="A157" s="1207"/>
      <c r="B157" s="1207"/>
      <c r="C157" s="2206" t="s">
        <v>2603</v>
      </c>
      <c r="D157" s="2207"/>
      <c r="E157" s="2207"/>
      <c r="F157" s="2207"/>
      <c r="G157" s="2207"/>
      <c r="H157" s="2207"/>
      <c r="I157" s="2207"/>
      <c r="J157" s="2207"/>
      <c r="K157" s="2207"/>
      <c r="L157" s="2207"/>
      <c r="M157" s="2207"/>
      <c r="N157" s="2212">
        <f>SUM('Sources and Uses Budget'!B85:B86)</f>
        <v>8999931</v>
      </c>
      <c r="O157" s="2212"/>
      <c r="P157" s="2212"/>
      <c r="Q157" s="2212"/>
      <c r="R157" s="2212"/>
      <c r="S157" s="2212"/>
      <c r="T157" s="2212"/>
      <c r="U157" s="2198"/>
      <c r="V157" s="2198"/>
      <c r="W157" s="2198"/>
      <c r="X157" s="2198"/>
      <c r="Y157" s="2198"/>
      <c r="Z157" s="2198"/>
      <c r="AA157" s="2198"/>
      <c r="AB157" s="2198"/>
      <c r="AC157" s="2198"/>
      <c r="AD157" s="2198"/>
      <c r="AE157" s="2199"/>
      <c r="AF157" s="1207"/>
      <c r="AG157" s="1207"/>
      <c r="AH157" s="1247" t="s">
        <v>2604</v>
      </c>
      <c r="AI157" s="1207"/>
      <c r="AJ157" s="1207"/>
      <c r="AK157" s="1207"/>
      <c r="AL157" s="1207"/>
      <c r="AM157" s="1207"/>
      <c r="AN157" s="1207"/>
      <c r="AO157" s="1207"/>
      <c r="AP157" s="1207"/>
      <c r="AQ157" s="1207"/>
      <c r="AR157" s="1207"/>
      <c r="AS157" s="1207"/>
      <c r="AT157" s="1207"/>
      <c r="AU157" s="1207"/>
      <c r="AV157" s="1207"/>
      <c r="AW157" s="1207"/>
      <c r="AX157" s="1207"/>
      <c r="AY157" s="1207"/>
      <c r="AZ157" s="1207"/>
      <c r="BA157" s="1207"/>
      <c r="BB157" s="1207"/>
      <c r="BC157" s="1207"/>
      <c r="BD157" s="1207"/>
      <c r="BE157" s="1213"/>
    </row>
    <row r="158" spans="1:57" ht="15.75" customHeight="1">
      <c r="A158" s="1207"/>
      <c r="B158" s="1207"/>
      <c r="C158" s="2206" t="s">
        <v>2605</v>
      </c>
      <c r="D158" s="2207"/>
      <c r="E158" s="2207"/>
      <c r="F158" s="2207"/>
      <c r="G158" s="2207"/>
      <c r="H158" s="2207"/>
      <c r="I158" s="2207"/>
      <c r="J158" s="2207"/>
      <c r="K158" s="2207"/>
      <c r="L158" s="2207"/>
      <c r="M158" s="2207"/>
      <c r="N158" s="2212">
        <f>'Sources and Uses Budget'!B8</f>
        <v>1</v>
      </c>
      <c r="O158" s="2212"/>
      <c r="P158" s="2212"/>
      <c r="Q158" s="2212"/>
      <c r="R158" s="2212"/>
      <c r="S158" s="2212"/>
      <c r="T158" s="2212"/>
      <c r="U158" s="2198"/>
      <c r="V158" s="2198"/>
      <c r="W158" s="2198"/>
      <c r="X158" s="2198"/>
      <c r="Y158" s="2198"/>
      <c r="Z158" s="2198"/>
      <c r="AA158" s="2198"/>
      <c r="AB158" s="2198"/>
      <c r="AC158" s="2198"/>
      <c r="AD158" s="2198"/>
      <c r="AE158" s="2199"/>
      <c r="AF158" s="1207"/>
      <c r="AG158" s="1207"/>
      <c r="AH158" s="2213" t="s">
        <v>2606</v>
      </c>
      <c r="AI158" s="2214"/>
      <c r="AJ158" s="2214"/>
      <c r="AK158" s="2214"/>
      <c r="AL158" s="2214"/>
      <c r="AM158" s="2214"/>
      <c r="AN158" s="2214"/>
      <c r="AO158" s="2214"/>
      <c r="AP158" s="2214"/>
      <c r="AQ158" s="2214"/>
      <c r="AR158" s="2215"/>
      <c r="AS158" s="2219" t="s">
        <v>2607</v>
      </c>
      <c r="AT158" s="2202"/>
      <c r="AU158" s="2202"/>
      <c r="AV158" s="2202"/>
      <c r="AW158" s="2202"/>
      <c r="AX158" s="2220"/>
      <c r="AY158" s="2202" t="s">
        <v>2608</v>
      </c>
      <c r="AZ158" s="2202"/>
      <c r="BA158" s="2202"/>
      <c r="BB158" s="2202"/>
      <c r="BC158" s="2202"/>
      <c r="BD158" s="2203"/>
      <c r="BE158" s="1213"/>
    </row>
    <row r="159" spans="1:57" ht="15.75" customHeight="1">
      <c r="A159" s="1207"/>
      <c r="B159" s="1207"/>
      <c r="C159" s="2206" t="s">
        <v>2609</v>
      </c>
      <c r="D159" s="2207"/>
      <c r="E159" s="2207"/>
      <c r="F159" s="2207"/>
      <c r="G159" s="2207"/>
      <c r="H159" s="2207"/>
      <c r="I159" s="2207"/>
      <c r="J159" s="2207"/>
      <c r="K159" s="2207"/>
      <c r="L159" s="2207"/>
      <c r="M159" s="2207"/>
      <c r="N159" s="2197">
        <v>0</v>
      </c>
      <c r="O159" s="2197"/>
      <c r="P159" s="2197"/>
      <c r="Q159" s="2197"/>
      <c r="R159" s="2197"/>
      <c r="S159" s="2197"/>
      <c r="T159" s="2197"/>
      <c r="U159" s="2198"/>
      <c r="V159" s="2198"/>
      <c r="W159" s="2198"/>
      <c r="X159" s="2198"/>
      <c r="Y159" s="2198"/>
      <c r="Z159" s="2198"/>
      <c r="AA159" s="2198"/>
      <c r="AB159" s="2198"/>
      <c r="AC159" s="2198"/>
      <c r="AD159" s="2198"/>
      <c r="AE159" s="2199"/>
      <c r="AF159" s="1207"/>
      <c r="AG159" s="1207"/>
      <c r="AH159" s="2216"/>
      <c r="AI159" s="2217"/>
      <c r="AJ159" s="2217"/>
      <c r="AK159" s="2217"/>
      <c r="AL159" s="2217"/>
      <c r="AM159" s="2217"/>
      <c r="AN159" s="2217"/>
      <c r="AO159" s="2217"/>
      <c r="AP159" s="2217"/>
      <c r="AQ159" s="2217"/>
      <c r="AR159" s="2218"/>
      <c r="AS159" s="2221"/>
      <c r="AT159" s="2204"/>
      <c r="AU159" s="2204"/>
      <c r="AV159" s="2204"/>
      <c r="AW159" s="2204"/>
      <c r="AX159" s="2222"/>
      <c r="AY159" s="2204"/>
      <c r="AZ159" s="2204"/>
      <c r="BA159" s="2204"/>
      <c r="BB159" s="2204"/>
      <c r="BC159" s="2204"/>
      <c r="BD159" s="2205"/>
      <c r="BE159" s="1213"/>
    </row>
    <row r="160" spans="1:57" ht="15.75" customHeight="1">
      <c r="A160" s="1207"/>
      <c r="B160" s="1207"/>
      <c r="C160" s="2206" t="s">
        <v>2610</v>
      </c>
      <c r="D160" s="2207"/>
      <c r="E160" s="2207"/>
      <c r="F160" s="2207"/>
      <c r="G160" s="2207"/>
      <c r="H160" s="2207"/>
      <c r="I160" s="2207"/>
      <c r="J160" s="2207"/>
      <c r="K160" s="2207"/>
      <c r="L160" s="2207"/>
      <c r="M160" s="2207"/>
      <c r="N160" s="2197">
        <v>0</v>
      </c>
      <c r="O160" s="2197"/>
      <c r="P160" s="2197"/>
      <c r="Q160" s="2197"/>
      <c r="R160" s="2197"/>
      <c r="S160" s="2197"/>
      <c r="T160" s="2197"/>
      <c r="U160" s="2198"/>
      <c r="V160" s="2198"/>
      <c r="W160" s="2198"/>
      <c r="X160" s="2198"/>
      <c r="Y160" s="2198"/>
      <c r="Z160" s="2198"/>
      <c r="AA160" s="2198"/>
      <c r="AB160" s="2198"/>
      <c r="AC160" s="2198"/>
      <c r="AD160" s="2198"/>
      <c r="AE160" s="2199"/>
      <c r="AF160" s="1207"/>
      <c r="AG160" s="1207"/>
      <c r="AH160" s="2173" t="s">
        <v>2270</v>
      </c>
      <c r="AI160" s="2174"/>
      <c r="AJ160" s="2174"/>
      <c r="AK160" s="2174"/>
      <c r="AL160" s="2174"/>
      <c r="AM160" s="2174"/>
      <c r="AN160" s="2174"/>
      <c r="AO160" s="2174"/>
      <c r="AP160" s="2174"/>
      <c r="AQ160" s="2174"/>
      <c r="AR160" s="2174"/>
      <c r="AS160" s="2175">
        <v>0</v>
      </c>
      <c r="AT160" s="2175"/>
      <c r="AU160" s="2175"/>
      <c r="AV160" s="2175"/>
      <c r="AW160" s="2175"/>
      <c r="AX160" s="2175"/>
      <c r="AY160" s="2175">
        <v>0</v>
      </c>
      <c r="AZ160" s="2175"/>
      <c r="BA160" s="2175"/>
      <c r="BB160" s="2175"/>
      <c r="BC160" s="2175"/>
      <c r="BD160" s="2176"/>
      <c r="BE160" s="1213"/>
    </row>
    <row r="161" spans="1:57" ht="15.75" customHeight="1">
      <c r="A161" s="1207"/>
      <c r="B161" s="1207"/>
      <c r="C161" s="2200" t="s">
        <v>301</v>
      </c>
      <c r="D161" s="2201"/>
      <c r="E161" s="2196" t="s">
        <v>1915</v>
      </c>
      <c r="F161" s="2196"/>
      <c r="G161" s="2196"/>
      <c r="H161" s="2196"/>
      <c r="I161" s="2196"/>
      <c r="J161" s="2196"/>
      <c r="K161" s="2196"/>
      <c r="L161" s="2196"/>
      <c r="M161" s="2196"/>
      <c r="N161" s="2197">
        <v>0</v>
      </c>
      <c r="O161" s="2197"/>
      <c r="P161" s="2197"/>
      <c r="Q161" s="2197"/>
      <c r="R161" s="2197"/>
      <c r="S161" s="2197"/>
      <c r="T161" s="2197"/>
      <c r="U161" s="2198"/>
      <c r="V161" s="2198"/>
      <c r="W161" s="2198"/>
      <c r="X161" s="2198"/>
      <c r="Y161" s="2198"/>
      <c r="Z161" s="2198"/>
      <c r="AA161" s="2198"/>
      <c r="AB161" s="2198"/>
      <c r="AC161" s="2198"/>
      <c r="AD161" s="2198"/>
      <c r="AE161" s="2199"/>
      <c r="AF161" s="1207"/>
      <c r="AG161" s="1207"/>
      <c r="AH161" s="2173" t="s">
        <v>2271</v>
      </c>
      <c r="AI161" s="2174"/>
      <c r="AJ161" s="2174"/>
      <c r="AK161" s="2174"/>
      <c r="AL161" s="2174"/>
      <c r="AM161" s="2174"/>
      <c r="AN161" s="2174"/>
      <c r="AO161" s="2174"/>
      <c r="AP161" s="2174"/>
      <c r="AQ161" s="2174"/>
      <c r="AR161" s="2174"/>
      <c r="AS161" s="2175">
        <v>0</v>
      </c>
      <c r="AT161" s="2175"/>
      <c r="AU161" s="2175"/>
      <c r="AV161" s="2175"/>
      <c r="AW161" s="2175"/>
      <c r="AX161" s="2175"/>
      <c r="AY161" s="2175">
        <v>0</v>
      </c>
      <c r="AZ161" s="2175"/>
      <c r="BA161" s="2175"/>
      <c r="BB161" s="2175"/>
      <c r="BC161" s="2175"/>
      <c r="BD161" s="2176"/>
      <c r="BE161" s="1213"/>
    </row>
    <row r="162" spans="1:57" ht="15.75" customHeight="1">
      <c r="A162" s="1207"/>
      <c r="B162" s="1207"/>
      <c r="C162" s="2194" t="s">
        <v>301</v>
      </c>
      <c r="D162" s="2195"/>
      <c r="E162" s="2196" t="s">
        <v>1915</v>
      </c>
      <c r="F162" s="2196"/>
      <c r="G162" s="2196"/>
      <c r="H162" s="2196"/>
      <c r="I162" s="2196"/>
      <c r="J162" s="2196"/>
      <c r="K162" s="2196"/>
      <c r="L162" s="2196"/>
      <c r="M162" s="2196"/>
      <c r="N162" s="2197">
        <v>0</v>
      </c>
      <c r="O162" s="2197"/>
      <c r="P162" s="2197"/>
      <c r="Q162" s="2197"/>
      <c r="R162" s="2197"/>
      <c r="S162" s="2197"/>
      <c r="T162" s="2197"/>
      <c r="U162" s="2198"/>
      <c r="V162" s="2198"/>
      <c r="W162" s="2198"/>
      <c r="X162" s="2198"/>
      <c r="Y162" s="2198"/>
      <c r="Z162" s="2198"/>
      <c r="AA162" s="2198"/>
      <c r="AB162" s="2198"/>
      <c r="AC162" s="2198"/>
      <c r="AD162" s="2198"/>
      <c r="AE162" s="2199"/>
      <c r="AF162" s="1207"/>
      <c r="AG162" s="1207"/>
      <c r="AH162" s="2173" t="s">
        <v>2272</v>
      </c>
      <c r="AI162" s="2174"/>
      <c r="AJ162" s="2174"/>
      <c r="AK162" s="2174"/>
      <c r="AL162" s="2174"/>
      <c r="AM162" s="2174"/>
      <c r="AN162" s="2174"/>
      <c r="AO162" s="2174"/>
      <c r="AP162" s="2174"/>
      <c r="AQ162" s="2174"/>
      <c r="AR162" s="2174"/>
      <c r="AS162" s="2175">
        <v>0</v>
      </c>
      <c r="AT162" s="2175"/>
      <c r="AU162" s="2175"/>
      <c r="AV162" s="2175"/>
      <c r="AW162" s="2175"/>
      <c r="AX162" s="2175"/>
      <c r="AY162" s="2175">
        <v>0</v>
      </c>
      <c r="AZ162" s="2175"/>
      <c r="BA162" s="2175"/>
      <c r="BB162" s="2175"/>
      <c r="BC162" s="2175"/>
      <c r="BD162" s="2176"/>
      <c r="BE162" s="1213"/>
    </row>
    <row r="163" spans="1:57" ht="15.75" customHeight="1" thickBot="1">
      <c r="A163" s="1207"/>
      <c r="B163" s="1207"/>
      <c r="C163" s="2185" t="s">
        <v>301</v>
      </c>
      <c r="D163" s="2186"/>
      <c r="E163" s="2187" t="s">
        <v>1915</v>
      </c>
      <c r="F163" s="2187"/>
      <c r="G163" s="2187"/>
      <c r="H163" s="2187"/>
      <c r="I163" s="2187"/>
      <c r="J163" s="2187"/>
      <c r="K163" s="2187"/>
      <c r="L163" s="2187"/>
      <c r="M163" s="2188"/>
      <c r="N163" s="2189">
        <v>0</v>
      </c>
      <c r="O163" s="2189"/>
      <c r="P163" s="2189"/>
      <c r="Q163" s="2189"/>
      <c r="R163" s="2189"/>
      <c r="S163" s="2189"/>
      <c r="T163" s="2190"/>
      <c r="U163" s="2191"/>
      <c r="V163" s="2192"/>
      <c r="W163" s="2192"/>
      <c r="X163" s="2192"/>
      <c r="Y163" s="2192"/>
      <c r="Z163" s="2192"/>
      <c r="AA163" s="2192"/>
      <c r="AB163" s="2192"/>
      <c r="AC163" s="2192"/>
      <c r="AD163" s="2192"/>
      <c r="AE163" s="2193"/>
      <c r="AF163" s="1207"/>
      <c r="AG163" s="1207"/>
      <c r="AH163" s="2173" t="s">
        <v>2273</v>
      </c>
      <c r="AI163" s="2174"/>
      <c r="AJ163" s="2174"/>
      <c r="AK163" s="2174"/>
      <c r="AL163" s="2174"/>
      <c r="AM163" s="2174"/>
      <c r="AN163" s="2174"/>
      <c r="AO163" s="2174"/>
      <c r="AP163" s="2174"/>
      <c r="AQ163" s="2174"/>
      <c r="AR163" s="2174"/>
      <c r="AS163" s="2175">
        <v>0</v>
      </c>
      <c r="AT163" s="2175"/>
      <c r="AU163" s="2175"/>
      <c r="AV163" s="2175"/>
      <c r="AW163" s="2175"/>
      <c r="AX163" s="2175"/>
      <c r="AY163" s="2175">
        <v>0</v>
      </c>
      <c r="AZ163" s="2175"/>
      <c r="BA163" s="2175"/>
      <c r="BB163" s="2175"/>
      <c r="BC163" s="2175"/>
      <c r="BD163" s="2176"/>
      <c r="BE163" s="1213"/>
    </row>
    <row r="164" spans="1:57" ht="15.75" customHeight="1">
      <c r="A164" s="1207"/>
      <c r="B164" s="1207"/>
      <c r="C164" s="2181" t="s">
        <v>1923</v>
      </c>
      <c r="D164" s="2182"/>
      <c r="E164" s="2182"/>
      <c r="F164" s="2182"/>
      <c r="G164" s="2182"/>
      <c r="H164" s="2182"/>
      <c r="I164" s="2182"/>
      <c r="J164" s="2182"/>
      <c r="K164" s="2182"/>
      <c r="L164" s="2182"/>
      <c r="M164" s="2182"/>
      <c r="N164" s="2183">
        <f>SUM(N156:T163)</f>
        <v>8999932</v>
      </c>
      <c r="O164" s="2183"/>
      <c r="P164" s="2183"/>
      <c r="Q164" s="2183"/>
      <c r="R164" s="2183"/>
      <c r="S164" s="2183"/>
      <c r="T164" s="2184"/>
      <c r="U164" s="1207"/>
      <c r="V164" s="1207"/>
      <c r="W164" s="1207"/>
      <c r="X164" s="1207"/>
      <c r="Y164" s="1207"/>
      <c r="Z164" s="1207"/>
      <c r="AA164" s="1207"/>
      <c r="AB164" s="1207"/>
      <c r="AC164" s="1207"/>
      <c r="AD164" s="1207"/>
      <c r="AE164" s="1207"/>
      <c r="AF164" s="1207"/>
      <c r="AG164" s="1207"/>
      <c r="AH164" s="2173" t="s">
        <v>2274</v>
      </c>
      <c r="AI164" s="2174"/>
      <c r="AJ164" s="2174"/>
      <c r="AK164" s="2174"/>
      <c r="AL164" s="2174"/>
      <c r="AM164" s="2174"/>
      <c r="AN164" s="2174"/>
      <c r="AO164" s="2174"/>
      <c r="AP164" s="2174"/>
      <c r="AQ164" s="2174"/>
      <c r="AR164" s="2174"/>
      <c r="AS164" s="2175">
        <v>0</v>
      </c>
      <c r="AT164" s="2175"/>
      <c r="AU164" s="2175"/>
      <c r="AV164" s="2175"/>
      <c r="AW164" s="2175"/>
      <c r="AX164" s="2175"/>
      <c r="AY164" s="2175">
        <v>0</v>
      </c>
      <c r="AZ164" s="2175"/>
      <c r="BA164" s="2175"/>
      <c r="BB164" s="2175"/>
      <c r="BC164" s="2175"/>
      <c r="BD164" s="2176"/>
      <c r="BE164" s="1213"/>
    </row>
    <row r="165" spans="1:57" ht="15.75" customHeight="1" thickBot="1">
      <c r="A165" s="1207"/>
      <c r="B165" s="1207"/>
      <c r="C165" s="2168" t="s">
        <v>2611</v>
      </c>
      <c r="D165" s="2169"/>
      <c r="E165" s="2169"/>
      <c r="F165" s="2169"/>
      <c r="G165" s="2169"/>
      <c r="H165" s="2169"/>
      <c r="I165" s="2169"/>
      <c r="J165" s="2169"/>
      <c r="K165" s="2169"/>
      <c r="L165" s="2169"/>
      <c r="M165" s="2169"/>
      <c r="N165" s="2170">
        <f>(N154-N164)/J29</f>
        <v>346666.43452380953</v>
      </c>
      <c r="O165" s="2171"/>
      <c r="P165" s="2171"/>
      <c r="Q165" s="2171"/>
      <c r="R165" s="2171"/>
      <c r="S165" s="2171"/>
      <c r="T165" s="2172"/>
      <c r="U165" s="1214"/>
      <c r="V165" s="1207"/>
      <c r="W165" s="1207"/>
      <c r="X165" s="1207"/>
      <c r="Y165" s="1207"/>
      <c r="Z165" s="1207"/>
      <c r="AA165" s="1207"/>
      <c r="AB165" s="1207"/>
      <c r="AC165" s="1207"/>
      <c r="AD165" s="1207"/>
      <c r="AE165" s="1207"/>
      <c r="AF165" s="1207"/>
      <c r="AG165" s="1207"/>
      <c r="AH165" s="2173" t="s">
        <v>2275</v>
      </c>
      <c r="AI165" s="2174"/>
      <c r="AJ165" s="2174"/>
      <c r="AK165" s="2174"/>
      <c r="AL165" s="2174"/>
      <c r="AM165" s="2174"/>
      <c r="AN165" s="2174"/>
      <c r="AO165" s="2174"/>
      <c r="AP165" s="2174"/>
      <c r="AQ165" s="2174"/>
      <c r="AR165" s="2174"/>
      <c r="AS165" s="2175">
        <v>0</v>
      </c>
      <c r="AT165" s="2175"/>
      <c r="AU165" s="2175"/>
      <c r="AV165" s="2175"/>
      <c r="AW165" s="2175"/>
      <c r="AX165" s="2175"/>
      <c r="AY165" s="2175">
        <v>0</v>
      </c>
      <c r="AZ165" s="2175"/>
      <c r="BA165" s="2175"/>
      <c r="BB165" s="2175"/>
      <c r="BC165" s="2175"/>
      <c r="BD165" s="2176"/>
      <c r="BE165" s="1213"/>
    </row>
    <row r="166" spans="1:57" ht="15.75" customHeight="1" thickBot="1">
      <c r="A166" s="1207"/>
      <c r="B166" s="1207"/>
      <c r="C166" s="1207"/>
      <c r="D166" s="1207"/>
      <c r="E166" s="1207"/>
      <c r="F166" s="1207"/>
      <c r="G166" s="1207"/>
      <c r="H166" s="1207"/>
      <c r="I166" s="1207"/>
      <c r="J166" s="1207"/>
      <c r="K166" s="1207"/>
      <c r="L166" s="1207"/>
      <c r="M166" s="1207"/>
      <c r="N166" s="1207"/>
      <c r="O166" s="1207"/>
      <c r="P166" s="1207"/>
      <c r="Q166" s="1207"/>
      <c r="R166" s="1207"/>
      <c r="S166" s="1207"/>
      <c r="T166" s="1207"/>
      <c r="U166" s="1207"/>
      <c r="V166" s="1207"/>
      <c r="W166" s="1207"/>
      <c r="X166" s="1207"/>
      <c r="Y166" s="1207"/>
      <c r="Z166" s="1207"/>
      <c r="AA166" s="1207"/>
      <c r="AB166" s="1207"/>
      <c r="AC166" s="1207"/>
      <c r="AD166" s="1207"/>
      <c r="AE166" s="1207"/>
      <c r="AF166" s="1207"/>
      <c r="AG166" s="1207"/>
      <c r="AH166" s="2177" t="s">
        <v>125</v>
      </c>
      <c r="AI166" s="2178"/>
      <c r="AJ166" s="2178"/>
      <c r="AK166" s="2178"/>
      <c r="AL166" s="2178"/>
      <c r="AM166" s="2178"/>
      <c r="AN166" s="2178"/>
      <c r="AO166" s="2178"/>
      <c r="AP166" s="2178"/>
      <c r="AQ166" s="2178"/>
      <c r="AR166" s="2178"/>
      <c r="AS166" s="2179">
        <f>SUM(AS160:AX165)</f>
        <v>0</v>
      </c>
      <c r="AT166" s="2179"/>
      <c r="AU166" s="2179"/>
      <c r="AV166" s="2179"/>
      <c r="AW166" s="2179"/>
      <c r="AX166" s="2179"/>
      <c r="AY166" s="2179">
        <f>SUM(AY160:BD165)</f>
        <v>0</v>
      </c>
      <c r="AZ166" s="2179"/>
      <c r="BA166" s="2179"/>
      <c r="BB166" s="2179"/>
      <c r="BC166" s="2179"/>
      <c r="BD166" s="2180"/>
      <c r="BE166" s="1213"/>
    </row>
    <row r="167" spans="1:57" ht="15.75" customHeight="1" thickBot="1">
      <c r="A167" s="1207"/>
      <c r="B167" s="1207"/>
      <c r="C167" s="1207"/>
      <c r="D167" s="1207"/>
      <c r="E167" s="1207"/>
      <c r="F167" s="1207"/>
      <c r="G167" s="1207"/>
      <c r="H167" s="1207"/>
      <c r="I167" s="1207"/>
      <c r="J167" s="1207"/>
      <c r="K167" s="1207"/>
      <c r="L167" s="1207"/>
      <c r="M167" s="1207"/>
      <c r="N167" s="1207"/>
      <c r="O167" s="1207"/>
      <c r="P167" s="1207"/>
      <c r="Q167" s="1207"/>
      <c r="R167" s="1207"/>
      <c r="S167" s="1207"/>
      <c r="T167" s="1207"/>
      <c r="U167" s="1207"/>
      <c r="V167" s="1207"/>
      <c r="W167" s="1207"/>
      <c r="X167" s="1207"/>
      <c r="Y167" s="1207"/>
      <c r="Z167" s="1207"/>
      <c r="AA167" s="1207"/>
      <c r="AB167" s="1207"/>
      <c r="AC167" s="1207"/>
      <c r="AD167" s="1207"/>
      <c r="AE167" s="1207"/>
      <c r="AF167" s="1207"/>
      <c r="AG167" s="1207"/>
      <c r="AH167" s="1207"/>
      <c r="AI167" s="1207"/>
      <c r="AJ167" s="1207"/>
      <c r="AK167" s="1207"/>
      <c r="AL167" s="1207"/>
      <c r="AM167" s="1207"/>
      <c r="AN167" s="1207"/>
      <c r="AO167" s="1207"/>
      <c r="AP167" s="1207"/>
      <c r="AQ167" s="1207"/>
      <c r="AR167" s="1207"/>
      <c r="AS167" s="1207"/>
      <c r="AT167" s="1207"/>
      <c r="AU167" s="1207"/>
      <c r="AV167" s="1207"/>
      <c r="AW167" s="1207"/>
      <c r="AX167" s="1207"/>
      <c r="AY167" s="1207"/>
      <c r="AZ167" s="1207"/>
      <c r="BA167" s="1207"/>
      <c r="BB167" s="1207"/>
      <c r="BC167" s="1207"/>
      <c r="BD167" s="1207"/>
      <c r="BE167" s="1213"/>
    </row>
    <row r="168" spans="1:57" ht="15.75" customHeight="1">
      <c r="A168" s="1207"/>
      <c r="B168" s="2155" t="s">
        <v>1924</v>
      </c>
      <c r="C168" s="2156"/>
      <c r="D168" s="2156"/>
      <c r="E168" s="2156"/>
      <c r="F168" s="2156"/>
      <c r="G168" s="2156"/>
      <c r="H168" s="2156"/>
      <c r="I168" s="2156"/>
      <c r="J168" s="2156"/>
      <c r="K168" s="2156"/>
      <c r="L168" s="2156"/>
      <c r="M168" s="2156"/>
      <c r="N168" s="2156"/>
      <c r="O168" s="2156"/>
      <c r="P168" s="2156"/>
      <c r="Q168" s="2156"/>
      <c r="R168" s="2156"/>
      <c r="S168" s="2156"/>
      <c r="T168" s="2156"/>
      <c r="U168" s="2156"/>
      <c r="V168" s="2156"/>
      <c r="W168" s="2156"/>
      <c r="X168" s="2156"/>
      <c r="Y168" s="2156"/>
      <c r="Z168" s="2156"/>
      <c r="AA168" s="2156"/>
      <c r="AB168" s="2156"/>
      <c r="AC168" s="2156"/>
      <c r="AD168" s="2156"/>
      <c r="AE168" s="2156"/>
      <c r="AF168" s="2156"/>
      <c r="AG168" s="2156"/>
      <c r="AH168" s="2156"/>
      <c r="AI168" s="2156"/>
      <c r="AJ168" s="2156"/>
      <c r="AK168" s="2156"/>
      <c r="AL168" s="2156"/>
      <c r="AM168" s="2156"/>
      <c r="AN168" s="2156"/>
      <c r="AO168" s="2156"/>
      <c r="AP168" s="2156"/>
      <c r="AQ168" s="2156"/>
      <c r="AR168" s="2156"/>
      <c r="AS168" s="2156"/>
      <c r="AT168" s="2156"/>
      <c r="AU168" s="2156"/>
      <c r="AV168" s="2156"/>
      <c r="AW168" s="2156"/>
      <c r="AX168" s="2156"/>
      <c r="AY168" s="2156"/>
      <c r="AZ168" s="2156"/>
      <c r="BA168" s="2156"/>
      <c r="BB168" s="2156"/>
      <c r="BC168" s="2156"/>
      <c r="BD168" s="2157"/>
      <c r="BE168" s="1213"/>
    </row>
    <row r="169" spans="1:57" ht="15.75" customHeight="1">
      <c r="A169" s="1207"/>
      <c r="B169" s="2158"/>
      <c r="C169" s="2159"/>
      <c r="D169" s="2159"/>
      <c r="E169" s="2159"/>
      <c r="F169" s="2159"/>
      <c r="G169" s="2159"/>
      <c r="H169" s="2159"/>
      <c r="I169" s="2159"/>
      <c r="J169" s="2159"/>
      <c r="K169" s="2159"/>
      <c r="L169" s="2159"/>
      <c r="M169" s="2159"/>
      <c r="N169" s="2159"/>
      <c r="O169" s="2159"/>
      <c r="P169" s="2159"/>
      <c r="Q169" s="2159"/>
      <c r="R169" s="2159"/>
      <c r="S169" s="2159"/>
      <c r="T169" s="2159"/>
      <c r="U169" s="2159"/>
      <c r="V169" s="2159"/>
      <c r="W169" s="2159"/>
      <c r="X169" s="2159"/>
      <c r="Y169" s="2159"/>
      <c r="Z169" s="2159"/>
      <c r="AA169" s="2159"/>
      <c r="AB169" s="2159"/>
      <c r="AC169" s="2159"/>
      <c r="AD169" s="2159"/>
      <c r="AE169" s="2159"/>
      <c r="AF169" s="2159"/>
      <c r="AG169" s="2159"/>
      <c r="AH169" s="2159"/>
      <c r="AI169" s="2159"/>
      <c r="AJ169" s="2159"/>
      <c r="AK169" s="2159"/>
      <c r="AL169" s="2159"/>
      <c r="AM169" s="2159"/>
      <c r="AN169" s="2159"/>
      <c r="AO169" s="2159"/>
      <c r="AP169" s="2159"/>
      <c r="AQ169" s="2159"/>
      <c r="AR169" s="2159"/>
      <c r="AS169" s="2159"/>
      <c r="AT169" s="2159"/>
      <c r="AU169" s="2159"/>
      <c r="AV169" s="2159"/>
      <c r="AW169" s="2159"/>
      <c r="AX169" s="2159"/>
      <c r="AY169" s="2159"/>
      <c r="AZ169" s="2159"/>
      <c r="BA169" s="2159"/>
      <c r="BB169" s="2159"/>
      <c r="BC169" s="2159"/>
      <c r="BD169" s="2160"/>
      <c r="BE169" s="1213"/>
    </row>
    <row r="170" spans="1:57" ht="15.75" customHeight="1">
      <c r="A170" s="1207"/>
      <c r="B170" s="2161" t="s">
        <v>1925</v>
      </c>
      <c r="C170" s="2162"/>
      <c r="D170" s="2162"/>
      <c r="E170" s="2162"/>
      <c r="F170" s="2162"/>
      <c r="G170" s="2162"/>
      <c r="H170" s="2162"/>
      <c r="I170" s="2162"/>
      <c r="J170" s="2162"/>
      <c r="K170" s="2162"/>
      <c r="L170" s="2162"/>
      <c r="M170" s="2162"/>
      <c r="N170" s="2162"/>
      <c r="O170" s="2162"/>
      <c r="P170" s="2162"/>
      <c r="Q170" s="2162"/>
      <c r="R170" s="2162"/>
      <c r="S170" s="2162"/>
      <c r="T170" s="2162"/>
      <c r="U170" s="2162"/>
      <c r="V170" s="2162"/>
      <c r="W170" s="2162"/>
      <c r="X170" s="2162"/>
      <c r="Y170" s="2162"/>
      <c r="Z170" s="2162"/>
      <c r="AA170" s="2162"/>
      <c r="AB170" s="2162"/>
      <c r="AC170" s="2162"/>
      <c r="AD170" s="2162"/>
      <c r="AE170" s="2162"/>
      <c r="AF170" s="2162"/>
      <c r="AG170" s="2162"/>
      <c r="AH170" s="2162"/>
      <c r="AI170" s="2162"/>
      <c r="AJ170" s="2162"/>
      <c r="AK170" s="2162"/>
      <c r="AL170" s="2162"/>
      <c r="AM170" s="2162"/>
      <c r="AN170" s="2162"/>
      <c r="AO170" s="2162"/>
      <c r="AP170" s="2162"/>
      <c r="AQ170" s="2162"/>
      <c r="AR170" s="2162"/>
      <c r="AS170" s="2162"/>
      <c r="AT170" s="2162"/>
      <c r="AU170" s="2162"/>
      <c r="AV170" s="2162"/>
      <c r="AW170" s="2162"/>
      <c r="AX170" s="2162"/>
      <c r="AY170" s="2162"/>
      <c r="AZ170" s="2162"/>
      <c r="BA170" s="2162"/>
      <c r="BB170" s="2162"/>
      <c r="BC170" s="2162"/>
      <c r="BD170" s="2163"/>
      <c r="BE170" s="1213"/>
    </row>
    <row r="171" spans="1:57" ht="15.75" customHeight="1">
      <c r="A171" s="1207"/>
      <c r="B171" s="2161" t="s">
        <v>1926</v>
      </c>
      <c r="C171" s="2162"/>
      <c r="D171" s="2162"/>
      <c r="E171" s="2162"/>
      <c r="F171" s="2162"/>
      <c r="G171" s="2162"/>
      <c r="H171" s="2162"/>
      <c r="I171" s="2162"/>
      <c r="J171" s="2162"/>
      <c r="K171" s="2162"/>
      <c r="L171" s="2162"/>
      <c r="M171" s="2162"/>
      <c r="N171" s="2162"/>
      <c r="O171" s="2162"/>
      <c r="P171" s="2162"/>
      <c r="Q171" s="2162"/>
      <c r="R171" s="2162"/>
      <c r="S171" s="2162"/>
      <c r="T171" s="2162"/>
      <c r="U171" s="2162"/>
      <c r="V171" s="2162"/>
      <c r="W171" s="2162"/>
      <c r="X171" s="2162"/>
      <c r="Y171" s="2162"/>
      <c r="Z171" s="2162"/>
      <c r="AA171" s="2162"/>
      <c r="AB171" s="2162"/>
      <c r="AC171" s="2162"/>
      <c r="AD171" s="2162"/>
      <c r="AE171" s="2162"/>
      <c r="AF171" s="2162"/>
      <c r="AG171" s="2162"/>
      <c r="AH171" s="2162"/>
      <c r="AI171" s="2162"/>
      <c r="AJ171" s="2162"/>
      <c r="AK171" s="2162"/>
      <c r="AL171" s="2162"/>
      <c r="AM171" s="2162"/>
      <c r="AN171" s="2162"/>
      <c r="AO171" s="2162"/>
      <c r="AP171" s="2162"/>
      <c r="AQ171" s="2162"/>
      <c r="AR171" s="2162"/>
      <c r="AS171" s="2162"/>
      <c r="AT171" s="2162"/>
      <c r="AU171" s="2162"/>
      <c r="AV171" s="2162"/>
      <c r="AW171" s="2162"/>
      <c r="AX171" s="2162"/>
      <c r="AY171" s="2162"/>
      <c r="AZ171" s="2162"/>
      <c r="BA171" s="2162"/>
      <c r="BB171" s="2162"/>
      <c r="BC171" s="2162"/>
      <c r="BD171" s="2163"/>
      <c r="BE171" s="1213"/>
    </row>
    <row r="172" spans="1:57" ht="15.75" customHeight="1">
      <c r="A172" s="1207"/>
      <c r="B172" s="1206"/>
      <c r="C172" s="1207"/>
      <c r="D172" s="1207"/>
      <c r="E172" s="1207"/>
      <c r="F172" s="1207"/>
      <c r="G172" s="1207"/>
      <c r="H172" s="1207"/>
      <c r="I172" s="1207"/>
      <c r="J172" s="1207"/>
      <c r="K172" s="1207"/>
      <c r="L172" s="1207"/>
      <c r="M172" s="1207"/>
      <c r="N172" s="1207"/>
      <c r="O172" s="1207"/>
      <c r="P172" s="1207"/>
      <c r="Q172" s="1207"/>
      <c r="R172" s="1207"/>
      <c r="S172" s="1207"/>
      <c r="T172" s="1207"/>
      <c r="U172" s="1207"/>
      <c r="V172" s="1207"/>
      <c r="W172" s="1207"/>
      <c r="X172" s="1207"/>
      <c r="Y172" s="1207"/>
      <c r="Z172" s="1207"/>
      <c r="AA172" s="1207"/>
      <c r="AB172" s="1207"/>
      <c r="AC172" s="1207"/>
      <c r="AD172" s="1207"/>
      <c r="AE172" s="1207"/>
      <c r="AF172" s="1207"/>
      <c r="AG172" s="1207"/>
      <c r="AH172" s="1207"/>
      <c r="AI172" s="1207"/>
      <c r="AJ172" s="1207"/>
      <c r="AK172" s="1207"/>
      <c r="AL172" s="1207"/>
      <c r="AM172" s="1207"/>
      <c r="AN172" s="1207"/>
      <c r="AO172" s="1207"/>
      <c r="AP172" s="1207"/>
      <c r="AQ172" s="1207"/>
      <c r="AR172" s="1207"/>
      <c r="AS172" s="1207"/>
      <c r="AT172" s="1207"/>
      <c r="AU172" s="1207"/>
      <c r="AV172" s="1207"/>
      <c r="AW172" s="1207"/>
      <c r="AX172" s="1207"/>
      <c r="AY172" s="1207"/>
      <c r="AZ172" s="1207"/>
      <c r="BA172" s="1207"/>
      <c r="BB172" s="1207"/>
      <c r="BC172" s="1207"/>
      <c r="BD172" s="1213"/>
      <c r="BE172" s="1213"/>
    </row>
    <row r="173" spans="1:57" ht="15.75" customHeight="1">
      <c r="A173" s="1207"/>
      <c r="B173" s="2164" t="s">
        <v>1927</v>
      </c>
      <c r="C173" s="2165"/>
      <c r="D173" s="2165"/>
      <c r="E173" s="2165"/>
      <c r="F173" s="2165"/>
      <c r="G173" s="2165"/>
      <c r="H173" s="2165"/>
      <c r="I173" s="2165"/>
      <c r="J173" s="2165"/>
      <c r="K173" s="2165"/>
      <c r="L173" s="2165"/>
      <c r="M173" s="2165"/>
      <c r="N173" s="2165"/>
      <c r="O173" s="2165"/>
      <c r="P173" s="2165"/>
      <c r="Q173" s="2165"/>
      <c r="R173" s="2165"/>
      <c r="S173" s="2165"/>
      <c r="T173" s="2165"/>
      <c r="U173" s="2165"/>
      <c r="V173" s="2165"/>
      <c r="W173" s="2165"/>
      <c r="X173" s="2165"/>
      <c r="Y173" s="2165"/>
      <c r="Z173" s="2165"/>
      <c r="AA173" s="2165"/>
      <c r="AB173" s="2165"/>
      <c r="AC173" s="2165"/>
      <c r="AD173" s="2165"/>
      <c r="AE173" s="2165"/>
      <c r="AF173" s="2165"/>
      <c r="AG173" s="2165"/>
      <c r="AH173" s="2165"/>
      <c r="AI173" s="2165"/>
      <c r="AJ173" s="2165"/>
      <c r="AK173" s="2165"/>
      <c r="AL173" s="2165"/>
      <c r="AM173" s="2165"/>
      <c r="AN173" s="2165"/>
      <c r="AO173" s="2165"/>
      <c r="AP173" s="2165"/>
      <c r="AQ173" s="2165"/>
      <c r="AR173" s="2165"/>
      <c r="AS173" s="2165"/>
      <c r="AT173" s="2165"/>
      <c r="AU173" s="2165"/>
      <c r="AV173" s="2165"/>
      <c r="AW173" s="2165"/>
      <c r="AX173" s="2165"/>
      <c r="AY173" s="2165"/>
      <c r="AZ173" s="2165"/>
      <c r="BA173" s="2165"/>
      <c r="BB173" s="2165"/>
      <c r="BC173" s="2165"/>
      <c r="BD173" s="2166"/>
      <c r="BE173" s="1213"/>
    </row>
    <row r="174" spans="1:57" ht="15.75" customHeight="1">
      <c r="A174" s="1207"/>
      <c r="B174" s="1248"/>
      <c r="C174" s="1207"/>
      <c r="D174" s="1207"/>
      <c r="E174" s="1207"/>
      <c r="F174" s="1207"/>
      <c r="G174" s="1207"/>
      <c r="H174" s="1207"/>
      <c r="I174" s="1207"/>
      <c r="J174" s="1207"/>
      <c r="K174" s="1207"/>
      <c r="L174" s="1207"/>
      <c r="M174" s="1207"/>
      <c r="N174" s="1207"/>
      <c r="O174" s="1207"/>
      <c r="P174" s="1207"/>
      <c r="Q174" s="1207"/>
      <c r="R174" s="1207"/>
      <c r="S174" s="1207"/>
      <c r="T174" s="1207"/>
      <c r="U174" s="1207"/>
      <c r="V174" s="1207"/>
      <c r="W174" s="1207"/>
      <c r="X174" s="1207"/>
      <c r="Y174" s="1207"/>
      <c r="Z174" s="1207"/>
      <c r="AA174" s="1207"/>
      <c r="AB174" s="1207"/>
      <c r="AC174" s="1207"/>
      <c r="AD174" s="1207"/>
      <c r="AE174" s="1207"/>
      <c r="AF174" s="1207"/>
      <c r="AG174" s="1207"/>
      <c r="AH174" s="1207"/>
      <c r="AI174" s="1207"/>
      <c r="AJ174" s="1207"/>
      <c r="AK174" s="1207"/>
      <c r="AL174" s="1207"/>
      <c r="AM174" s="1207"/>
      <c r="AN174" s="1207"/>
      <c r="AO174" s="1207"/>
      <c r="AP174" s="1207"/>
      <c r="AQ174" s="1207"/>
      <c r="AR174" s="1207"/>
      <c r="AS174" s="1207"/>
      <c r="AT174" s="1207"/>
      <c r="AU174" s="1207"/>
      <c r="AV174" s="1207"/>
      <c r="AW174" s="1207"/>
      <c r="AX174" s="1207"/>
      <c r="AY174" s="1207"/>
      <c r="AZ174" s="1207"/>
      <c r="BA174" s="1207"/>
      <c r="BB174" s="1207"/>
      <c r="BC174" s="1207"/>
      <c r="BD174" s="1213"/>
      <c r="BE174" s="1213"/>
    </row>
    <row r="175" spans="1:57" ht="15.75" customHeight="1">
      <c r="A175" s="1207"/>
      <c r="B175" s="1249"/>
      <c r="C175" s="1207"/>
      <c r="D175" s="1207"/>
      <c r="E175" s="1207"/>
      <c r="F175" s="1207"/>
      <c r="G175" s="1207"/>
      <c r="H175" s="1209" t="s">
        <v>1928</v>
      </c>
      <c r="I175" s="1207"/>
      <c r="J175" s="1207"/>
      <c r="K175" s="1207"/>
      <c r="L175" s="1207"/>
      <c r="M175" s="1207"/>
      <c r="N175" s="1207"/>
      <c r="O175" s="1207"/>
      <c r="P175" s="1207"/>
      <c r="Q175" s="1207"/>
      <c r="R175" s="1207"/>
      <c r="S175" s="1207"/>
      <c r="T175" s="1207"/>
      <c r="U175" s="1207"/>
      <c r="V175" s="1207"/>
      <c r="W175" s="1207"/>
      <c r="X175" s="1207"/>
      <c r="Y175" s="1207"/>
      <c r="Z175" s="1207"/>
      <c r="AA175" s="1207"/>
      <c r="AB175" s="1207"/>
      <c r="AC175" s="1207"/>
      <c r="AD175" s="1207"/>
      <c r="AE175" s="1207"/>
      <c r="AF175" s="1207"/>
      <c r="AG175" s="1207"/>
      <c r="AH175" s="1207"/>
      <c r="AI175" s="1207"/>
      <c r="AJ175" s="1207"/>
      <c r="AK175" s="1207"/>
      <c r="AL175" s="1207"/>
      <c r="AM175" s="1207"/>
      <c r="AN175" s="1207"/>
      <c r="AO175" s="1207"/>
      <c r="AP175" s="1207"/>
      <c r="AQ175" s="1207"/>
      <c r="AR175" s="1207"/>
      <c r="AS175" s="1207"/>
      <c r="AT175" s="1207"/>
      <c r="AU175" s="1207"/>
      <c r="AV175" s="1207"/>
      <c r="AW175" s="1207"/>
      <c r="AX175" s="1207"/>
      <c r="AY175" s="1207"/>
      <c r="AZ175" s="1207"/>
      <c r="BA175" s="1207"/>
      <c r="BB175" s="1207"/>
      <c r="BC175" s="1207"/>
      <c r="BD175" s="1213"/>
      <c r="BE175" s="1213"/>
    </row>
    <row r="176" spans="1:57" ht="15.75" customHeight="1">
      <c r="A176" s="1207"/>
      <c r="B176" s="1249"/>
      <c r="C176" s="1207"/>
      <c r="D176" s="1207"/>
      <c r="E176" s="1207"/>
      <c r="F176" s="1207"/>
      <c r="G176" s="1207"/>
      <c r="H176" s="1207"/>
      <c r="I176" s="1207"/>
      <c r="J176" s="1207"/>
      <c r="K176" s="1207"/>
      <c r="L176" s="1207"/>
      <c r="M176" s="1207"/>
      <c r="N176" s="1207"/>
      <c r="O176" s="1207"/>
      <c r="P176" s="1207"/>
      <c r="Q176" s="1207"/>
      <c r="R176" s="1207"/>
      <c r="S176" s="1207"/>
      <c r="T176" s="1207"/>
      <c r="U176" s="1207"/>
      <c r="V176" s="1207"/>
      <c r="W176" s="1207"/>
      <c r="X176" s="1207"/>
      <c r="Y176" s="1207"/>
      <c r="Z176" s="1207"/>
      <c r="AA176" s="1207"/>
      <c r="AB176" s="1207"/>
      <c r="AC176" s="1207"/>
      <c r="AD176" s="1207"/>
      <c r="AE176" s="1207"/>
      <c r="AF176" s="1207"/>
      <c r="AG176" s="1207"/>
      <c r="AH176" s="1207"/>
      <c r="AI176" s="1207"/>
      <c r="AJ176" s="1207"/>
      <c r="AK176" s="1207"/>
      <c r="AL176" s="1207"/>
      <c r="AM176" s="1207"/>
      <c r="AN176" s="1207"/>
      <c r="AO176" s="1207"/>
      <c r="AP176" s="1207"/>
      <c r="AQ176" s="1207"/>
      <c r="AR176" s="1207"/>
      <c r="AS176" s="1207"/>
      <c r="AT176" s="1207"/>
      <c r="AU176" s="1207"/>
      <c r="AV176" s="1207"/>
      <c r="AW176" s="1207"/>
      <c r="AX176" s="1207"/>
      <c r="AY176" s="1207"/>
      <c r="AZ176" s="1207"/>
      <c r="BA176" s="1207"/>
      <c r="BB176" s="1207"/>
      <c r="BC176" s="1207"/>
      <c r="BD176" s="1213"/>
      <c r="BE176" s="1213"/>
    </row>
    <row r="177" spans="1:57" ht="15.75" customHeight="1">
      <c r="A177" s="1207"/>
      <c r="B177" s="1249"/>
      <c r="C177" s="1207"/>
      <c r="D177" s="1207"/>
      <c r="E177" s="1207"/>
      <c r="F177" s="1207"/>
      <c r="G177" s="1207"/>
      <c r="H177" s="2167" t="s">
        <v>1929</v>
      </c>
      <c r="I177" s="2167"/>
      <c r="J177" s="2167"/>
      <c r="K177" s="2167"/>
      <c r="L177" s="2167"/>
      <c r="M177" s="2167"/>
      <c r="N177" s="2167"/>
      <c r="O177" s="2167"/>
      <c r="P177" s="2167"/>
      <c r="Q177" s="2167"/>
      <c r="R177" s="2167"/>
      <c r="S177" s="2167"/>
      <c r="T177" s="2167"/>
      <c r="U177" s="2167"/>
      <c r="V177" s="2167"/>
      <c r="W177" s="2167"/>
      <c r="X177" s="2167"/>
      <c r="Y177" s="2167"/>
      <c r="Z177" s="2167"/>
      <c r="AA177" s="2167"/>
      <c r="AB177" s="2167"/>
      <c r="AC177" s="2167"/>
      <c r="AD177" s="2167"/>
      <c r="AE177" s="2167"/>
      <c r="AF177" s="2167"/>
      <c r="AG177" s="2167"/>
      <c r="AH177" s="2167"/>
      <c r="AI177" s="2167"/>
      <c r="AJ177" s="2167"/>
      <c r="AK177" s="2167"/>
      <c r="AL177" s="2167"/>
      <c r="AM177" s="2167"/>
      <c r="AN177" s="2167"/>
      <c r="AO177" s="2167"/>
      <c r="AP177" s="2167"/>
      <c r="AQ177" s="2167"/>
      <c r="AR177" s="2167"/>
      <c r="AS177" s="2167"/>
      <c r="AT177" s="2167"/>
      <c r="AU177" s="2167"/>
      <c r="AV177" s="2167"/>
      <c r="AW177" s="2167"/>
      <c r="AX177" s="2167"/>
      <c r="AY177" s="2167"/>
      <c r="AZ177" s="1207"/>
      <c r="BA177" s="1207"/>
      <c r="BB177" s="1207"/>
      <c r="BC177" s="1207"/>
      <c r="BD177" s="1213"/>
      <c r="BE177" s="1213"/>
    </row>
    <row r="178" spans="1:57" ht="15.75" customHeight="1">
      <c r="A178" s="1207"/>
      <c r="B178" s="1249"/>
      <c r="C178" s="1207"/>
      <c r="D178" s="1207"/>
      <c r="E178" s="1207"/>
      <c r="F178" s="1207"/>
      <c r="G178" s="1207"/>
      <c r="H178" s="1207"/>
      <c r="I178" s="1207"/>
      <c r="J178" s="1207"/>
      <c r="K178" s="1207"/>
      <c r="L178" s="1207"/>
      <c r="M178" s="1207"/>
      <c r="N178" s="1207"/>
      <c r="O178" s="1207"/>
      <c r="P178" s="1207"/>
      <c r="Q178" s="1207"/>
      <c r="R178" s="1207"/>
      <c r="S178" s="1207"/>
      <c r="T178" s="1207"/>
      <c r="U178" s="1207"/>
      <c r="V178" s="1207"/>
      <c r="W178" s="1207"/>
      <c r="X178" s="1207"/>
      <c r="Y178" s="1207"/>
      <c r="Z178" s="1207"/>
      <c r="AA178" s="1207"/>
      <c r="AB178" s="1207"/>
      <c r="AC178" s="1207"/>
      <c r="AD178" s="1207"/>
      <c r="AE178" s="1207"/>
      <c r="AF178" s="1207"/>
      <c r="AG178" s="1207"/>
      <c r="AH178" s="1207"/>
      <c r="AI178" s="1207"/>
      <c r="AJ178" s="1207"/>
      <c r="AK178" s="1207"/>
      <c r="AL178" s="1207"/>
      <c r="AM178" s="1207"/>
      <c r="AN178" s="1207"/>
      <c r="AO178" s="1207"/>
      <c r="AP178" s="1207"/>
      <c r="AQ178" s="1207"/>
      <c r="AR178" s="1207"/>
      <c r="AS178" s="1207"/>
      <c r="AT178" s="1207"/>
      <c r="AU178" s="1207"/>
      <c r="AV178" s="1207"/>
      <c r="AW178" s="1207"/>
      <c r="AX178" s="1207"/>
      <c r="AY178" s="1207"/>
      <c r="AZ178" s="1207"/>
      <c r="BA178" s="1207"/>
      <c r="BB178" s="1207"/>
      <c r="BC178" s="1207"/>
      <c r="BD178" s="1213"/>
      <c r="BE178" s="1213"/>
    </row>
    <row r="179" spans="1:57" ht="15.75" customHeight="1">
      <c r="A179" s="1207"/>
      <c r="B179" s="1249"/>
      <c r="C179" s="1207"/>
      <c r="D179" s="1207"/>
      <c r="E179" s="1207"/>
      <c r="F179" s="1207"/>
      <c r="G179" s="1207"/>
      <c r="H179" s="2152" t="s">
        <v>2612</v>
      </c>
      <c r="I179" s="2152"/>
      <c r="J179" s="2152"/>
      <c r="K179" s="2152"/>
      <c r="L179" s="2152"/>
      <c r="M179" s="2152"/>
      <c r="N179" s="2152"/>
      <c r="O179" s="2152"/>
      <c r="P179" s="2152"/>
      <c r="Q179" s="2152"/>
      <c r="R179" s="2152"/>
      <c r="S179" s="2152"/>
      <c r="T179" s="2152"/>
      <c r="U179" s="2152"/>
      <c r="V179" s="2152"/>
      <c r="W179" s="2152"/>
      <c r="X179" s="2152"/>
      <c r="Y179" s="2152"/>
      <c r="Z179" s="2152"/>
      <c r="AA179" s="2152"/>
      <c r="AB179" s="2152"/>
      <c r="AC179" s="2152"/>
      <c r="AD179" s="2152"/>
      <c r="AE179" s="2152"/>
      <c r="AF179" s="2152"/>
      <c r="AG179" s="2152"/>
      <c r="AH179" s="2152"/>
      <c r="AI179" s="2152"/>
      <c r="AJ179" s="2152"/>
      <c r="AK179" s="2152"/>
      <c r="AL179" s="2152"/>
      <c r="AM179" s="2152"/>
      <c r="AN179" s="2152"/>
      <c r="AO179" s="2152"/>
      <c r="AP179" s="2152"/>
      <c r="AQ179" s="2152"/>
      <c r="AR179" s="2152"/>
      <c r="AS179" s="2152"/>
      <c r="AT179" s="2152"/>
      <c r="AU179" s="2152"/>
      <c r="AV179" s="2152"/>
      <c r="AW179" s="2152"/>
      <c r="AX179" s="2152"/>
      <c r="AY179" s="2152"/>
      <c r="AZ179" s="2152"/>
      <c r="BA179" s="1207"/>
      <c r="BB179" s="1207"/>
      <c r="BC179" s="1207"/>
      <c r="BD179" s="1213"/>
      <c r="BE179" s="1213"/>
    </row>
    <row r="180" spans="1:57" ht="15.75" customHeight="1">
      <c r="A180" s="1207"/>
      <c r="B180" s="1206"/>
      <c r="C180" s="1207"/>
      <c r="D180" s="1207"/>
      <c r="E180" s="1207"/>
      <c r="F180" s="1207"/>
      <c r="G180" s="1207"/>
      <c r="H180" s="2152"/>
      <c r="I180" s="2152"/>
      <c r="J180" s="2152"/>
      <c r="K180" s="2152"/>
      <c r="L180" s="2152"/>
      <c r="M180" s="2152"/>
      <c r="N180" s="2152"/>
      <c r="O180" s="2152"/>
      <c r="P180" s="2152"/>
      <c r="Q180" s="2152"/>
      <c r="R180" s="2152"/>
      <c r="S180" s="2152"/>
      <c r="T180" s="2152"/>
      <c r="U180" s="2152"/>
      <c r="V180" s="2152"/>
      <c r="W180" s="2152"/>
      <c r="X180" s="2152"/>
      <c r="Y180" s="2152"/>
      <c r="Z180" s="2152"/>
      <c r="AA180" s="2152"/>
      <c r="AB180" s="2152"/>
      <c r="AC180" s="2152"/>
      <c r="AD180" s="2152"/>
      <c r="AE180" s="2152"/>
      <c r="AF180" s="2152"/>
      <c r="AG180" s="2152"/>
      <c r="AH180" s="2152"/>
      <c r="AI180" s="2152"/>
      <c r="AJ180" s="2152"/>
      <c r="AK180" s="2152"/>
      <c r="AL180" s="2152"/>
      <c r="AM180" s="2152"/>
      <c r="AN180" s="2152"/>
      <c r="AO180" s="2152"/>
      <c r="AP180" s="2152"/>
      <c r="AQ180" s="2152"/>
      <c r="AR180" s="2152"/>
      <c r="AS180" s="2152"/>
      <c r="AT180" s="2152"/>
      <c r="AU180" s="2152"/>
      <c r="AV180" s="2152"/>
      <c r="AW180" s="2152"/>
      <c r="AX180" s="2152"/>
      <c r="AY180" s="2152"/>
      <c r="AZ180" s="2152"/>
      <c r="BA180" s="1207"/>
      <c r="BB180" s="1207"/>
      <c r="BC180" s="1207"/>
      <c r="BD180" s="1213"/>
      <c r="BE180" s="1213"/>
    </row>
    <row r="181" spans="1:57" ht="15.75" customHeight="1">
      <c r="A181" s="1207"/>
      <c r="B181" s="1206"/>
      <c r="C181" s="1207"/>
      <c r="D181" s="1207"/>
      <c r="E181" s="1207"/>
      <c r="F181" s="1207"/>
      <c r="G181" s="1207"/>
      <c r="H181" s="2152"/>
      <c r="I181" s="2152"/>
      <c r="J181" s="2152"/>
      <c r="K181" s="2152"/>
      <c r="L181" s="2152"/>
      <c r="M181" s="2152"/>
      <c r="N181" s="2152"/>
      <c r="O181" s="2152"/>
      <c r="P181" s="2152"/>
      <c r="Q181" s="2152"/>
      <c r="R181" s="2152"/>
      <c r="S181" s="2152"/>
      <c r="T181" s="2152"/>
      <c r="U181" s="2152"/>
      <c r="V181" s="2152"/>
      <c r="W181" s="2152"/>
      <c r="X181" s="2152"/>
      <c r="Y181" s="2152"/>
      <c r="Z181" s="2152"/>
      <c r="AA181" s="2152"/>
      <c r="AB181" s="2152"/>
      <c r="AC181" s="2152"/>
      <c r="AD181" s="2152"/>
      <c r="AE181" s="2152"/>
      <c r="AF181" s="2152"/>
      <c r="AG181" s="2152"/>
      <c r="AH181" s="2152"/>
      <c r="AI181" s="2152"/>
      <c r="AJ181" s="2152"/>
      <c r="AK181" s="2152"/>
      <c r="AL181" s="2152"/>
      <c r="AM181" s="2152"/>
      <c r="AN181" s="2152"/>
      <c r="AO181" s="2152"/>
      <c r="AP181" s="2152"/>
      <c r="AQ181" s="2152"/>
      <c r="AR181" s="2152"/>
      <c r="AS181" s="2152"/>
      <c r="AT181" s="2152"/>
      <c r="AU181" s="2152"/>
      <c r="AV181" s="2152"/>
      <c r="AW181" s="2152"/>
      <c r="AX181" s="2152"/>
      <c r="AY181" s="2152"/>
      <c r="AZ181" s="2152"/>
      <c r="BA181" s="1207"/>
      <c r="BB181" s="1207"/>
      <c r="BC181" s="1207"/>
      <c r="BD181" s="1213"/>
      <c r="BE181" s="1213"/>
    </row>
    <row r="182" spans="1:57" ht="15.75" customHeight="1">
      <c r="A182" s="1207"/>
      <c r="B182" s="1206"/>
      <c r="C182" s="1207"/>
      <c r="D182" s="1207"/>
      <c r="E182" s="1207"/>
      <c r="F182" s="1207"/>
      <c r="G182" s="1207"/>
      <c r="H182" s="2152"/>
      <c r="I182" s="2152"/>
      <c r="J182" s="2152"/>
      <c r="K182" s="2152"/>
      <c r="L182" s="2152"/>
      <c r="M182" s="2152"/>
      <c r="N182" s="2152"/>
      <c r="O182" s="2152"/>
      <c r="P182" s="2152"/>
      <c r="Q182" s="2152"/>
      <c r="R182" s="2152"/>
      <c r="S182" s="2152"/>
      <c r="T182" s="2152"/>
      <c r="U182" s="2152"/>
      <c r="V182" s="2152"/>
      <c r="W182" s="2152"/>
      <c r="X182" s="2152"/>
      <c r="Y182" s="2152"/>
      <c r="Z182" s="2152"/>
      <c r="AA182" s="2152"/>
      <c r="AB182" s="2152"/>
      <c r="AC182" s="2152"/>
      <c r="AD182" s="2152"/>
      <c r="AE182" s="2152"/>
      <c r="AF182" s="2152"/>
      <c r="AG182" s="2152"/>
      <c r="AH182" s="2152"/>
      <c r="AI182" s="2152"/>
      <c r="AJ182" s="2152"/>
      <c r="AK182" s="2152"/>
      <c r="AL182" s="2152"/>
      <c r="AM182" s="2152"/>
      <c r="AN182" s="2152"/>
      <c r="AO182" s="2152"/>
      <c r="AP182" s="2152"/>
      <c r="AQ182" s="2152"/>
      <c r="AR182" s="2152"/>
      <c r="AS182" s="2152"/>
      <c r="AT182" s="2152"/>
      <c r="AU182" s="2152"/>
      <c r="AV182" s="2152"/>
      <c r="AW182" s="2152"/>
      <c r="AX182" s="2152"/>
      <c r="AY182" s="2152"/>
      <c r="AZ182" s="2152"/>
      <c r="BA182" s="1207"/>
      <c r="BB182" s="1207"/>
      <c r="BC182" s="1207"/>
      <c r="BD182" s="1213"/>
      <c r="BE182" s="1213"/>
    </row>
    <row r="183" spans="1:57" ht="15.75" customHeight="1">
      <c r="A183" s="1207"/>
      <c r="B183" s="1206"/>
      <c r="C183" s="1207"/>
      <c r="D183" s="1207"/>
      <c r="E183" s="1207"/>
      <c r="F183" s="1207"/>
      <c r="G183" s="1207"/>
      <c r="H183" s="1207"/>
      <c r="I183" s="1207"/>
      <c r="J183" s="1207"/>
      <c r="K183" s="1207"/>
      <c r="L183" s="1207"/>
      <c r="M183" s="1207"/>
      <c r="N183" s="1207"/>
      <c r="O183" s="1207"/>
      <c r="P183" s="1207"/>
      <c r="Q183" s="1207"/>
      <c r="R183" s="1207"/>
      <c r="S183" s="1207"/>
      <c r="T183" s="1207"/>
      <c r="U183" s="1207"/>
      <c r="V183" s="1207"/>
      <c r="W183" s="1207"/>
      <c r="X183" s="1207"/>
      <c r="Y183" s="1207"/>
      <c r="Z183" s="1207"/>
      <c r="AA183" s="1207"/>
      <c r="AB183" s="1207"/>
      <c r="AC183" s="1207"/>
      <c r="AD183" s="1207"/>
      <c r="AE183" s="1207"/>
      <c r="AF183" s="1207"/>
      <c r="AG183" s="1207"/>
      <c r="AH183" s="1207"/>
      <c r="AI183" s="1207"/>
      <c r="AJ183" s="1207"/>
      <c r="AK183" s="1207"/>
      <c r="AL183" s="1207"/>
      <c r="AM183" s="1207"/>
      <c r="AN183" s="1207"/>
      <c r="AO183" s="1207"/>
      <c r="AP183" s="1207"/>
      <c r="AQ183" s="1207"/>
      <c r="AR183" s="1207"/>
      <c r="AS183" s="1207"/>
      <c r="AT183" s="1207"/>
      <c r="AU183" s="1207"/>
      <c r="AV183" s="1207"/>
      <c r="AW183" s="1207"/>
      <c r="AX183" s="1207"/>
      <c r="AY183" s="1207"/>
      <c r="AZ183" s="1207"/>
      <c r="BA183" s="1207"/>
      <c r="BB183" s="1207"/>
      <c r="BC183" s="1207"/>
      <c r="BD183" s="1213"/>
      <c r="BE183" s="1213"/>
    </row>
    <row r="184" spans="1:57" ht="15.75" customHeight="1" thickBot="1">
      <c r="A184" s="1207"/>
      <c r="B184" s="1250"/>
      <c r="C184" s="1251"/>
      <c r="D184" s="1251"/>
      <c r="E184" s="1251"/>
      <c r="F184" s="1251"/>
      <c r="G184" s="1251"/>
      <c r="H184" s="2153" t="s">
        <v>1930</v>
      </c>
      <c r="I184" s="2153"/>
      <c r="J184" s="2153"/>
      <c r="K184" s="2153"/>
      <c r="L184" s="2153"/>
      <c r="M184" s="2153"/>
      <c r="N184" s="2153"/>
      <c r="O184" s="2153"/>
      <c r="P184" s="2153"/>
      <c r="Q184" s="2153"/>
      <c r="R184" s="2153"/>
      <c r="S184" s="2153"/>
      <c r="T184" s="2153"/>
      <c r="U184" s="2153"/>
      <c r="V184" s="2153"/>
      <c r="W184" s="2153"/>
      <c r="X184" s="2153"/>
      <c r="Y184" s="2153"/>
      <c r="Z184" s="2153"/>
      <c r="AA184" s="2153"/>
      <c r="AB184" s="2153"/>
      <c r="AC184" s="2153"/>
      <c r="AD184" s="2153"/>
      <c r="AE184" s="2153"/>
      <c r="AF184" s="2153"/>
      <c r="AG184" s="2153"/>
      <c r="AH184" s="2153"/>
      <c r="AI184" s="2153"/>
      <c r="AJ184" s="2153"/>
      <c r="AK184" s="2153"/>
      <c r="AL184" s="2153"/>
      <c r="AM184" s="2153"/>
      <c r="AN184" s="2153"/>
      <c r="AO184" s="2153"/>
      <c r="AP184" s="2153"/>
      <c r="AQ184" s="2153"/>
      <c r="AR184" s="2153"/>
      <c r="AS184" s="2153"/>
      <c r="AT184" s="2153"/>
      <c r="AU184" s="2153"/>
      <c r="AV184" s="2153"/>
      <c r="AW184" s="1251"/>
      <c r="AX184" s="1251"/>
      <c r="AY184" s="1251"/>
      <c r="AZ184" s="1251"/>
      <c r="BA184" s="1251"/>
      <c r="BB184" s="1251"/>
      <c r="BC184" s="1251"/>
      <c r="BD184" s="1252"/>
      <c r="BE184" s="1213"/>
    </row>
    <row r="185" spans="1:57" ht="15.75" customHeight="1" thickBot="1">
      <c r="A185" s="1207"/>
      <c r="B185" s="1253"/>
      <c r="C185" s="1222"/>
      <c r="D185" s="1222"/>
      <c r="E185" s="1222"/>
      <c r="F185" s="1222"/>
      <c r="G185" s="1222"/>
      <c r="H185" s="1222"/>
      <c r="I185" s="1222"/>
      <c r="J185" s="1222"/>
      <c r="K185" s="1222"/>
      <c r="L185" s="1222"/>
      <c r="M185" s="1222"/>
      <c r="N185" s="1222"/>
      <c r="O185" s="1222"/>
      <c r="P185" s="1222"/>
      <c r="Q185" s="1222"/>
      <c r="R185" s="1222"/>
      <c r="S185" s="1222"/>
      <c r="T185" s="1222"/>
      <c r="U185" s="1222"/>
      <c r="V185" s="1222"/>
      <c r="W185" s="1222"/>
      <c r="X185" s="1222"/>
      <c r="Y185" s="1222"/>
      <c r="Z185" s="1222"/>
      <c r="AA185" s="1222"/>
      <c r="AB185" s="1222"/>
      <c r="AC185" s="1222"/>
      <c r="AD185" s="1222"/>
      <c r="AE185" s="1222"/>
      <c r="AF185" s="1222"/>
      <c r="AG185" s="1222"/>
      <c r="AH185" s="1222"/>
      <c r="AI185" s="1222"/>
      <c r="AJ185" s="1222"/>
      <c r="AK185" s="1222"/>
      <c r="AL185" s="1222"/>
      <c r="AM185" s="1222"/>
      <c r="AN185" s="1222"/>
      <c r="AO185" s="1222"/>
      <c r="AP185" s="1222"/>
      <c r="AQ185" s="1222"/>
      <c r="AR185" s="1222"/>
      <c r="AS185" s="1222"/>
      <c r="AT185" s="1222"/>
      <c r="AU185" s="1222"/>
      <c r="AV185" s="1222"/>
      <c r="AW185" s="1222"/>
      <c r="AX185" s="1222"/>
      <c r="AY185" s="1222"/>
      <c r="AZ185" s="1222"/>
      <c r="BA185" s="1222"/>
      <c r="BB185" s="1222"/>
      <c r="BC185" s="1222"/>
      <c r="BD185" s="1254"/>
      <c r="BE185" s="1213"/>
    </row>
    <row r="186" spans="1:57" ht="30" customHeight="1" thickBot="1">
      <c r="A186" s="1207"/>
      <c r="B186" s="1253"/>
      <c r="C186" s="1222"/>
      <c r="D186" s="1222"/>
      <c r="E186" s="1222"/>
      <c r="F186" s="1222"/>
      <c r="G186" s="1222"/>
      <c r="H186" s="2143" t="s">
        <v>1931</v>
      </c>
      <c r="I186" s="2143"/>
      <c r="J186" s="2143"/>
      <c r="K186" s="2143"/>
      <c r="L186" s="1222"/>
      <c r="M186" s="1222"/>
      <c r="N186" s="1222"/>
      <c r="O186" s="1222"/>
      <c r="P186" s="1222"/>
      <c r="Q186" s="1222"/>
      <c r="R186" s="1222"/>
      <c r="S186" s="2154"/>
      <c r="T186" s="2150"/>
      <c r="U186" s="2150"/>
      <c r="V186" s="2150"/>
      <c r="W186" s="2150"/>
      <c r="X186" s="2150"/>
      <c r="Y186" s="2150"/>
      <c r="Z186" s="2150"/>
      <c r="AA186" s="2150"/>
      <c r="AB186" s="2150"/>
      <c r="AC186" s="2150"/>
      <c r="AD186" s="2150"/>
      <c r="AE186" s="2150"/>
      <c r="AF186" s="2150"/>
      <c r="AG186" s="2150"/>
      <c r="AH186" s="2150"/>
      <c r="AI186" s="2150"/>
      <c r="AJ186" s="2151"/>
      <c r="AK186" s="1222"/>
      <c r="AL186" s="1222"/>
      <c r="AM186" s="1222"/>
      <c r="AN186" s="1222"/>
      <c r="AO186" s="1222"/>
      <c r="AP186" s="1222"/>
      <c r="AQ186" s="1222"/>
      <c r="AR186" s="1222"/>
      <c r="AS186" s="1222"/>
      <c r="AT186" s="1222"/>
      <c r="AU186" s="1222"/>
      <c r="AV186" s="1222"/>
      <c r="AW186" s="1222"/>
      <c r="AX186" s="1222"/>
      <c r="AY186" s="1222"/>
      <c r="AZ186" s="1222"/>
      <c r="BA186" s="1222"/>
      <c r="BB186" s="1222"/>
      <c r="BC186" s="1222"/>
      <c r="BD186" s="1254"/>
      <c r="BE186" s="1213"/>
    </row>
    <row r="187" spans="1:57" ht="15.75" customHeight="1" thickBot="1">
      <c r="A187" s="1207"/>
      <c r="B187" s="1253"/>
      <c r="C187" s="1222"/>
      <c r="D187" s="1222"/>
      <c r="E187" s="1222"/>
      <c r="F187" s="1222"/>
      <c r="G187" s="1222"/>
      <c r="H187" s="1255"/>
      <c r="I187" s="1255"/>
      <c r="J187" s="1255"/>
      <c r="K187" s="1255"/>
      <c r="L187" s="1222"/>
      <c r="M187" s="1222"/>
      <c r="N187" s="1222"/>
      <c r="O187" s="1222"/>
      <c r="P187" s="1222"/>
      <c r="Q187" s="1222"/>
      <c r="R187" s="1222"/>
      <c r="S187" s="1222"/>
      <c r="T187" s="1222"/>
      <c r="U187" s="1222"/>
      <c r="V187" s="1222"/>
      <c r="W187" s="1222"/>
      <c r="X187" s="1222"/>
      <c r="Y187" s="1222"/>
      <c r="Z187" s="1222"/>
      <c r="AA187" s="1222"/>
      <c r="AB187" s="1222"/>
      <c r="AC187" s="1222"/>
      <c r="AD187" s="1222"/>
      <c r="AE187" s="1222"/>
      <c r="AF187" s="1222"/>
      <c r="AG187" s="1222"/>
      <c r="AH187" s="1222"/>
      <c r="AI187" s="1222"/>
      <c r="AJ187" s="1222"/>
      <c r="AK187" s="1222"/>
      <c r="AL187" s="1222"/>
      <c r="AM187" s="1222"/>
      <c r="AN187" s="1222"/>
      <c r="AO187" s="1222"/>
      <c r="AP187" s="1222"/>
      <c r="AQ187" s="1222"/>
      <c r="AR187" s="1222"/>
      <c r="AS187" s="1222"/>
      <c r="AT187" s="1222"/>
      <c r="AU187" s="1222"/>
      <c r="AV187" s="1222"/>
      <c r="AW187" s="1222"/>
      <c r="AX187" s="1222"/>
      <c r="AY187" s="1222"/>
      <c r="AZ187" s="1222"/>
      <c r="BA187" s="1222"/>
      <c r="BB187" s="1222"/>
      <c r="BC187" s="1222"/>
      <c r="BD187" s="1254"/>
      <c r="BE187" s="1213"/>
    </row>
    <row r="188" spans="1:57" ht="15.75" customHeight="1" thickBot="1">
      <c r="A188" s="1207"/>
      <c r="B188" s="1253"/>
      <c r="C188" s="1222"/>
      <c r="D188" s="1222"/>
      <c r="E188" s="1222"/>
      <c r="F188" s="1222"/>
      <c r="G188" s="1222"/>
      <c r="H188" s="2143" t="s">
        <v>1932</v>
      </c>
      <c r="I188" s="2143"/>
      <c r="J188" s="2143"/>
      <c r="K188" s="1255"/>
      <c r="L188" s="1222"/>
      <c r="M188" s="1222"/>
      <c r="N188" s="1222"/>
      <c r="O188" s="1222"/>
      <c r="P188" s="1222"/>
      <c r="Q188" s="1222"/>
      <c r="R188" s="1222"/>
      <c r="S188" s="2144"/>
      <c r="T188" s="2145"/>
      <c r="U188" s="2145"/>
      <c r="V188" s="2145"/>
      <c r="W188" s="2145"/>
      <c r="X188" s="2145"/>
      <c r="Y188" s="2145"/>
      <c r="Z188" s="2145"/>
      <c r="AA188" s="2145"/>
      <c r="AB188" s="2145"/>
      <c r="AC188" s="2145"/>
      <c r="AD188" s="2145"/>
      <c r="AE188" s="2145"/>
      <c r="AF188" s="2145"/>
      <c r="AG188" s="2145"/>
      <c r="AH188" s="2145"/>
      <c r="AI188" s="2145"/>
      <c r="AJ188" s="2146"/>
      <c r="AK188" s="1222"/>
      <c r="AL188" s="1222"/>
      <c r="AM188" s="1222"/>
      <c r="AN188" s="1222"/>
      <c r="AO188" s="1222"/>
      <c r="AP188" s="1222"/>
      <c r="AQ188" s="1222"/>
      <c r="AR188" s="1222"/>
      <c r="AS188" s="1222"/>
      <c r="AT188" s="1222"/>
      <c r="AU188" s="1222"/>
      <c r="AV188" s="1222"/>
      <c r="AW188" s="1222"/>
      <c r="AX188" s="1222"/>
      <c r="AY188" s="1222"/>
      <c r="AZ188" s="1222"/>
      <c r="BA188" s="1222"/>
      <c r="BB188" s="1222"/>
      <c r="BC188" s="1222"/>
      <c r="BD188" s="1254"/>
      <c r="BE188" s="1213"/>
    </row>
    <row r="189" spans="1:57" ht="15.75" customHeight="1" thickBot="1">
      <c r="A189" s="1207"/>
      <c r="B189" s="1253"/>
      <c r="C189" s="1222"/>
      <c r="D189" s="1222"/>
      <c r="E189" s="1222"/>
      <c r="F189" s="1222"/>
      <c r="G189" s="1222"/>
      <c r="H189" s="1255"/>
      <c r="I189" s="1255"/>
      <c r="J189" s="1255"/>
      <c r="K189" s="1255"/>
      <c r="L189" s="1222"/>
      <c r="M189" s="1222"/>
      <c r="N189" s="1222"/>
      <c r="O189" s="1222"/>
      <c r="P189" s="1222"/>
      <c r="Q189" s="1222"/>
      <c r="R189" s="1222"/>
      <c r="S189" s="1222"/>
      <c r="T189" s="1222"/>
      <c r="U189" s="1222"/>
      <c r="V189" s="1222"/>
      <c r="W189" s="1222"/>
      <c r="X189" s="1222"/>
      <c r="Y189" s="1222"/>
      <c r="Z189" s="1222"/>
      <c r="AA189" s="1222"/>
      <c r="AB189" s="1222"/>
      <c r="AC189" s="1222"/>
      <c r="AD189" s="1222"/>
      <c r="AE189" s="1222"/>
      <c r="AF189" s="1222"/>
      <c r="AG189" s="1222"/>
      <c r="AH189" s="1222"/>
      <c r="AI189" s="1222"/>
      <c r="AJ189" s="1222"/>
      <c r="AK189" s="1222"/>
      <c r="AL189" s="1222"/>
      <c r="AM189" s="1222"/>
      <c r="AN189" s="1222"/>
      <c r="AO189" s="1222"/>
      <c r="AP189" s="1222"/>
      <c r="AQ189" s="1222"/>
      <c r="AR189" s="1222"/>
      <c r="AS189" s="1222"/>
      <c r="AT189" s="1222"/>
      <c r="AU189" s="1222"/>
      <c r="AV189" s="1222"/>
      <c r="AW189" s="1222"/>
      <c r="AX189" s="1222"/>
      <c r="AY189" s="1222"/>
      <c r="AZ189" s="1222"/>
      <c r="BA189" s="1222"/>
      <c r="BB189" s="1222"/>
      <c r="BC189" s="1222"/>
      <c r="BD189" s="1254"/>
      <c r="BE189" s="1213"/>
    </row>
    <row r="190" spans="1:57" ht="15.75" customHeight="1" thickBot="1">
      <c r="A190" s="1207"/>
      <c r="B190" s="1253"/>
      <c r="C190" s="1222"/>
      <c r="D190" s="1222"/>
      <c r="E190" s="1222"/>
      <c r="F190" s="1222"/>
      <c r="G190" s="1222"/>
      <c r="H190" s="2143" t="s">
        <v>444</v>
      </c>
      <c r="I190" s="2143"/>
      <c r="J190" s="1255"/>
      <c r="K190" s="1255"/>
      <c r="L190" s="1222"/>
      <c r="M190" s="1222"/>
      <c r="N190" s="1222"/>
      <c r="O190" s="1222"/>
      <c r="P190" s="1222"/>
      <c r="Q190" s="1222"/>
      <c r="R190" s="1222"/>
      <c r="S190" s="2144"/>
      <c r="T190" s="2145"/>
      <c r="U190" s="2145"/>
      <c r="V190" s="2145"/>
      <c r="W190" s="2145"/>
      <c r="X190" s="2145"/>
      <c r="Y190" s="2145"/>
      <c r="Z190" s="2145"/>
      <c r="AA190" s="2145"/>
      <c r="AB190" s="2145"/>
      <c r="AC190" s="2145"/>
      <c r="AD190" s="2145"/>
      <c r="AE190" s="2145"/>
      <c r="AF190" s="2145"/>
      <c r="AG190" s="2145"/>
      <c r="AH190" s="2145"/>
      <c r="AI190" s="2145"/>
      <c r="AJ190" s="2146"/>
      <c r="AK190" s="1222"/>
      <c r="AL190" s="1222"/>
      <c r="AM190" s="1222"/>
      <c r="AN190" s="1222"/>
      <c r="AO190" s="1222"/>
      <c r="AP190" s="1222"/>
      <c r="AQ190" s="1222"/>
      <c r="AR190" s="1222"/>
      <c r="AS190" s="1222"/>
      <c r="AT190" s="1222"/>
      <c r="AU190" s="1222"/>
      <c r="AV190" s="1222"/>
      <c r="AW190" s="1222"/>
      <c r="AX190" s="1222"/>
      <c r="AY190" s="1222"/>
      <c r="AZ190" s="1222"/>
      <c r="BA190" s="1222"/>
      <c r="BB190" s="1222"/>
      <c r="BC190" s="1222"/>
      <c r="BD190" s="1254"/>
      <c r="BE190" s="1213"/>
    </row>
    <row r="191" spans="1:57" ht="15.75" customHeight="1" thickBot="1">
      <c r="A191" s="1207"/>
      <c r="B191" s="1253"/>
      <c r="C191" s="1222"/>
      <c r="D191" s="1222"/>
      <c r="E191" s="1222"/>
      <c r="F191" s="1222"/>
      <c r="G191" s="1222"/>
      <c r="H191" s="1222"/>
      <c r="I191" s="1222"/>
      <c r="J191" s="1222"/>
      <c r="K191" s="1222"/>
      <c r="L191" s="1222"/>
      <c r="M191" s="1222"/>
      <c r="N191" s="1222"/>
      <c r="O191" s="1222"/>
      <c r="P191" s="1222"/>
      <c r="Q191" s="1222"/>
      <c r="R191" s="1222"/>
      <c r="S191" s="1222"/>
      <c r="T191" s="1222"/>
      <c r="U191" s="1222"/>
      <c r="V191" s="1222"/>
      <c r="W191" s="1222"/>
      <c r="X191" s="1222"/>
      <c r="Y191" s="1222"/>
      <c r="Z191" s="1222"/>
      <c r="AA191" s="1222"/>
      <c r="AB191" s="1222"/>
      <c r="AC191" s="1222"/>
      <c r="AD191" s="1222"/>
      <c r="AE191" s="1222"/>
      <c r="AF191" s="1222"/>
      <c r="AG191" s="1222"/>
      <c r="AH191" s="1222"/>
      <c r="AI191" s="1222"/>
      <c r="AJ191" s="1222"/>
      <c r="AK191" s="1222"/>
      <c r="AL191" s="1222"/>
      <c r="AM191" s="1222"/>
      <c r="AN191" s="1222"/>
      <c r="AO191" s="1222"/>
      <c r="AP191" s="1222"/>
      <c r="AQ191" s="1222"/>
      <c r="AR191" s="1222"/>
      <c r="AS191" s="1222"/>
      <c r="AT191" s="1222"/>
      <c r="AU191" s="1222"/>
      <c r="AV191" s="1222"/>
      <c r="AW191" s="1222"/>
      <c r="AX191" s="1222"/>
      <c r="AY191" s="1222"/>
      <c r="AZ191" s="1222"/>
      <c r="BA191" s="1222"/>
      <c r="BB191" s="1222"/>
      <c r="BC191" s="1222"/>
      <c r="BD191" s="1254"/>
      <c r="BE191" s="1213"/>
    </row>
    <row r="192" spans="1:57" ht="15.75" customHeight="1" thickBot="1">
      <c r="A192" s="1207"/>
      <c r="B192" s="1253"/>
      <c r="C192" s="1222"/>
      <c r="D192" s="1222"/>
      <c r="E192" s="1222"/>
      <c r="F192" s="1222"/>
      <c r="G192" s="1222"/>
      <c r="H192" s="2147" t="s">
        <v>1933</v>
      </c>
      <c r="I192" s="2147"/>
      <c r="J192" s="2147"/>
      <c r="K192" s="2147"/>
      <c r="L192" s="2147"/>
      <c r="M192" s="2147"/>
      <c r="N192" s="2147"/>
      <c r="O192" s="2147"/>
      <c r="P192" s="1222"/>
      <c r="Q192" s="1222"/>
      <c r="R192" s="1222"/>
      <c r="S192" s="2144"/>
      <c r="T192" s="2145"/>
      <c r="U192" s="2145"/>
      <c r="V192" s="2145"/>
      <c r="W192" s="2145"/>
      <c r="X192" s="2145"/>
      <c r="Y192" s="2145"/>
      <c r="Z192" s="2145"/>
      <c r="AA192" s="2145"/>
      <c r="AB192" s="2145"/>
      <c r="AC192" s="2145"/>
      <c r="AD192" s="2145"/>
      <c r="AE192" s="2145"/>
      <c r="AF192" s="2145"/>
      <c r="AG192" s="2145"/>
      <c r="AH192" s="2145"/>
      <c r="AI192" s="2145"/>
      <c r="AJ192" s="2146"/>
      <c r="AK192" s="1222"/>
      <c r="AL192" s="1222"/>
      <c r="AM192" s="1222"/>
      <c r="AN192" s="1222"/>
      <c r="AO192" s="1222"/>
      <c r="AP192" s="1222"/>
      <c r="AQ192" s="1222"/>
      <c r="AR192" s="1222"/>
      <c r="AS192" s="1222"/>
      <c r="AT192" s="1222"/>
      <c r="AU192" s="1222"/>
      <c r="AV192" s="1222"/>
      <c r="AW192" s="1222"/>
      <c r="AX192" s="1222"/>
      <c r="AY192" s="1222"/>
      <c r="AZ192" s="1222"/>
      <c r="BA192" s="1222"/>
      <c r="BB192" s="1222"/>
      <c r="BC192" s="1222"/>
      <c r="BD192" s="1254"/>
      <c r="BE192" s="1213"/>
    </row>
    <row r="193" spans="1:57" ht="15.75" customHeight="1" thickBot="1">
      <c r="A193" s="1207"/>
      <c r="B193" s="1253"/>
      <c r="C193" s="1222"/>
      <c r="D193" s="1222"/>
      <c r="E193" s="1222"/>
      <c r="F193" s="1222"/>
      <c r="G193" s="1222"/>
      <c r="H193" s="1222"/>
      <c r="I193" s="1222"/>
      <c r="J193" s="1222"/>
      <c r="K193" s="1222"/>
      <c r="L193" s="1222"/>
      <c r="M193" s="1222"/>
      <c r="N193" s="1222"/>
      <c r="O193" s="1222"/>
      <c r="P193" s="1222"/>
      <c r="Q193" s="1222"/>
      <c r="R193" s="1222"/>
      <c r="S193" s="1222"/>
      <c r="T193" s="1222"/>
      <c r="U193" s="1222"/>
      <c r="V193" s="1222"/>
      <c r="W193" s="1222"/>
      <c r="X193" s="1222"/>
      <c r="Y193" s="1222"/>
      <c r="Z193" s="1222"/>
      <c r="AA193" s="1222"/>
      <c r="AB193" s="1222"/>
      <c r="AC193" s="1222"/>
      <c r="AD193" s="1222"/>
      <c r="AE193" s="1222"/>
      <c r="AF193" s="1222"/>
      <c r="AG193" s="1222"/>
      <c r="AH193" s="1222"/>
      <c r="AI193" s="1222"/>
      <c r="AJ193" s="1222"/>
      <c r="AK193" s="1222"/>
      <c r="AL193" s="1222"/>
      <c r="AM193" s="1222"/>
      <c r="AN193" s="1222"/>
      <c r="AO193" s="1222"/>
      <c r="AP193" s="1222"/>
      <c r="AQ193" s="1222"/>
      <c r="AR193" s="1222"/>
      <c r="AS193" s="1222"/>
      <c r="AT193" s="1222"/>
      <c r="AU193" s="1222"/>
      <c r="AV193" s="1222"/>
      <c r="AW193" s="1222"/>
      <c r="AX193" s="1222"/>
      <c r="AY193" s="1222"/>
      <c r="AZ193" s="1222"/>
      <c r="BA193" s="1222"/>
      <c r="BB193" s="1222"/>
      <c r="BC193" s="1222"/>
      <c r="BD193" s="1254"/>
      <c r="BE193" s="1213"/>
    </row>
    <row r="194" spans="1:57" ht="15.75" customHeight="1" thickBot="1">
      <c r="A194" s="1207"/>
      <c r="B194" s="1253"/>
      <c r="C194" s="1222"/>
      <c r="D194" s="1222"/>
      <c r="E194" s="1222"/>
      <c r="F194" s="1222"/>
      <c r="G194" s="1222"/>
      <c r="H194" s="2148" t="s">
        <v>1934</v>
      </c>
      <c r="I194" s="2148"/>
      <c r="J194" s="1222"/>
      <c r="K194" s="1222"/>
      <c r="L194" s="1222"/>
      <c r="M194" s="1222"/>
      <c r="N194" s="1222"/>
      <c r="O194" s="1222"/>
      <c r="P194" s="1222"/>
      <c r="Q194" s="1222"/>
      <c r="R194" s="1222"/>
      <c r="S194" s="2149"/>
      <c r="T194" s="2150"/>
      <c r="U194" s="2150"/>
      <c r="V194" s="2150"/>
      <c r="W194" s="2150"/>
      <c r="X194" s="2150"/>
      <c r="Y194" s="2150"/>
      <c r="Z194" s="2150"/>
      <c r="AA194" s="2150"/>
      <c r="AB194" s="2150"/>
      <c r="AC194" s="2150"/>
      <c r="AD194" s="2150"/>
      <c r="AE194" s="2150"/>
      <c r="AF194" s="2150"/>
      <c r="AG194" s="2150"/>
      <c r="AH194" s="2150"/>
      <c r="AI194" s="2150"/>
      <c r="AJ194" s="2151"/>
      <c r="AK194" s="1222"/>
      <c r="AL194" s="1222"/>
      <c r="AM194" s="1222"/>
      <c r="AN194" s="1222"/>
      <c r="AO194" s="1222"/>
      <c r="AP194" s="1222"/>
      <c r="AQ194" s="1222"/>
      <c r="AR194" s="1222"/>
      <c r="AS194" s="1222"/>
      <c r="AT194" s="1222"/>
      <c r="AU194" s="1222"/>
      <c r="AV194" s="1222"/>
      <c r="AW194" s="1222"/>
      <c r="AX194" s="1222"/>
      <c r="AY194" s="1222"/>
      <c r="AZ194" s="1222"/>
      <c r="BA194" s="1222"/>
      <c r="BB194" s="1222"/>
      <c r="BC194" s="1222"/>
      <c r="BD194" s="1254"/>
      <c r="BE194" s="1213"/>
    </row>
    <row r="195" spans="1:57" ht="15.75" customHeight="1" thickBot="1">
      <c r="A195" s="1207"/>
      <c r="B195" s="1256"/>
      <c r="C195" s="1257"/>
      <c r="D195" s="1257"/>
      <c r="E195" s="1257"/>
      <c r="F195" s="1257"/>
      <c r="G195" s="1257"/>
      <c r="H195" s="1257"/>
      <c r="I195" s="1257"/>
      <c r="J195" s="1257"/>
      <c r="K195" s="1257"/>
      <c r="L195" s="1257"/>
      <c r="M195" s="1257"/>
      <c r="N195" s="1257"/>
      <c r="O195" s="1257"/>
      <c r="P195" s="1257"/>
      <c r="Q195" s="1257"/>
      <c r="R195" s="1257"/>
      <c r="S195" s="1257"/>
      <c r="T195" s="1257"/>
      <c r="U195" s="1257"/>
      <c r="V195" s="1257"/>
      <c r="W195" s="1257"/>
      <c r="X195" s="1257"/>
      <c r="Y195" s="1257"/>
      <c r="Z195" s="1257"/>
      <c r="AA195" s="1257"/>
      <c r="AB195" s="1257"/>
      <c r="AC195" s="1257"/>
      <c r="AD195" s="1257"/>
      <c r="AE195" s="1257"/>
      <c r="AF195" s="1257"/>
      <c r="AG195" s="1257"/>
      <c r="AH195" s="1257"/>
      <c r="AI195" s="1257"/>
      <c r="AJ195" s="1257"/>
      <c r="AK195" s="1257"/>
      <c r="AL195" s="1257"/>
      <c r="AM195" s="1257"/>
      <c r="AN195" s="1257"/>
      <c r="AO195" s="1257"/>
      <c r="AP195" s="1257"/>
      <c r="AQ195" s="1257"/>
      <c r="AR195" s="1257"/>
      <c r="AS195" s="1257"/>
      <c r="AT195" s="1257"/>
      <c r="AU195" s="1257"/>
      <c r="AV195" s="1257"/>
      <c r="AW195" s="1257"/>
      <c r="AX195" s="1257"/>
      <c r="AY195" s="1257"/>
      <c r="AZ195" s="1257"/>
      <c r="BA195" s="1257"/>
      <c r="BB195" s="1257"/>
      <c r="BC195" s="1257"/>
      <c r="BD195" s="1258"/>
      <c r="BE195" s="1213"/>
    </row>
    <row r="196" spans="1:57" ht="15.75" customHeight="1" thickBot="1">
      <c r="A196" s="1251"/>
      <c r="B196" s="1251"/>
      <c r="C196" s="1251"/>
      <c r="D196" s="1251"/>
      <c r="E196" s="1251"/>
      <c r="F196" s="1251"/>
      <c r="G196" s="1251"/>
      <c r="H196" s="1251"/>
      <c r="I196" s="1251"/>
      <c r="J196" s="1251"/>
      <c r="K196" s="1251"/>
      <c r="L196" s="1251"/>
      <c r="M196" s="1251"/>
      <c r="N196" s="1251"/>
      <c r="O196" s="1251"/>
      <c r="P196" s="1251"/>
      <c r="Q196" s="1251"/>
      <c r="R196" s="1251"/>
      <c r="S196" s="1251"/>
      <c r="T196" s="1251"/>
      <c r="U196" s="1251"/>
      <c r="V196" s="1251"/>
      <c r="W196" s="1251"/>
      <c r="X196" s="1251"/>
      <c r="Y196" s="1251"/>
      <c r="Z196" s="1251"/>
      <c r="AA196" s="1251"/>
      <c r="AB196" s="1251"/>
      <c r="AC196" s="1251"/>
      <c r="AD196" s="1251"/>
      <c r="AE196" s="1251"/>
      <c r="AF196" s="1251"/>
      <c r="AG196" s="1251"/>
      <c r="AH196" s="1251"/>
      <c r="AI196" s="1251"/>
      <c r="AJ196" s="1251"/>
      <c r="AK196" s="1251"/>
      <c r="AL196" s="1251"/>
      <c r="AM196" s="1251"/>
      <c r="AN196" s="1251"/>
      <c r="AO196" s="1251"/>
      <c r="AP196" s="1251"/>
      <c r="AQ196" s="1251"/>
      <c r="AR196" s="1251"/>
      <c r="AS196" s="1251"/>
      <c r="AT196" s="1251"/>
      <c r="AU196" s="1251"/>
      <c r="AV196" s="1251"/>
      <c r="AW196" s="1251"/>
      <c r="AX196" s="1251"/>
      <c r="AY196" s="1251"/>
      <c r="AZ196" s="1251"/>
      <c r="BA196" s="1251"/>
      <c r="BB196" s="1251"/>
      <c r="BC196" s="1251"/>
      <c r="BD196" s="1251"/>
      <c r="BE196" s="1252"/>
    </row>
    <row r="199" spans="1:57" ht="15.75" customHeight="1">
      <c r="D199" s="1205"/>
    </row>
    <row r="200" spans="1:57" ht="15.75" customHeight="1">
      <c r="D200" s="1259"/>
    </row>
    <row r="201" spans="1:57" ht="15.75" customHeight="1">
      <c r="D201" s="1205"/>
    </row>
    <row r="202" spans="1:57" ht="15.75" customHeight="1">
      <c r="D202" s="1205"/>
    </row>
    <row r="203" spans="1:57" ht="15.75" customHeight="1">
      <c r="R203" s="1204" t="s">
        <v>251</v>
      </c>
    </row>
  </sheetData>
  <sheetProtection algorithmName="SHA-512" hashValue="JP0h3y5c8goo0iMN+LO9KpBVDR+ybReTPNPlOoiCA7RLZMDP3RncNLPTsR/XF2ALWVa767l0bW76mkA+LeNm6g==" saltValue="D276paVUveGEZysuqaNLKg==" spinCount="100000" sheet="1" objects="1" scenarios="1"/>
  <mergeCells count="57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X12:AK12"/>
    <mergeCell ref="AL12:AP12"/>
    <mergeCell ref="B13:P13"/>
    <mergeCell ref="Q13:T13"/>
    <mergeCell ref="B15:R15"/>
    <mergeCell ref="S15:W15"/>
    <mergeCell ref="N10:T10"/>
    <mergeCell ref="X10:AK10"/>
    <mergeCell ref="AL10:AP10"/>
    <mergeCell ref="N11:T11"/>
    <mergeCell ref="X11:AK11"/>
    <mergeCell ref="AL11:AP11"/>
    <mergeCell ref="B17:AY17"/>
    <mergeCell ref="B18:I18"/>
    <mergeCell ref="J18:O18"/>
    <mergeCell ref="P18:U18"/>
    <mergeCell ref="V18:AA18"/>
    <mergeCell ref="AB18:AG18"/>
    <mergeCell ref="AH18:AM18"/>
    <mergeCell ref="AN18:AS18"/>
    <mergeCell ref="AT18:AY18"/>
    <mergeCell ref="AN19:AS19"/>
    <mergeCell ref="AT19:AY19"/>
    <mergeCell ref="B20:I20"/>
    <mergeCell ref="J20:O20"/>
    <mergeCell ref="P20:U20"/>
    <mergeCell ref="V20:AA20"/>
    <mergeCell ref="AB20:AG20"/>
    <mergeCell ref="AH20:AM20"/>
    <mergeCell ref="AN20:AS20"/>
    <mergeCell ref="AT20:AY20"/>
    <mergeCell ref="B19:I19"/>
    <mergeCell ref="J19:O19"/>
    <mergeCell ref="P19:U19"/>
    <mergeCell ref="V19:AA19"/>
    <mergeCell ref="AB19:AG19"/>
    <mergeCell ref="AH19:AM19"/>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Z35:AC35"/>
    <mergeCell ref="AD35:AG35"/>
    <mergeCell ref="AH35:AK35"/>
    <mergeCell ref="AL35:AN35"/>
    <mergeCell ref="AO35:AT35"/>
    <mergeCell ref="AU35:AZ35"/>
    <mergeCell ref="AN29:AS29"/>
    <mergeCell ref="AT29:AY29"/>
    <mergeCell ref="B31:AZ31"/>
    <mergeCell ref="B32:I35"/>
    <mergeCell ref="J32:M35"/>
    <mergeCell ref="N32:Q35"/>
    <mergeCell ref="R32:AZ32"/>
    <mergeCell ref="R33:AZ34"/>
    <mergeCell ref="R35:U35"/>
    <mergeCell ref="V35:Y35"/>
    <mergeCell ref="B29:I29"/>
    <mergeCell ref="J29:O29"/>
    <mergeCell ref="P29:U29"/>
    <mergeCell ref="V29:AA29"/>
    <mergeCell ref="AB29:AG29"/>
    <mergeCell ref="AH29:AM29"/>
    <mergeCell ref="B37:I37"/>
    <mergeCell ref="J37:M37"/>
    <mergeCell ref="N37:Q37"/>
    <mergeCell ref="R37:U37"/>
    <mergeCell ref="V37:Y37"/>
    <mergeCell ref="B36:I36"/>
    <mergeCell ref="J36:M36"/>
    <mergeCell ref="N36:Q36"/>
    <mergeCell ref="R36:U36"/>
    <mergeCell ref="V36:Y36"/>
    <mergeCell ref="Z37:AC37"/>
    <mergeCell ref="AD37:AG37"/>
    <mergeCell ref="AH37:AK37"/>
    <mergeCell ref="AL37:AN37"/>
    <mergeCell ref="AO37:AT37"/>
    <mergeCell ref="AU37:AZ37"/>
    <mergeCell ref="AD36:AG36"/>
    <mergeCell ref="AH36:AK36"/>
    <mergeCell ref="AL36:AN36"/>
    <mergeCell ref="AO36:AT36"/>
    <mergeCell ref="AU36:AZ36"/>
    <mergeCell ref="Z36:AC36"/>
    <mergeCell ref="B39:I39"/>
    <mergeCell ref="J39:M39"/>
    <mergeCell ref="N39:Q39"/>
    <mergeCell ref="R39:U39"/>
    <mergeCell ref="V39:Y39"/>
    <mergeCell ref="B38:I38"/>
    <mergeCell ref="J38:M38"/>
    <mergeCell ref="N38:Q38"/>
    <mergeCell ref="R38:U38"/>
    <mergeCell ref="V38:Y38"/>
    <mergeCell ref="Z39:AC39"/>
    <mergeCell ref="AD39:AG39"/>
    <mergeCell ref="AH39:AK39"/>
    <mergeCell ref="AL39:AN39"/>
    <mergeCell ref="AO39:AT39"/>
    <mergeCell ref="AU39:AZ39"/>
    <mergeCell ref="AD38:AG38"/>
    <mergeCell ref="AH38:AK38"/>
    <mergeCell ref="AL38:AN38"/>
    <mergeCell ref="AO38:AT38"/>
    <mergeCell ref="AU38:AZ38"/>
    <mergeCell ref="Z38:AC38"/>
    <mergeCell ref="B41:I41"/>
    <mergeCell ref="J41:M41"/>
    <mergeCell ref="N41:Q41"/>
    <mergeCell ref="R41:U41"/>
    <mergeCell ref="V41:Y41"/>
    <mergeCell ref="B40:I40"/>
    <mergeCell ref="J40:M40"/>
    <mergeCell ref="N40:Q40"/>
    <mergeCell ref="R40:U40"/>
    <mergeCell ref="V40:Y40"/>
    <mergeCell ref="Z41:AC41"/>
    <mergeCell ref="AD41:AG41"/>
    <mergeCell ref="AH41:AK41"/>
    <mergeCell ref="AL41:AN41"/>
    <mergeCell ref="AO41:AT41"/>
    <mergeCell ref="AU41:AZ41"/>
    <mergeCell ref="AD40:AG40"/>
    <mergeCell ref="AH40:AK40"/>
    <mergeCell ref="AL40:AN40"/>
    <mergeCell ref="AO40:AT40"/>
    <mergeCell ref="AU40:AZ40"/>
    <mergeCell ref="Z40:AC40"/>
    <mergeCell ref="B43:I43"/>
    <mergeCell ref="J43:M43"/>
    <mergeCell ref="N43:Q43"/>
    <mergeCell ref="R43:U43"/>
    <mergeCell ref="V43:Y43"/>
    <mergeCell ref="B42:I42"/>
    <mergeCell ref="J42:M42"/>
    <mergeCell ref="N42:Q42"/>
    <mergeCell ref="R42:U42"/>
    <mergeCell ref="V42:Y42"/>
    <mergeCell ref="Z43:AC43"/>
    <mergeCell ref="AD43:AG43"/>
    <mergeCell ref="AH43:AK43"/>
    <mergeCell ref="AL43:AN43"/>
    <mergeCell ref="AO43:AT43"/>
    <mergeCell ref="AU43:AZ43"/>
    <mergeCell ref="AD42:AG42"/>
    <mergeCell ref="AH42:AK42"/>
    <mergeCell ref="AL42:AN42"/>
    <mergeCell ref="AO42:AT42"/>
    <mergeCell ref="AU42:AZ42"/>
    <mergeCell ref="Z42:AC42"/>
    <mergeCell ref="B45:I45"/>
    <mergeCell ref="J45:M45"/>
    <mergeCell ref="N45:Q45"/>
    <mergeCell ref="R45:U45"/>
    <mergeCell ref="V45:Y45"/>
    <mergeCell ref="B44:I44"/>
    <mergeCell ref="J44:M44"/>
    <mergeCell ref="N44:Q44"/>
    <mergeCell ref="R44:U44"/>
    <mergeCell ref="V44:Y44"/>
    <mergeCell ref="Z45:AC45"/>
    <mergeCell ref="AD45:AG45"/>
    <mergeCell ref="AH45:AK45"/>
    <mergeCell ref="AL45:AN45"/>
    <mergeCell ref="AO45:AT45"/>
    <mergeCell ref="AU45:AZ45"/>
    <mergeCell ref="AD44:AG44"/>
    <mergeCell ref="AH44:AK44"/>
    <mergeCell ref="AL44:AN44"/>
    <mergeCell ref="AO44:AT44"/>
    <mergeCell ref="AU44:AZ44"/>
    <mergeCell ref="Z44:AC44"/>
    <mergeCell ref="AU47:AZ47"/>
    <mergeCell ref="AD46:AG46"/>
    <mergeCell ref="AH46:AK46"/>
    <mergeCell ref="AL46:AN46"/>
    <mergeCell ref="AO46:AT46"/>
    <mergeCell ref="AU46:AZ46"/>
    <mergeCell ref="B47:I47"/>
    <mergeCell ref="J47:M47"/>
    <mergeCell ref="N47:Q47"/>
    <mergeCell ref="R47:U47"/>
    <mergeCell ref="V47:Y47"/>
    <mergeCell ref="B46:I46"/>
    <mergeCell ref="J46:M46"/>
    <mergeCell ref="N46:Q46"/>
    <mergeCell ref="R46:U46"/>
    <mergeCell ref="V46:Y46"/>
    <mergeCell ref="Z46:AC46"/>
    <mergeCell ref="B50:AO50"/>
    <mergeCell ref="B51:I51"/>
    <mergeCell ref="J51:Q51"/>
    <mergeCell ref="R51:Y51"/>
    <mergeCell ref="Z51:AG51"/>
    <mergeCell ref="AH51:AO51"/>
    <mergeCell ref="Z47:AC47"/>
    <mergeCell ref="AD47:AG47"/>
    <mergeCell ref="AH47:AK47"/>
    <mergeCell ref="AL47:AN47"/>
    <mergeCell ref="AO47:AT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B72:N72"/>
    <mergeCell ref="O72:AA72"/>
    <mergeCell ref="AC72:BC72"/>
    <mergeCell ref="B73:N73"/>
    <mergeCell ref="O73:AA73"/>
    <mergeCell ref="AC73:BC77"/>
    <mergeCell ref="B74:N74"/>
    <mergeCell ref="O74:AA74"/>
    <mergeCell ref="B75:N75"/>
    <mergeCell ref="O75:AA75"/>
    <mergeCell ref="B79:AH79"/>
    <mergeCell ref="AJ79:AX82"/>
    <mergeCell ref="AY79:BB82"/>
    <mergeCell ref="B80:H81"/>
    <mergeCell ref="I80:N81"/>
    <mergeCell ref="O80:U81"/>
    <mergeCell ref="V80:AA81"/>
    <mergeCell ref="AB80:AH81"/>
    <mergeCell ref="B82:H82"/>
    <mergeCell ref="I82:N82"/>
    <mergeCell ref="AJ83:BB84"/>
    <mergeCell ref="B84:H84"/>
    <mergeCell ref="I84:N84"/>
    <mergeCell ref="O84:U84"/>
    <mergeCell ref="V84:AA84"/>
    <mergeCell ref="AB84:AH84"/>
    <mergeCell ref="O82:U82"/>
    <mergeCell ref="V82:AA82"/>
    <mergeCell ref="AB82:AH82"/>
    <mergeCell ref="B83:H83"/>
    <mergeCell ref="I83:N83"/>
    <mergeCell ref="O83:U83"/>
    <mergeCell ref="V83:AA83"/>
    <mergeCell ref="AB83:AH83"/>
    <mergeCell ref="B88:AH88"/>
    <mergeCell ref="AJ88:AX91"/>
    <mergeCell ref="AY88:BB91"/>
    <mergeCell ref="B89:H90"/>
    <mergeCell ref="I89:N90"/>
    <mergeCell ref="O89:U90"/>
    <mergeCell ref="V89:AA90"/>
    <mergeCell ref="AB89:AH90"/>
    <mergeCell ref="B91:H91"/>
    <mergeCell ref="I91:N91"/>
    <mergeCell ref="AJ92:BB93"/>
    <mergeCell ref="B93:H93"/>
    <mergeCell ref="I93:N93"/>
    <mergeCell ref="O93:U93"/>
    <mergeCell ref="V93:AA93"/>
    <mergeCell ref="AB93:AH93"/>
    <mergeCell ref="O91:U91"/>
    <mergeCell ref="V91:AA91"/>
    <mergeCell ref="AB91:AH91"/>
    <mergeCell ref="B92:H92"/>
    <mergeCell ref="I92:N92"/>
    <mergeCell ref="O92:U92"/>
    <mergeCell ref="V92:AA92"/>
    <mergeCell ref="AB92:AH92"/>
    <mergeCell ref="I100:N100"/>
    <mergeCell ref="O100:U100"/>
    <mergeCell ref="B104:U104"/>
    <mergeCell ref="B105:H106"/>
    <mergeCell ref="I105:O106"/>
    <mergeCell ref="P105:U106"/>
    <mergeCell ref="X96:BD97"/>
    <mergeCell ref="B97:U97"/>
    <mergeCell ref="B98:H98"/>
    <mergeCell ref="I98:N98"/>
    <mergeCell ref="O98:U98"/>
    <mergeCell ref="X98:BD108"/>
    <mergeCell ref="B99:H99"/>
    <mergeCell ref="I99:N99"/>
    <mergeCell ref="O99:U99"/>
    <mergeCell ref="B100:H100"/>
    <mergeCell ref="B110:AG110"/>
    <mergeCell ref="AH110:AX110"/>
    <mergeCell ref="B111:Q111"/>
    <mergeCell ref="R111:AX111"/>
    <mergeCell ref="B112:AX121"/>
    <mergeCell ref="B125:U125"/>
    <mergeCell ref="X125:AQ125"/>
    <mergeCell ref="B107:H107"/>
    <mergeCell ref="I107:O107"/>
    <mergeCell ref="P107:U107"/>
    <mergeCell ref="B108:H108"/>
    <mergeCell ref="I108:O108"/>
    <mergeCell ref="P108:U108"/>
    <mergeCell ref="B128:H128"/>
    <mergeCell ref="I128:O128"/>
    <mergeCell ref="P128:U128"/>
    <mergeCell ref="X128:AD128"/>
    <mergeCell ref="AE128:AK128"/>
    <mergeCell ref="AL128:AQ128"/>
    <mergeCell ref="B126:H127"/>
    <mergeCell ref="I126:O127"/>
    <mergeCell ref="P126:U127"/>
    <mergeCell ref="X126:AD127"/>
    <mergeCell ref="AE126:AK127"/>
    <mergeCell ref="AL126:AQ127"/>
    <mergeCell ref="C133:P133"/>
    <mergeCell ref="Q133:S133"/>
    <mergeCell ref="T133:AA133"/>
    <mergeCell ref="C134:P134"/>
    <mergeCell ref="Q134:S134"/>
    <mergeCell ref="T134:AA134"/>
    <mergeCell ref="B129:H129"/>
    <mergeCell ref="I129:O129"/>
    <mergeCell ref="P129:U129"/>
    <mergeCell ref="C131:AG131"/>
    <mergeCell ref="C132:P132"/>
    <mergeCell ref="Q132:S132"/>
    <mergeCell ref="T132:AA132"/>
    <mergeCell ref="AB132:AG132"/>
    <mergeCell ref="AB136:AG136"/>
    <mergeCell ref="C137:E137"/>
    <mergeCell ref="F137:P137"/>
    <mergeCell ref="Q137:S137"/>
    <mergeCell ref="T137:AA137"/>
    <mergeCell ref="AB137:AG137"/>
    <mergeCell ref="C135:P135"/>
    <mergeCell ref="Q135:S135"/>
    <mergeCell ref="T135:AA135"/>
    <mergeCell ref="C136:P136"/>
    <mergeCell ref="Q136:S136"/>
    <mergeCell ref="T136:AA136"/>
    <mergeCell ref="C138:E138"/>
    <mergeCell ref="F138:P138"/>
    <mergeCell ref="Q138:S138"/>
    <mergeCell ref="T138:AA138"/>
    <mergeCell ref="AB138:AG138"/>
    <mergeCell ref="C139:E139"/>
    <mergeCell ref="F139:P139"/>
    <mergeCell ref="Q139:S139"/>
    <mergeCell ref="T139:AA139"/>
    <mergeCell ref="AB139:AG139"/>
    <mergeCell ref="I145:N145"/>
    <mergeCell ref="C146:H146"/>
    <mergeCell ref="I146:N146"/>
    <mergeCell ref="C147:H147"/>
    <mergeCell ref="I147:N147"/>
    <mergeCell ref="C148:H148"/>
    <mergeCell ref="I148:N148"/>
    <mergeCell ref="C141:N141"/>
    <mergeCell ref="P141:AO141"/>
    <mergeCell ref="C142:H142"/>
    <mergeCell ref="I142:N142"/>
    <mergeCell ref="P142:AO149"/>
    <mergeCell ref="C143:H143"/>
    <mergeCell ref="I143:N143"/>
    <mergeCell ref="C144:H144"/>
    <mergeCell ref="I144:N144"/>
    <mergeCell ref="C145:H145"/>
    <mergeCell ref="C154:M154"/>
    <mergeCell ref="N154:T154"/>
    <mergeCell ref="U154:AE154"/>
    <mergeCell ref="C155:M155"/>
    <mergeCell ref="N155:T155"/>
    <mergeCell ref="C156:M156"/>
    <mergeCell ref="N156:T156"/>
    <mergeCell ref="U156:AE156"/>
    <mergeCell ref="C149:H149"/>
    <mergeCell ref="I149:N149"/>
    <mergeCell ref="C151:AE152"/>
    <mergeCell ref="C153:M153"/>
    <mergeCell ref="N153:T153"/>
    <mergeCell ref="U153:AE153"/>
    <mergeCell ref="AH156:AR156"/>
    <mergeCell ref="AS156:AW156"/>
    <mergeCell ref="C157:M157"/>
    <mergeCell ref="N157:T157"/>
    <mergeCell ref="U157:AE157"/>
    <mergeCell ref="C158:M158"/>
    <mergeCell ref="N158:T158"/>
    <mergeCell ref="U158:AE158"/>
    <mergeCell ref="AH158:AR159"/>
    <mergeCell ref="AS158:AX159"/>
    <mergeCell ref="AY158:BD159"/>
    <mergeCell ref="C159:M159"/>
    <mergeCell ref="N159:T159"/>
    <mergeCell ref="U159:AE159"/>
    <mergeCell ref="C160:M160"/>
    <mergeCell ref="N160:T160"/>
    <mergeCell ref="U160:AE160"/>
    <mergeCell ref="AH160:AR160"/>
    <mergeCell ref="AS160:AX160"/>
    <mergeCell ref="AY160:BD160"/>
    <mergeCell ref="AY161:BD161"/>
    <mergeCell ref="C162:D162"/>
    <mergeCell ref="E162:M162"/>
    <mergeCell ref="N162:T162"/>
    <mergeCell ref="U162:AE162"/>
    <mergeCell ref="AH162:AR162"/>
    <mergeCell ref="AS162:AX162"/>
    <mergeCell ref="AY162:BD162"/>
    <mergeCell ref="C161:D161"/>
    <mergeCell ref="E161:M161"/>
    <mergeCell ref="N161:T161"/>
    <mergeCell ref="U161:AE161"/>
    <mergeCell ref="AH161:AR161"/>
    <mergeCell ref="AS161:AX161"/>
    <mergeCell ref="AY163:BD163"/>
    <mergeCell ref="C164:M164"/>
    <mergeCell ref="N164:T164"/>
    <mergeCell ref="AH164:AR164"/>
    <mergeCell ref="AS164:AX164"/>
    <mergeCell ref="AY164:BD164"/>
    <mergeCell ref="C163:D163"/>
    <mergeCell ref="E163:M163"/>
    <mergeCell ref="N163:T163"/>
    <mergeCell ref="U163:AE163"/>
    <mergeCell ref="AH163:AR163"/>
    <mergeCell ref="AS163:AX163"/>
    <mergeCell ref="B168:BD168"/>
    <mergeCell ref="B169:BD169"/>
    <mergeCell ref="B170:BD170"/>
    <mergeCell ref="B171:BD171"/>
    <mergeCell ref="B173:BD173"/>
    <mergeCell ref="H177:AY177"/>
    <mergeCell ref="C165:M165"/>
    <mergeCell ref="N165:T165"/>
    <mergeCell ref="AH165:AR165"/>
    <mergeCell ref="AS165:AX165"/>
    <mergeCell ref="AY165:BD165"/>
    <mergeCell ref="AH166:AR166"/>
    <mergeCell ref="AS166:AX166"/>
    <mergeCell ref="AY166:BD166"/>
    <mergeCell ref="H190:I190"/>
    <mergeCell ref="S190:AJ190"/>
    <mergeCell ref="H192:O192"/>
    <mergeCell ref="S192:AJ192"/>
    <mergeCell ref="H194:I194"/>
    <mergeCell ref="S194:AJ194"/>
    <mergeCell ref="H179:AZ182"/>
    <mergeCell ref="H184:AV184"/>
    <mergeCell ref="H186:K186"/>
    <mergeCell ref="S186:AJ186"/>
    <mergeCell ref="H188:J188"/>
    <mergeCell ref="S188:AJ188"/>
  </mergeCells>
  <dataValidations count="4">
    <dataValidation type="list" allowBlank="1" showInputMessage="1" showErrorMessage="1" sqref="Q13:T13" xr:uid="{D9281A35-EF05-47EA-877F-4AAF4CD5799D}">
      <formula1>$BM$69:$BM$70</formula1>
    </dataValidation>
    <dataValidation type="list" allowBlank="1" showInputMessage="1" showErrorMessage="1" sqref="AV68:BC68 AY79:BB82 AY88:BB91 AH110:AX110" xr:uid="{F3CA84BD-C876-4350-B3E5-FED54A335447}">
      <formula1>$BM$69:$BM$71</formula1>
    </dataValidation>
    <dataValidation type="list" allowBlank="1" showInputMessage="1" showErrorMessage="1" sqref="BM68:BM70" xr:uid="{3ABD6730-2A3B-4654-BA24-FDE14A128734}">
      <formula1>$BM$68:$BM$70</formula1>
    </dataValidation>
    <dataValidation type="list" allowBlank="1" showInputMessage="1" showErrorMessage="1" sqref="AP8:AU8" xr:uid="{144DA3C9-2BC3-46F6-B605-A9F06C99F6A2}">
      <formula1>$BM$9:$BM$13</formula1>
    </dataValidation>
  </dataValidations>
  <pageMargins left="0.7" right="0.7" top="0.75" bottom="0.75" header="0.3" footer="0.3"/>
  <pageSetup paperSize="5" scale="5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showZeros="0" topLeftCell="A43" zoomScaleNormal="100" zoomScaleSheetLayoutView="100" workbookViewId="0">
      <selection activeCell="AB50" sqref="AB50:AF50"/>
    </sheetView>
  </sheetViews>
  <sheetFormatPr defaultColWidth="0" defaultRowHeight="12.95" customHeight="1"/>
  <cols>
    <col min="1" max="1" width="1.5703125" style="434" customWidth="1"/>
    <col min="2" max="2" width="0.85546875" style="434" customWidth="1"/>
    <col min="3" max="18" width="2.5703125" style="434" customWidth="1"/>
    <col min="19" max="19" width="6.28515625" style="434" customWidth="1"/>
    <col min="20" max="39" width="2.7109375" style="434" customWidth="1"/>
    <col min="40" max="40" width="1.5703125" style="434" customWidth="1"/>
    <col min="41" max="256" width="2.5703125" style="434" hidden="1"/>
    <col min="257" max="257" width="1.5703125" style="434" hidden="1" customWidth="1"/>
    <col min="258" max="258" width="0.85546875" style="434" hidden="1" customWidth="1"/>
    <col min="259" max="274" width="2.5703125" style="434" hidden="1" customWidth="1"/>
    <col min="275" max="275" width="4" style="434" hidden="1" customWidth="1"/>
    <col min="276" max="279" width="2.5703125" style="434" hidden="1" customWidth="1"/>
    <col min="280" max="280" width="2.42578125" style="434" hidden="1" customWidth="1"/>
    <col min="281" max="284" width="2.5703125" style="434" hidden="1" customWidth="1"/>
    <col min="285" max="285" width="2.42578125" style="434" hidden="1" customWidth="1"/>
    <col min="286" max="289" width="2.5703125" style="434" hidden="1" customWidth="1"/>
    <col min="290" max="295" width="2.42578125" style="434" hidden="1" customWidth="1"/>
    <col min="296" max="296" width="1.5703125" style="434" hidden="1" customWidth="1"/>
    <col min="297" max="512" width="2.5703125" style="434" hidden="1"/>
    <col min="513" max="513" width="1.5703125" style="434" hidden="1" customWidth="1"/>
    <col min="514" max="514" width="0.85546875" style="434" hidden="1" customWidth="1"/>
    <col min="515" max="530" width="2.5703125" style="434" hidden="1" customWidth="1"/>
    <col min="531" max="531" width="4" style="434" hidden="1" customWidth="1"/>
    <col min="532" max="535" width="2.5703125" style="434" hidden="1" customWidth="1"/>
    <col min="536" max="536" width="2.42578125" style="434" hidden="1" customWidth="1"/>
    <col min="537" max="540" width="2.5703125" style="434" hidden="1" customWidth="1"/>
    <col min="541" max="541" width="2.42578125" style="434" hidden="1" customWidth="1"/>
    <col min="542" max="545" width="2.5703125" style="434" hidden="1" customWidth="1"/>
    <col min="546" max="551" width="2.42578125" style="434" hidden="1" customWidth="1"/>
    <col min="552" max="552" width="1.5703125" style="434" hidden="1" customWidth="1"/>
    <col min="553" max="768" width="2.5703125" style="434" hidden="1"/>
    <col min="769" max="769" width="1.5703125" style="434" hidden="1" customWidth="1"/>
    <col min="770" max="770" width="0.85546875" style="434" hidden="1" customWidth="1"/>
    <col min="771" max="786" width="2.5703125" style="434" hidden="1" customWidth="1"/>
    <col min="787" max="787" width="4" style="434" hidden="1" customWidth="1"/>
    <col min="788" max="791" width="2.5703125" style="434" hidden="1" customWidth="1"/>
    <col min="792" max="792" width="2.42578125" style="434" hidden="1" customWidth="1"/>
    <col min="793" max="796" width="2.5703125" style="434" hidden="1" customWidth="1"/>
    <col min="797" max="797" width="2.42578125" style="434" hidden="1" customWidth="1"/>
    <col min="798" max="801" width="2.5703125" style="434" hidden="1" customWidth="1"/>
    <col min="802" max="807" width="2.42578125" style="434" hidden="1" customWidth="1"/>
    <col min="808" max="808" width="1.5703125" style="434" hidden="1" customWidth="1"/>
    <col min="809" max="1024" width="2.5703125" style="434" hidden="1"/>
    <col min="1025" max="1025" width="1.5703125" style="434" hidden="1" customWidth="1"/>
    <col min="1026" max="1026" width="0.85546875" style="434" hidden="1" customWidth="1"/>
    <col min="1027" max="1042" width="2.5703125" style="434" hidden="1" customWidth="1"/>
    <col min="1043" max="1043" width="4" style="434" hidden="1" customWidth="1"/>
    <col min="1044" max="1047" width="2.5703125" style="434" hidden="1" customWidth="1"/>
    <col min="1048" max="1048" width="2.42578125" style="434" hidden="1" customWidth="1"/>
    <col min="1049" max="1052" width="2.5703125" style="434" hidden="1" customWidth="1"/>
    <col min="1053" max="1053" width="2.42578125" style="434" hidden="1" customWidth="1"/>
    <col min="1054" max="1057" width="2.5703125" style="434" hidden="1" customWidth="1"/>
    <col min="1058" max="1063" width="2.42578125" style="434" hidden="1" customWidth="1"/>
    <col min="1064" max="1064" width="1.5703125" style="434" hidden="1" customWidth="1"/>
    <col min="1065" max="1280" width="2.5703125" style="434" hidden="1"/>
    <col min="1281" max="1281" width="1.5703125" style="434" hidden="1" customWidth="1"/>
    <col min="1282" max="1282" width="0.85546875" style="434" hidden="1" customWidth="1"/>
    <col min="1283" max="1298" width="2.5703125" style="434" hidden="1" customWidth="1"/>
    <col min="1299" max="1299" width="4" style="434" hidden="1" customWidth="1"/>
    <col min="1300" max="1303" width="2.5703125" style="434" hidden="1" customWidth="1"/>
    <col min="1304" max="1304" width="2.42578125" style="434" hidden="1" customWidth="1"/>
    <col min="1305" max="1308" width="2.5703125" style="434" hidden="1" customWidth="1"/>
    <col min="1309" max="1309" width="2.42578125" style="434" hidden="1" customWidth="1"/>
    <col min="1310" max="1313" width="2.5703125" style="434" hidden="1" customWidth="1"/>
    <col min="1314" max="1319" width="2.42578125" style="434" hidden="1" customWidth="1"/>
    <col min="1320" max="1320" width="1.5703125" style="434" hidden="1" customWidth="1"/>
    <col min="1321" max="1536" width="2.5703125" style="434" hidden="1"/>
    <col min="1537" max="1537" width="1.5703125" style="434" hidden="1" customWidth="1"/>
    <col min="1538" max="1538" width="0.85546875" style="434" hidden="1" customWidth="1"/>
    <col min="1539" max="1554" width="2.5703125" style="434" hidden="1" customWidth="1"/>
    <col min="1555" max="1555" width="4" style="434" hidden="1" customWidth="1"/>
    <col min="1556" max="1559" width="2.5703125" style="434" hidden="1" customWidth="1"/>
    <col min="1560" max="1560" width="2.42578125" style="434" hidden="1" customWidth="1"/>
    <col min="1561" max="1564" width="2.5703125" style="434" hidden="1" customWidth="1"/>
    <col min="1565" max="1565" width="2.42578125" style="434" hidden="1" customWidth="1"/>
    <col min="1566" max="1569" width="2.5703125" style="434" hidden="1" customWidth="1"/>
    <col min="1570" max="1575" width="2.42578125" style="434" hidden="1" customWidth="1"/>
    <col min="1576" max="1576" width="1.5703125" style="434" hidden="1" customWidth="1"/>
    <col min="1577" max="1792" width="2.5703125" style="434" hidden="1"/>
    <col min="1793" max="1793" width="1.5703125" style="434" hidden="1" customWidth="1"/>
    <col min="1794" max="1794" width="0.85546875" style="434" hidden="1" customWidth="1"/>
    <col min="1795" max="1810" width="2.5703125" style="434" hidden="1" customWidth="1"/>
    <col min="1811" max="1811" width="4" style="434" hidden="1" customWidth="1"/>
    <col min="1812" max="1815" width="2.5703125" style="434" hidden="1" customWidth="1"/>
    <col min="1816" max="1816" width="2.42578125" style="434" hidden="1" customWidth="1"/>
    <col min="1817" max="1820" width="2.5703125" style="434" hidden="1" customWidth="1"/>
    <col min="1821" max="1821" width="2.42578125" style="434" hidden="1" customWidth="1"/>
    <col min="1822" max="1825" width="2.5703125" style="434" hidden="1" customWidth="1"/>
    <col min="1826" max="1831" width="2.42578125" style="434" hidden="1" customWidth="1"/>
    <col min="1832" max="1832" width="1.5703125" style="434" hidden="1" customWidth="1"/>
    <col min="1833" max="2048" width="2.5703125" style="434" hidden="1"/>
    <col min="2049" max="2049" width="1.5703125" style="434" hidden="1" customWidth="1"/>
    <col min="2050" max="2050" width="0.85546875" style="434" hidden="1" customWidth="1"/>
    <col min="2051" max="2066" width="2.5703125" style="434" hidden="1" customWidth="1"/>
    <col min="2067" max="2067" width="4" style="434" hidden="1" customWidth="1"/>
    <col min="2068" max="2071" width="2.5703125" style="434" hidden="1" customWidth="1"/>
    <col min="2072" max="2072" width="2.42578125" style="434" hidden="1" customWidth="1"/>
    <col min="2073" max="2076" width="2.5703125" style="434" hidden="1" customWidth="1"/>
    <col min="2077" max="2077" width="2.42578125" style="434" hidden="1" customWidth="1"/>
    <col min="2078" max="2081" width="2.5703125" style="434" hidden="1" customWidth="1"/>
    <col min="2082" max="2087" width="2.42578125" style="434" hidden="1" customWidth="1"/>
    <col min="2088" max="2088" width="1.5703125" style="434" hidden="1" customWidth="1"/>
    <col min="2089" max="2304" width="2.5703125" style="434" hidden="1"/>
    <col min="2305" max="2305" width="1.5703125" style="434" hidden="1" customWidth="1"/>
    <col min="2306" max="2306" width="0.85546875" style="434" hidden="1" customWidth="1"/>
    <col min="2307" max="2322" width="2.5703125" style="434" hidden="1" customWidth="1"/>
    <col min="2323" max="2323" width="4" style="434" hidden="1" customWidth="1"/>
    <col min="2324" max="2327" width="2.5703125" style="434" hidden="1" customWidth="1"/>
    <col min="2328" max="2328" width="2.42578125" style="434" hidden="1" customWidth="1"/>
    <col min="2329" max="2332" width="2.5703125" style="434" hidden="1" customWidth="1"/>
    <col min="2333" max="2333" width="2.42578125" style="434" hidden="1" customWidth="1"/>
    <col min="2334" max="2337" width="2.5703125" style="434" hidden="1" customWidth="1"/>
    <col min="2338" max="2343" width="2.42578125" style="434" hidden="1" customWidth="1"/>
    <col min="2344" max="2344" width="1.5703125" style="434" hidden="1" customWidth="1"/>
    <col min="2345" max="2560" width="2.5703125" style="434" hidden="1"/>
    <col min="2561" max="2561" width="1.5703125" style="434" hidden="1" customWidth="1"/>
    <col min="2562" max="2562" width="0.85546875" style="434" hidden="1" customWidth="1"/>
    <col min="2563" max="2578" width="2.5703125" style="434" hidden="1" customWidth="1"/>
    <col min="2579" max="2579" width="4" style="434" hidden="1" customWidth="1"/>
    <col min="2580" max="2583" width="2.5703125" style="434" hidden="1" customWidth="1"/>
    <col min="2584" max="2584" width="2.42578125" style="434" hidden="1" customWidth="1"/>
    <col min="2585" max="2588" width="2.5703125" style="434" hidden="1" customWidth="1"/>
    <col min="2589" max="2589" width="2.42578125" style="434" hidden="1" customWidth="1"/>
    <col min="2590" max="2593" width="2.5703125" style="434" hidden="1" customWidth="1"/>
    <col min="2594" max="2599" width="2.42578125" style="434" hidden="1" customWidth="1"/>
    <col min="2600" max="2600" width="1.5703125" style="434" hidden="1" customWidth="1"/>
    <col min="2601" max="2816" width="2.5703125" style="434" hidden="1"/>
    <col min="2817" max="2817" width="1.5703125" style="434" hidden="1" customWidth="1"/>
    <col min="2818" max="2818" width="0.85546875" style="434" hidden="1" customWidth="1"/>
    <col min="2819" max="2834" width="2.5703125" style="434" hidden="1" customWidth="1"/>
    <col min="2835" max="2835" width="4" style="434" hidden="1" customWidth="1"/>
    <col min="2836" max="2839" width="2.5703125" style="434" hidden="1" customWidth="1"/>
    <col min="2840" max="2840" width="2.42578125" style="434" hidden="1" customWidth="1"/>
    <col min="2841" max="2844" width="2.5703125" style="434" hidden="1" customWidth="1"/>
    <col min="2845" max="2845" width="2.42578125" style="434" hidden="1" customWidth="1"/>
    <col min="2846" max="2849" width="2.5703125" style="434" hidden="1" customWidth="1"/>
    <col min="2850" max="2855" width="2.42578125" style="434" hidden="1" customWidth="1"/>
    <col min="2856" max="2856" width="1.5703125" style="434" hidden="1" customWidth="1"/>
    <col min="2857" max="3072" width="2.5703125" style="434" hidden="1"/>
    <col min="3073" max="3073" width="1.5703125" style="434" hidden="1" customWidth="1"/>
    <col min="3074" max="3074" width="0.85546875" style="434" hidden="1" customWidth="1"/>
    <col min="3075" max="3090" width="2.5703125" style="434" hidden="1" customWidth="1"/>
    <col min="3091" max="3091" width="4" style="434" hidden="1" customWidth="1"/>
    <col min="3092" max="3095" width="2.5703125" style="434" hidden="1" customWidth="1"/>
    <col min="3096" max="3096" width="2.42578125" style="434" hidden="1" customWidth="1"/>
    <col min="3097" max="3100" width="2.5703125" style="434" hidden="1" customWidth="1"/>
    <col min="3101" max="3101" width="2.42578125" style="434" hidden="1" customWidth="1"/>
    <col min="3102" max="3105" width="2.5703125" style="434" hidden="1" customWidth="1"/>
    <col min="3106" max="3111" width="2.42578125" style="434" hidden="1" customWidth="1"/>
    <col min="3112" max="3112" width="1.5703125" style="434" hidden="1" customWidth="1"/>
    <col min="3113" max="3328" width="2.5703125" style="434" hidden="1"/>
    <col min="3329" max="3329" width="1.5703125" style="434" hidden="1" customWidth="1"/>
    <col min="3330" max="3330" width="0.85546875" style="434" hidden="1" customWidth="1"/>
    <col min="3331" max="3346" width="2.5703125" style="434" hidden="1" customWidth="1"/>
    <col min="3347" max="3347" width="4" style="434" hidden="1" customWidth="1"/>
    <col min="3348" max="3351" width="2.5703125" style="434" hidden="1" customWidth="1"/>
    <col min="3352" max="3352" width="2.42578125" style="434" hidden="1" customWidth="1"/>
    <col min="3353" max="3356" width="2.5703125" style="434" hidden="1" customWidth="1"/>
    <col min="3357" max="3357" width="2.42578125" style="434" hidden="1" customWidth="1"/>
    <col min="3358" max="3361" width="2.5703125" style="434" hidden="1" customWidth="1"/>
    <col min="3362" max="3367" width="2.42578125" style="434" hidden="1" customWidth="1"/>
    <col min="3368" max="3368" width="1.5703125" style="434" hidden="1" customWidth="1"/>
    <col min="3369" max="3584" width="2.5703125" style="434" hidden="1"/>
    <col min="3585" max="3585" width="1.5703125" style="434" hidden="1" customWidth="1"/>
    <col min="3586" max="3586" width="0.85546875" style="434" hidden="1" customWidth="1"/>
    <col min="3587" max="3602" width="2.5703125" style="434" hidden="1" customWidth="1"/>
    <col min="3603" max="3603" width="4" style="434" hidden="1" customWidth="1"/>
    <col min="3604" max="3607" width="2.5703125" style="434" hidden="1" customWidth="1"/>
    <col min="3608" max="3608" width="2.42578125" style="434" hidden="1" customWidth="1"/>
    <col min="3609" max="3612" width="2.5703125" style="434" hidden="1" customWidth="1"/>
    <col min="3613" max="3613" width="2.42578125" style="434" hidden="1" customWidth="1"/>
    <col min="3614" max="3617" width="2.5703125" style="434" hidden="1" customWidth="1"/>
    <col min="3618" max="3623" width="2.42578125" style="434" hidden="1" customWidth="1"/>
    <col min="3624" max="3624" width="1.5703125" style="434" hidden="1" customWidth="1"/>
    <col min="3625" max="3840" width="2.5703125" style="434" hidden="1"/>
    <col min="3841" max="3841" width="1.5703125" style="434" hidden="1" customWidth="1"/>
    <col min="3842" max="3842" width="0.85546875" style="434" hidden="1" customWidth="1"/>
    <col min="3843" max="3858" width="2.5703125" style="434" hidden="1" customWidth="1"/>
    <col min="3859" max="3859" width="4" style="434" hidden="1" customWidth="1"/>
    <col min="3860" max="3863" width="2.5703125" style="434" hidden="1" customWidth="1"/>
    <col min="3864" max="3864" width="2.42578125" style="434" hidden="1" customWidth="1"/>
    <col min="3865" max="3868" width="2.5703125" style="434" hidden="1" customWidth="1"/>
    <col min="3869" max="3869" width="2.42578125" style="434" hidden="1" customWidth="1"/>
    <col min="3870" max="3873" width="2.5703125" style="434" hidden="1" customWidth="1"/>
    <col min="3874" max="3879" width="2.42578125" style="434" hidden="1" customWidth="1"/>
    <col min="3880" max="3880" width="1.5703125" style="434" hidden="1" customWidth="1"/>
    <col min="3881" max="4096" width="2.5703125" style="434" hidden="1"/>
    <col min="4097" max="4097" width="1.5703125" style="434" hidden="1" customWidth="1"/>
    <col min="4098" max="4098" width="0.85546875" style="434" hidden="1" customWidth="1"/>
    <col min="4099" max="4114" width="2.5703125" style="434" hidden="1" customWidth="1"/>
    <col min="4115" max="4115" width="4" style="434" hidden="1" customWidth="1"/>
    <col min="4116" max="4119" width="2.5703125" style="434" hidden="1" customWidth="1"/>
    <col min="4120" max="4120" width="2.42578125" style="434" hidden="1" customWidth="1"/>
    <col min="4121" max="4124" width="2.5703125" style="434" hidden="1" customWidth="1"/>
    <col min="4125" max="4125" width="2.42578125" style="434" hidden="1" customWidth="1"/>
    <col min="4126" max="4129" width="2.5703125" style="434" hidden="1" customWidth="1"/>
    <col min="4130" max="4135" width="2.42578125" style="434" hidden="1" customWidth="1"/>
    <col min="4136" max="4136" width="1.5703125" style="434" hidden="1" customWidth="1"/>
    <col min="4137" max="4352" width="2.5703125" style="434" hidden="1"/>
    <col min="4353" max="4353" width="1.5703125" style="434" hidden="1" customWidth="1"/>
    <col min="4354" max="4354" width="0.85546875" style="434" hidden="1" customWidth="1"/>
    <col min="4355" max="4370" width="2.5703125" style="434" hidden="1" customWidth="1"/>
    <col min="4371" max="4371" width="4" style="434" hidden="1" customWidth="1"/>
    <col min="4372" max="4375" width="2.5703125" style="434" hidden="1" customWidth="1"/>
    <col min="4376" max="4376" width="2.42578125" style="434" hidden="1" customWidth="1"/>
    <col min="4377" max="4380" width="2.5703125" style="434" hidden="1" customWidth="1"/>
    <col min="4381" max="4381" width="2.42578125" style="434" hidden="1" customWidth="1"/>
    <col min="4382" max="4385" width="2.5703125" style="434" hidden="1" customWidth="1"/>
    <col min="4386" max="4391" width="2.42578125" style="434" hidden="1" customWidth="1"/>
    <col min="4392" max="4392" width="1.5703125" style="434" hidden="1" customWidth="1"/>
    <col min="4393" max="4608" width="2.5703125" style="434" hidden="1"/>
    <col min="4609" max="4609" width="1.5703125" style="434" hidden="1" customWidth="1"/>
    <col min="4610" max="4610" width="0.85546875" style="434" hidden="1" customWidth="1"/>
    <col min="4611" max="4626" width="2.5703125" style="434" hidden="1" customWidth="1"/>
    <col min="4627" max="4627" width="4" style="434" hidden="1" customWidth="1"/>
    <col min="4628" max="4631" width="2.5703125" style="434" hidden="1" customWidth="1"/>
    <col min="4632" max="4632" width="2.42578125" style="434" hidden="1" customWidth="1"/>
    <col min="4633" max="4636" width="2.5703125" style="434" hidden="1" customWidth="1"/>
    <col min="4637" max="4637" width="2.42578125" style="434" hidden="1" customWidth="1"/>
    <col min="4638" max="4641" width="2.5703125" style="434" hidden="1" customWidth="1"/>
    <col min="4642" max="4647" width="2.42578125" style="434" hidden="1" customWidth="1"/>
    <col min="4648" max="4648" width="1.5703125" style="434" hidden="1" customWidth="1"/>
    <col min="4649" max="4864" width="2.5703125" style="434" hidden="1"/>
    <col min="4865" max="4865" width="1.5703125" style="434" hidden="1" customWidth="1"/>
    <col min="4866" max="4866" width="0.85546875" style="434" hidden="1" customWidth="1"/>
    <col min="4867" max="4882" width="2.5703125" style="434" hidden="1" customWidth="1"/>
    <col min="4883" max="4883" width="4" style="434" hidden="1" customWidth="1"/>
    <col min="4884" max="4887" width="2.5703125" style="434" hidden="1" customWidth="1"/>
    <col min="4888" max="4888" width="2.42578125" style="434" hidden="1" customWidth="1"/>
    <col min="4889" max="4892" width="2.5703125" style="434" hidden="1" customWidth="1"/>
    <col min="4893" max="4893" width="2.42578125" style="434" hidden="1" customWidth="1"/>
    <col min="4894" max="4897" width="2.5703125" style="434" hidden="1" customWidth="1"/>
    <col min="4898" max="4903" width="2.42578125" style="434" hidden="1" customWidth="1"/>
    <col min="4904" max="4904" width="1.5703125" style="434" hidden="1" customWidth="1"/>
    <col min="4905" max="5120" width="2.5703125" style="434" hidden="1"/>
    <col min="5121" max="5121" width="1.5703125" style="434" hidden="1" customWidth="1"/>
    <col min="5122" max="5122" width="0.85546875" style="434" hidden="1" customWidth="1"/>
    <col min="5123" max="5138" width="2.5703125" style="434" hidden="1" customWidth="1"/>
    <col min="5139" max="5139" width="4" style="434" hidden="1" customWidth="1"/>
    <col min="5140" max="5143" width="2.5703125" style="434" hidden="1" customWidth="1"/>
    <col min="5144" max="5144" width="2.42578125" style="434" hidden="1" customWidth="1"/>
    <col min="5145" max="5148" width="2.5703125" style="434" hidden="1" customWidth="1"/>
    <col min="5149" max="5149" width="2.42578125" style="434" hidden="1" customWidth="1"/>
    <col min="5150" max="5153" width="2.5703125" style="434" hidden="1" customWidth="1"/>
    <col min="5154" max="5159" width="2.42578125" style="434" hidden="1" customWidth="1"/>
    <col min="5160" max="5160" width="1.5703125" style="434" hidden="1" customWidth="1"/>
    <col min="5161" max="5376" width="2.5703125" style="434" hidden="1"/>
    <col min="5377" max="5377" width="1.5703125" style="434" hidden="1" customWidth="1"/>
    <col min="5378" max="5378" width="0.85546875" style="434" hidden="1" customWidth="1"/>
    <col min="5379" max="5394" width="2.5703125" style="434" hidden="1" customWidth="1"/>
    <col min="5395" max="5395" width="4" style="434" hidden="1" customWidth="1"/>
    <col min="5396" max="5399" width="2.5703125" style="434" hidden="1" customWidth="1"/>
    <col min="5400" max="5400" width="2.42578125" style="434" hidden="1" customWidth="1"/>
    <col min="5401" max="5404" width="2.5703125" style="434" hidden="1" customWidth="1"/>
    <col min="5405" max="5405" width="2.42578125" style="434" hidden="1" customWidth="1"/>
    <col min="5406" max="5409" width="2.5703125" style="434" hidden="1" customWidth="1"/>
    <col min="5410" max="5415" width="2.42578125" style="434" hidden="1" customWidth="1"/>
    <col min="5416" max="5416" width="1.5703125" style="434" hidden="1" customWidth="1"/>
    <col min="5417" max="5632" width="2.5703125" style="434" hidden="1"/>
    <col min="5633" max="5633" width="1.5703125" style="434" hidden="1" customWidth="1"/>
    <col min="5634" max="5634" width="0.85546875" style="434" hidden="1" customWidth="1"/>
    <col min="5635" max="5650" width="2.5703125" style="434" hidden="1" customWidth="1"/>
    <col min="5651" max="5651" width="4" style="434" hidden="1" customWidth="1"/>
    <col min="5652" max="5655" width="2.5703125" style="434" hidden="1" customWidth="1"/>
    <col min="5656" max="5656" width="2.42578125" style="434" hidden="1" customWidth="1"/>
    <col min="5657" max="5660" width="2.5703125" style="434" hidden="1" customWidth="1"/>
    <col min="5661" max="5661" width="2.42578125" style="434" hidden="1" customWidth="1"/>
    <col min="5662" max="5665" width="2.5703125" style="434" hidden="1" customWidth="1"/>
    <col min="5666" max="5671" width="2.42578125" style="434" hidden="1" customWidth="1"/>
    <col min="5672" max="5672" width="1.5703125" style="434" hidden="1" customWidth="1"/>
    <col min="5673" max="5888" width="2.5703125" style="434" hidden="1"/>
    <col min="5889" max="5889" width="1.5703125" style="434" hidden="1" customWidth="1"/>
    <col min="5890" max="5890" width="0.85546875" style="434" hidden="1" customWidth="1"/>
    <col min="5891" max="5906" width="2.5703125" style="434" hidden="1" customWidth="1"/>
    <col min="5907" max="5907" width="4" style="434" hidden="1" customWidth="1"/>
    <col min="5908" max="5911" width="2.5703125" style="434" hidden="1" customWidth="1"/>
    <col min="5912" max="5912" width="2.42578125" style="434" hidden="1" customWidth="1"/>
    <col min="5913" max="5916" width="2.5703125" style="434" hidden="1" customWidth="1"/>
    <col min="5917" max="5917" width="2.42578125" style="434" hidden="1" customWidth="1"/>
    <col min="5918" max="5921" width="2.5703125" style="434" hidden="1" customWidth="1"/>
    <col min="5922" max="5927" width="2.42578125" style="434" hidden="1" customWidth="1"/>
    <col min="5928" max="5928" width="1.5703125" style="434" hidden="1" customWidth="1"/>
    <col min="5929" max="6144" width="2.5703125" style="434" hidden="1"/>
    <col min="6145" max="6145" width="1.5703125" style="434" hidden="1" customWidth="1"/>
    <col min="6146" max="6146" width="0.85546875" style="434" hidden="1" customWidth="1"/>
    <col min="6147" max="6162" width="2.5703125" style="434" hidden="1" customWidth="1"/>
    <col min="6163" max="6163" width="4" style="434" hidden="1" customWidth="1"/>
    <col min="6164" max="6167" width="2.5703125" style="434" hidden="1" customWidth="1"/>
    <col min="6168" max="6168" width="2.42578125" style="434" hidden="1" customWidth="1"/>
    <col min="6169" max="6172" width="2.5703125" style="434" hidden="1" customWidth="1"/>
    <col min="6173" max="6173" width="2.42578125" style="434" hidden="1" customWidth="1"/>
    <col min="6174" max="6177" width="2.5703125" style="434" hidden="1" customWidth="1"/>
    <col min="6178" max="6183" width="2.42578125" style="434" hidden="1" customWidth="1"/>
    <col min="6184" max="6184" width="1.5703125" style="434" hidden="1" customWidth="1"/>
    <col min="6185" max="6400" width="2.5703125" style="434" hidden="1"/>
    <col min="6401" max="6401" width="1.5703125" style="434" hidden="1" customWidth="1"/>
    <col min="6402" max="6402" width="0.85546875" style="434" hidden="1" customWidth="1"/>
    <col min="6403" max="6418" width="2.5703125" style="434" hidden="1" customWidth="1"/>
    <col min="6419" max="6419" width="4" style="434" hidden="1" customWidth="1"/>
    <col min="6420" max="6423" width="2.5703125" style="434" hidden="1" customWidth="1"/>
    <col min="6424" max="6424" width="2.42578125" style="434" hidden="1" customWidth="1"/>
    <col min="6425" max="6428" width="2.5703125" style="434" hidden="1" customWidth="1"/>
    <col min="6429" max="6429" width="2.42578125" style="434" hidden="1" customWidth="1"/>
    <col min="6430" max="6433" width="2.5703125" style="434" hidden="1" customWidth="1"/>
    <col min="6434" max="6439" width="2.42578125" style="434" hidden="1" customWidth="1"/>
    <col min="6440" max="6440" width="1.5703125" style="434" hidden="1" customWidth="1"/>
    <col min="6441" max="6656" width="2.5703125" style="434" hidden="1"/>
    <col min="6657" max="6657" width="1.5703125" style="434" hidden="1" customWidth="1"/>
    <col min="6658" max="6658" width="0.85546875" style="434" hidden="1" customWidth="1"/>
    <col min="6659" max="6674" width="2.5703125" style="434" hidden="1" customWidth="1"/>
    <col min="6675" max="6675" width="4" style="434" hidden="1" customWidth="1"/>
    <col min="6676" max="6679" width="2.5703125" style="434" hidden="1" customWidth="1"/>
    <col min="6680" max="6680" width="2.42578125" style="434" hidden="1" customWidth="1"/>
    <col min="6681" max="6684" width="2.5703125" style="434" hidden="1" customWidth="1"/>
    <col min="6685" max="6685" width="2.42578125" style="434" hidden="1" customWidth="1"/>
    <col min="6686" max="6689" width="2.5703125" style="434" hidden="1" customWidth="1"/>
    <col min="6690" max="6695" width="2.42578125" style="434" hidden="1" customWidth="1"/>
    <col min="6696" max="6696" width="1.5703125" style="434" hidden="1" customWidth="1"/>
    <col min="6697" max="6912" width="2.5703125" style="434" hidden="1"/>
    <col min="6913" max="6913" width="1.5703125" style="434" hidden="1" customWidth="1"/>
    <col min="6914" max="6914" width="0.85546875" style="434" hidden="1" customWidth="1"/>
    <col min="6915" max="6930" width="2.5703125" style="434" hidden="1" customWidth="1"/>
    <col min="6931" max="6931" width="4" style="434" hidden="1" customWidth="1"/>
    <col min="6932" max="6935" width="2.5703125" style="434" hidden="1" customWidth="1"/>
    <col min="6936" max="6936" width="2.42578125" style="434" hidden="1" customWidth="1"/>
    <col min="6937" max="6940" width="2.5703125" style="434" hidden="1" customWidth="1"/>
    <col min="6941" max="6941" width="2.42578125" style="434" hidden="1" customWidth="1"/>
    <col min="6942" max="6945" width="2.5703125" style="434" hidden="1" customWidth="1"/>
    <col min="6946" max="6951" width="2.42578125" style="434" hidden="1" customWidth="1"/>
    <col min="6952" max="6952" width="1.5703125" style="434" hidden="1" customWidth="1"/>
    <col min="6953" max="7168" width="2.5703125" style="434" hidden="1"/>
    <col min="7169" max="7169" width="1.5703125" style="434" hidden="1" customWidth="1"/>
    <col min="7170" max="7170" width="0.85546875" style="434" hidden="1" customWidth="1"/>
    <col min="7171" max="7186" width="2.5703125" style="434" hidden="1" customWidth="1"/>
    <col min="7187" max="7187" width="4" style="434" hidden="1" customWidth="1"/>
    <col min="7188" max="7191" width="2.5703125" style="434" hidden="1" customWidth="1"/>
    <col min="7192" max="7192" width="2.42578125" style="434" hidden="1" customWidth="1"/>
    <col min="7193" max="7196" width="2.5703125" style="434" hidden="1" customWidth="1"/>
    <col min="7197" max="7197" width="2.42578125" style="434" hidden="1" customWidth="1"/>
    <col min="7198" max="7201" width="2.5703125" style="434" hidden="1" customWidth="1"/>
    <col min="7202" max="7207" width="2.42578125" style="434" hidden="1" customWidth="1"/>
    <col min="7208" max="7208" width="1.5703125" style="434" hidden="1" customWidth="1"/>
    <col min="7209" max="7424" width="2.5703125" style="434" hidden="1"/>
    <col min="7425" max="7425" width="1.5703125" style="434" hidden="1" customWidth="1"/>
    <col min="7426" max="7426" width="0.85546875" style="434" hidden="1" customWidth="1"/>
    <col min="7427" max="7442" width="2.5703125" style="434" hidden="1" customWidth="1"/>
    <col min="7443" max="7443" width="4" style="434" hidden="1" customWidth="1"/>
    <col min="7444" max="7447" width="2.5703125" style="434" hidden="1" customWidth="1"/>
    <col min="7448" max="7448" width="2.42578125" style="434" hidden="1" customWidth="1"/>
    <col min="7449" max="7452" width="2.5703125" style="434" hidden="1" customWidth="1"/>
    <col min="7453" max="7453" width="2.42578125" style="434" hidden="1" customWidth="1"/>
    <col min="7454" max="7457" width="2.5703125" style="434" hidden="1" customWidth="1"/>
    <col min="7458" max="7463" width="2.42578125" style="434" hidden="1" customWidth="1"/>
    <col min="7464" max="7464" width="1.5703125" style="434" hidden="1" customWidth="1"/>
    <col min="7465" max="7680" width="2.5703125" style="434" hidden="1"/>
    <col min="7681" max="7681" width="1.5703125" style="434" hidden="1" customWidth="1"/>
    <col min="7682" max="7682" width="0.85546875" style="434" hidden="1" customWidth="1"/>
    <col min="7683" max="7698" width="2.5703125" style="434" hidden="1" customWidth="1"/>
    <col min="7699" max="7699" width="4" style="434" hidden="1" customWidth="1"/>
    <col min="7700" max="7703" width="2.5703125" style="434" hidden="1" customWidth="1"/>
    <col min="7704" max="7704" width="2.42578125" style="434" hidden="1" customWidth="1"/>
    <col min="7705" max="7708" width="2.5703125" style="434" hidden="1" customWidth="1"/>
    <col min="7709" max="7709" width="2.42578125" style="434" hidden="1" customWidth="1"/>
    <col min="7710" max="7713" width="2.5703125" style="434" hidden="1" customWidth="1"/>
    <col min="7714" max="7719" width="2.42578125" style="434" hidden="1" customWidth="1"/>
    <col min="7720" max="7720" width="1.5703125" style="434" hidden="1" customWidth="1"/>
    <col min="7721" max="7936" width="2.5703125" style="434" hidden="1"/>
    <col min="7937" max="7937" width="1.5703125" style="434" hidden="1" customWidth="1"/>
    <col min="7938" max="7938" width="0.85546875" style="434" hidden="1" customWidth="1"/>
    <col min="7939" max="7954" width="2.5703125" style="434" hidden="1" customWidth="1"/>
    <col min="7955" max="7955" width="4" style="434" hidden="1" customWidth="1"/>
    <col min="7956" max="7959" width="2.5703125" style="434" hidden="1" customWidth="1"/>
    <col min="7960" max="7960" width="2.42578125" style="434" hidden="1" customWidth="1"/>
    <col min="7961" max="7964" width="2.5703125" style="434" hidden="1" customWidth="1"/>
    <col min="7965" max="7965" width="2.42578125" style="434" hidden="1" customWidth="1"/>
    <col min="7966" max="7969" width="2.5703125" style="434" hidden="1" customWidth="1"/>
    <col min="7970" max="7975" width="2.42578125" style="434" hidden="1" customWidth="1"/>
    <col min="7976" max="7976" width="1.5703125" style="434" hidden="1" customWidth="1"/>
    <col min="7977" max="8192" width="2.5703125" style="434" hidden="1"/>
    <col min="8193" max="8193" width="1.5703125" style="434" hidden="1" customWidth="1"/>
    <col min="8194" max="8194" width="0.85546875" style="434" hidden="1" customWidth="1"/>
    <col min="8195" max="8210" width="2.5703125" style="434" hidden="1" customWidth="1"/>
    <col min="8211" max="8211" width="4" style="434" hidden="1" customWidth="1"/>
    <col min="8212" max="8215" width="2.5703125" style="434" hidden="1" customWidth="1"/>
    <col min="8216" max="8216" width="2.42578125" style="434" hidden="1" customWidth="1"/>
    <col min="8217" max="8220" width="2.5703125" style="434" hidden="1" customWidth="1"/>
    <col min="8221" max="8221" width="2.42578125" style="434" hidden="1" customWidth="1"/>
    <col min="8222" max="8225" width="2.5703125" style="434" hidden="1" customWidth="1"/>
    <col min="8226" max="8231" width="2.42578125" style="434" hidden="1" customWidth="1"/>
    <col min="8232" max="8232" width="1.5703125" style="434" hidden="1" customWidth="1"/>
    <col min="8233" max="8448" width="2.5703125" style="434" hidden="1"/>
    <col min="8449" max="8449" width="1.5703125" style="434" hidden="1" customWidth="1"/>
    <col min="8450" max="8450" width="0.85546875" style="434" hidden="1" customWidth="1"/>
    <col min="8451" max="8466" width="2.5703125" style="434" hidden="1" customWidth="1"/>
    <col min="8467" max="8467" width="4" style="434" hidden="1" customWidth="1"/>
    <col min="8468" max="8471" width="2.5703125" style="434" hidden="1" customWidth="1"/>
    <col min="8472" max="8472" width="2.42578125" style="434" hidden="1" customWidth="1"/>
    <col min="8473" max="8476" width="2.5703125" style="434" hidden="1" customWidth="1"/>
    <col min="8477" max="8477" width="2.42578125" style="434" hidden="1" customWidth="1"/>
    <col min="8478" max="8481" width="2.5703125" style="434" hidden="1" customWidth="1"/>
    <col min="8482" max="8487" width="2.42578125" style="434" hidden="1" customWidth="1"/>
    <col min="8488" max="8488" width="1.5703125" style="434" hidden="1" customWidth="1"/>
    <col min="8489" max="8704" width="2.5703125" style="434" hidden="1"/>
    <col min="8705" max="8705" width="1.5703125" style="434" hidden="1" customWidth="1"/>
    <col min="8706" max="8706" width="0.85546875" style="434" hidden="1" customWidth="1"/>
    <col min="8707" max="8722" width="2.5703125" style="434" hidden="1" customWidth="1"/>
    <col min="8723" max="8723" width="4" style="434" hidden="1" customWidth="1"/>
    <col min="8724" max="8727" width="2.5703125" style="434" hidden="1" customWidth="1"/>
    <col min="8728" max="8728" width="2.42578125" style="434" hidden="1" customWidth="1"/>
    <col min="8729" max="8732" width="2.5703125" style="434" hidden="1" customWidth="1"/>
    <col min="8733" max="8733" width="2.42578125" style="434" hidden="1" customWidth="1"/>
    <col min="8734" max="8737" width="2.5703125" style="434" hidden="1" customWidth="1"/>
    <col min="8738" max="8743" width="2.42578125" style="434" hidden="1" customWidth="1"/>
    <col min="8744" max="8744" width="1.5703125" style="434" hidden="1" customWidth="1"/>
    <col min="8745" max="8960" width="2.5703125" style="434" hidden="1"/>
    <col min="8961" max="8961" width="1.5703125" style="434" hidden="1" customWidth="1"/>
    <col min="8962" max="8962" width="0.85546875" style="434" hidden="1" customWidth="1"/>
    <col min="8963" max="8978" width="2.5703125" style="434" hidden="1" customWidth="1"/>
    <col min="8979" max="8979" width="4" style="434" hidden="1" customWidth="1"/>
    <col min="8980" max="8983" width="2.5703125" style="434" hidden="1" customWidth="1"/>
    <col min="8984" max="8984" width="2.42578125" style="434" hidden="1" customWidth="1"/>
    <col min="8985" max="8988" width="2.5703125" style="434" hidden="1" customWidth="1"/>
    <col min="8989" max="8989" width="2.42578125" style="434" hidden="1" customWidth="1"/>
    <col min="8990" max="8993" width="2.5703125" style="434" hidden="1" customWidth="1"/>
    <col min="8994" max="8999" width="2.42578125" style="434" hidden="1" customWidth="1"/>
    <col min="9000" max="9000" width="1.5703125" style="434" hidden="1" customWidth="1"/>
    <col min="9001" max="9216" width="2.5703125" style="434" hidden="1"/>
    <col min="9217" max="9217" width="1.5703125" style="434" hidden="1" customWidth="1"/>
    <col min="9218" max="9218" width="0.85546875" style="434" hidden="1" customWidth="1"/>
    <col min="9219" max="9234" width="2.5703125" style="434" hidden="1" customWidth="1"/>
    <col min="9235" max="9235" width="4" style="434" hidden="1" customWidth="1"/>
    <col min="9236" max="9239" width="2.5703125" style="434" hidden="1" customWidth="1"/>
    <col min="9240" max="9240" width="2.42578125" style="434" hidden="1" customWidth="1"/>
    <col min="9241" max="9244" width="2.5703125" style="434" hidden="1" customWidth="1"/>
    <col min="9245" max="9245" width="2.42578125" style="434" hidden="1" customWidth="1"/>
    <col min="9246" max="9249" width="2.5703125" style="434" hidden="1" customWidth="1"/>
    <col min="9250" max="9255" width="2.42578125" style="434" hidden="1" customWidth="1"/>
    <col min="9256" max="9256" width="1.5703125" style="434" hidden="1" customWidth="1"/>
    <col min="9257" max="9472" width="2.5703125" style="434" hidden="1"/>
    <col min="9473" max="9473" width="1.5703125" style="434" hidden="1" customWidth="1"/>
    <col min="9474" max="9474" width="0.85546875" style="434" hidden="1" customWidth="1"/>
    <col min="9475" max="9490" width="2.5703125" style="434" hidden="1" customWidth="1"/>
    <col min="9491" max="9491" width="4" style="434" hidden="1" customWidth="1"/>
    <col min="9492" max="9495" width="2.5703125" style="434" hidden="1" customWidth="1"/>
    <col min="9496" max="9496" width="2.42578125" style="434" hidden="1" customWidth="1"/>
    <col min="9497" max="9500" width="2.5703125" style="434" hidden="1" customWidth="1"/>
    <col min="9501" max="9501" width="2.42578125" style="434" hidden="1" customWidth="1"/>
    <col min="9502" max="9505" width="2.5703125" style="434" hidden="1" customWidth="1"/>
    <col min="9506" max="9511" width="2.42578125" style="434" hidden="1" customWidth="1"/>
    <col min="9512" max="9512" width="1.5703125" style="434" hidden="1" customWidth="1"/>
    <col min="9513" max="9728" width="2.5703125" style="434" hidden="1"/>
    <col min="9729" max="9729" width="1.5703125" style="434" hidden="1" customWidth="1"/>
    <col min="9730" max="9730" width="0.85546875" style="434" hidden="1" customWidth="1"/>
    <col min="9731" max="9746" width="2.5703125" style="434" hidden="1" customWidth="1"/>
    <col min="9747" max="9747" width="4" style="434" hidden="1" customWidth="1"/>
    <col min="9748" max="9751" width="2.5703125" style="434" hidden="1" customWidth="1"/>
    <col min="9752" max="9752" width="2.42578125" style="434" hidden="1" customWidth="1"/>
    <col min="9753" max="9756" width="2.5703125" style="434" hidden="1" customWidth="1"/>
    <col min="9757" max="9757" width="2.42578125" style="434" hidden="1" customWidth="1"/>
    <col min="9758" max="9761" width="2.5703125" style="434" hidden="1" customWidth="1"/>
    <col min="9762" max="9767" width="2.42578125" style="434" hidden="1" customWidth="1"/>
    <col min="9768" max="9768" width="1.5703125" style="434" hidden="1" customWidth="1"/>
    <col min="9769" max="9984" width="2.5703125" style="434" hidden="1"/>
    <col min="9985" max="9985" width="1.5703125" style="434" hidden="1" customWidth="1"/>
    <col min="9986" max="9986" width="0.85546875" style="434" hidden="1" customWidth="1"/>
    <col min="9987" max="10002" width="2.5703125" style="434" hidden="1" customWidth="1"/>
    <col min="10003" max="10003" width="4" style="434" hidden="1" customWidth="1"/>
    <col min="10004" max="10007" width="2.5703125" style="434" hidden="1" customWidth="1"/>
    <col min="10008" max="10008" width="2.42578125" style="434" hidden="1" customWidth="1"/>
    <col min="10009" max="10012" width="2.5703125" style="434" hidden="1" customWidth="1"/>
    <col min="10013" max="10013" width="2.42578125" style="434" hidden="1" customWidth="1"/>
    <col min="10014" max="10017" width="2.5703125" style="434" hidden="1" customWidth="1"/>
    <col min="10018" max="10023" width="2.42578125" style="434" hidden="1" customWidth="1"/>
    <col min="10024" max="10024" width="1.5703125" style="434" hidden="1" customWidth="1"/>
    <col min="10025" max="10240" width="2.5703125" style="434" hidden="1"/>
    <col min="10241" max="10241" width="1.5703125" style="434" hidden="1" customWidth="1"/>
    <col min="10242" max="10242" width="0.85546875" style="434" hidden="1" customWidth="1"/>
    <col min="10243" max="10258" width="2.5703125" style="434" hidden="1" customWidth="1"/>
    <col min="10259" max="10259" width="4" style="434" hidden="1" customWidth="1"/>
    <col min="10260" max="10263" width="2.5703125" style="434" hidden="1" customWidth="1"/>
    <col min="10264" max="10264" width="2.42578125" style="434" hidden="1" customWidth="1"/>
    <col min="10265" max="10268" width="2.5703125" style="434" hidden="1" customWidth="1"/>
    <col min="10269" max="10269" width="2.42578125" style="434" hidden="1" customWidth="1"/>
    <col min="10270" max="10273" width="2.5703125" style="434" hidden="1" customWidth="1"/>
    <col min="10274" max="10279" width="2.42578125" style="434" hidden="1" customWidth="1"/>
    <col min="10280" max="10280" width="1.5703125" style="434" hidden="1" customWidth="1"/>
    <col min="10281" max="10496" width="2.5703125" style="434" hidden="1"/>
    <col min="10497" max="10497" width="1.5703125" style="434" hidden="1" customWidth="1"/>
    <col min="10498" max="10498" width="0.85546875" style="434" hidden="1" customWidth="1"/>
    <col min="10499" max="10514" width="2.5703125" style="434" hidden="1" customWidth="1"/>
    <col min="10515" max="10515" width="4" style="434" hidden="1" customWidth="1"/>
    <col min="10516" max="10519" width="2.5703125" style="434" hidden="1" customWidth="1"/>
    <col min="10520" max="10520" width="2.42578125" style="434" hidden="1" customWidth="1"/>
    <col min="10521" max="10524" width="2.5703125" style="434" hidden="1" customWidth="1"/>
    <col min="10525" max="10525" width="2.42578125" style="434" hidden="1" customWidth="1"/>
    <col min="10526" max="10529" width="2.5703125" style="434" hidden="1" customWidth="1"/>
    <col min="10530" max="10535" width="2.42578125" style="434" hidden="1" customWidth="1"/>
    <col min="10536" max="10536" width="1.5703125" style="434" hidden="1" customWidth="1"/>
    <col min="10537" max="10752" width="2.5703125" style="434" hidden="1"/>
    <col min="10753" max="10753" width="1.5703125" style="434" hidden="1" customWidth="1"/>
    <col min="10754" max="10754" width="0.85546875" style="434" hidden="1" customWidth="1"/>
    <col min="10755" max="10770" width="2.5703125" style="434" hidden="1" customWidth="1"/>
    <col min="10771" max="10771" width="4" style="434" hidden="1" customWidth="1"/>
    <col min="10772" max="10775" width="2.5703125" style="434" hidden="1" customWidth="1"/>
    <col min="10776" max="10776" width="2.42578125" style="434" hidden="1" customWidth="1"/>
    <col min="10777" max="10780" width="2.5703125" style="434" hidden="1" customWidth="1"/>
    <col min="10781" max="10781" width="2.42578125" style="434" hidden="1" customWidth="1"/>
    <col min="10782" max="10785" width="2.5703125" style="434" hidden="1" customWidth="1"/>
    <col min="10786" max="10791" width="2.42578125" style="434" hidden="1" customWidth="1"/>
    <col min="10792" max="10792" width="1.5703125" style="434" hidden="1" customWidth="1"/>
    <col min="10793" max="11008" width="2.5703125" style="434" hidden="1"/>
    <col min="11009" max="11009" width="1.5703125" style="434" hidden="1" customWidth="1"/>
    <col min="11010" max="11010" width="0.85546875" style="434" hidden="1" customWidth="1"/>
    <col min="11011" max="11026" width="2.5703125" style="434" hidden="1" customWidth="1"/>
    <col min="11027" max="11027" width="4" style="434" hidden="1" customWidth="1"/>
    <col min="11028" max="11031" width="2.5703125" style="434" hidden="1" customWidth="1"/>
    <col min="11032" max="11032" width="2.42578125" style="434" hidden="1" customWidth="1"/>
    <col min="11033" max="11036" width="2.5703125" style="434" hidden="1" customWidth="1"/>
    <col min="11037" max="11037" width="2.42578125" style="434" hidden="1" customWidth="1"/>
    <col min="11038" max="11041" width="2.5703125" style="434" hidden="1" customWidth="1"/>
    <col min="11042" max="11047" width="2.42578125" style="434" hidden="1" customWidth="1"/>
    <col min="11048" max="11048" width="1.5703125" style="434" hidden="1" customWidth="1"/>
    <col min="11049" max="11264" width="2.5703125" style="434" hidden="1"/>
    <col min="11265" max="11265" width="1.5703125" style="434" hidden="1" customWidth="1"/>
    <col min="11266" max="11266" width="0.85546875" style="434" hidden="1" customWidth="1"/>
    <col min="11267" max="11282" width="2.5703125" style="434" hidden="1" customWidth="1"/>
    <col min="11283" max="11283" width="4" style="434" hidden="1" customWidth="1"/>
    <col min="11284" max="11287" width="2.5703125" style="434" hidden="1" customWidth="1"/>
    <col min="11288" max="11288" width="2.42578125" style="434" hidden="1" customWidth="1"/>
    <col min="11289" max="11292" width="2.5703125" style="434" hidden="1" customWidth="1"/>
    <col min="11293" max="11293" width="2.42578125" style="434" hidden="1" customWidth="1"/>
    <col min="11294" max="11297" width="2.5703125" style="434" hidden="1" customWidth="1"/>
    <col min="11298" max="11303" width="2.42578125" style="434" hidden="1" customWidth="1"/>
    <col min="11304" max="11304" width="1.5703125" style="434" hidden="1" customWidth="1"/>
    <col min="11305" max="11520" width="2.5703125" style="434" hidden="1"/>
    <col min="11521" max="11521" width="1.5703125" style="434" hidden="1" customWidth="1"/>
    <col min="11522" max="11522" width="0.85546875" style="434" hidden="1" customWidth="1"/>
    <col min="11523" max="11538" width="2.5703125" style="434" hidden="1" customWidth="1"/>
    <col min="11539" max="11539" width="4" style="434" hidden="1" customWidth="1"/>
    <col min="11540" max="11543" width="2.5703125" style="434" hidden="1" customWidth="1"/>
    <col min="11544" max="11544" width="2.42578125" style="434" hidden="1" customWidth="1"/>
    <col min="11545" max="11548" width="2.5703125" style="434" hidden="1" customWidth="1"/>
    <col min="11549" max="11549" width="2.42578125" style="434" hidden="1" customWidth="1"/>
    <col min="11550" max="11553" width="2.5703125" style="434" hidden="1" customWidth="1"/>
    <col min="11554" max="11559" width="2.42578125" style="434" hidden="1" customWidth="1"/>
    <col min="11560" max="11560" width="1.5703125" style="434" hidden="1" customWidth="1"/>
    <col min="11561" max="11776" width="2.5703125" style="434" hidden="1"/>
    <col min="11777" max="11777" width="1.5703125" style="434" hidden="1" customWidth="1"/>
    <col min="11778" max="11778" width="0.85546875" style="434" hidden="1" customWidth="1"/>
    <col min="11779" max="11794" width="2.5703125" style="434" hidden="1" customWidth="1"/>
    <col min="11795" max="11795" width="4" style="434" hidden="1" customWidth="1"/>
    <col min="11796" max="11799" width="2.5703125" style="434" hidden="1" customWidth="1"/>
    <col min="11800" max="11800" width="2.42578125" style="434" hidden="1" customWidth="1"/>
    <col min="11801" max="11804" width="2.5703125" style="434" hidden="1" customWidth="1"/>
    <col min="11805" max="11805" width="2.42578125" style="434" hidden="1" customWidth="1"/>
    <col min="11806" max="11809" width="2.5703125" style="434" hidden="1" customWidth="1"/>
    <col min="11810" max="11815" width="2.42578125" style="434" hidden="1" customWidth="1"/>
    <col min="11816" max="11816" width="1.5703125" style="434" hidden="1" customWidth="1"/>
    <col min="11817" max="12032" width="2.5703125" style="434" hidden="1"/>
    <col min="12033" max="12033" width="1.5703125" style="434" hidden="1" customWidth="1"/>
    <col min="12034" max="12034" width="0.85546875" style="434" hidden="1" customWidth="1"/>
    <col min="12035" max="12050" width="2.5703125" style="434" hidden="1" customWidth="1"/>
    <col min="12051" max="12051" width="4" style="434" hidden="1" customWidth="1"/>
    <col min="12052" max="12055" width="2.5703125" style="434" hidden="1" customWidth="1"/>
    <col min="12056" max="12056" width="2.42578125" style="434" hidden="1" customWidth="1"/>
    <col min="12057" max="12060" width="2.5703125" style="434" hidden="1" customWidth="1"/>
    <col min="12061" max="12061" width="2.42578125" style="434" hidden="1" customWidth="1"/>
    <col min="12062" max="12065" width="2.5703125" style="434" hidden="1" customWidth="1"/>
    <col min="12066" max="12071" width="2.42578125" style="434" hidden="1" customWidth="1"/>
    <col min="12072" max="12072" width="1.5703125" style="434" hidden="1" customWidth="1"/>
    <col min="12073" max="12288" width="2.5703125" style="434" hidden="1"/>
    <col min="12289" max="12289" width="1.5703125" style="434" hidden="1" customWidth="1"/>
    <col min="12290" max="12290" width="0.85546875" style="434" hidden="1" customWidth="1"/>
    <col min="12291" max="12306" width="2.5703125" style="434" hidden="1" customWidth="1"/>
    <col min="12307" max="12307" width="4" style="434" hidden="1" customWidth="1"/>
    <col min="12308" max="12311" width="2.5703125" style="434" hidden="1" customWidth="1"/>
    <col min="12312" max="12312" width="2.42578125" style="434" hidden="1" customWidth="1"/>
    <col min="12313" max="12316" width="2.5703125" style="434" hidden="1" customWidth="1"/>
    <col min="12317" max="12317" width="2.42578125" style="434" hidden="1" customWidth="1"/>
    <col min="12318" max="12321" width="2.5703125" style="434" hidden="1" customWidth="1"/>
    <col min="12322" max="12327" width="2.42578125" style="434" hidden="1" customWidth="1"/>
    <col min="12328" max="12328" width="1.5703125" style="434" hidden="1" customWidth="1"/>
    <col min="12329" max="12544" width="2.5703125" style="434" hidden="1"/>
    <col min="12545" max="12545" width="1.5703125" style="434" hidden="1" customWidth="1"/>
    <col min="12546" max="12546" width="0.85546875" style="434" hidden="1" customWidth="1"/>
    <col min="12547" max="12562" width="2.5703125" style="434" hidden="1" customWidth="1"/>
    <col min="12563" max="12563" width="4" style="434" hidden="1" customWidth="1"/>
    <col min="12564" max="12567" width="2.5703125" style="434" hidden="1" customWidth="1"/>
    <col min="12568" max="12568" width="2.42578125" style="434" hidden="1" customWidth="1"/>
    <col min="12569" max="12572" width="2.5703125" style="434" hidden="1" customWidth="1"/>
    <col min="12573" max="12573" width="2.42578125" style="434" hidden="1" customWidth="1"/>
    <col min="12574" max="12577" width="2.5703125" style="434" hidden="1" customWidth="1"/>
    <col min="12578" max="12583" width="2.42578125" style="434" hidden="1" customWidth="1"/>
    <col min="12584" max="12584" width="1.5703125" style="434" hidden="1" customWidth="1"/>
    <col min="12585" max="12800" width="2.5703125" style="434" hidden="1"/>
    <col min="12801" max="12801" width="1.5703125" style="434" hidden="1" customWidth="1"/>
    <col min="12802" max="12802" width="0.85546875" style="434" hidden="1" customWidth="1"/>
    <col min="12803" max="12818" width="2.5703125" style="434" hidden="1" customWidth="1"/>
    <col min="12819" max="12819" width="4" style="434" hidden="1" customWidth="1"/>
    <col min="12820" max="12823" width="2.5703125" style="434" hidden="1" customWidth="1"/>
    <col min="12824" max="12824" width="2.42578125" style="434" hidden="1" customWidth="1"/>
    <col min="12825" max="12828" width="2.5703125" style="434" hidden="1" customWidth="1"/>
    <col min="12829" max="12829" width="2.42578125" style="434" hidden="1" customWidth="1"/>
    <col min="12830" max="12833" width="2.5703125" style="434" hidden="1" customWidth="1"/>
    <col min="12834" max="12839" width="2.42578125" style="434" hidden="1" customWidth="1"/>
    <col min="12840" max="12840" width="1.5703125" style="434" hidden="1" customWidth="1"/>
    <col min="12841" max="13056" width="2.5703125" style="434" hidden="1"/>
    <col min="13057" max="13057" width="1.5703125" style="434" hidden="1" customWidth="1"/>
    <col min="13058" max="13058" width="0.85546875" style="434" hidden="1" customWidth="1"/>
    <col min="13059" max="13074" width="2.5703125" style="434" hidden="1" customWidth="1"/>
    <col min="13075" max="13075" width="4" style="434" hidden="1" customWidth="1"/>
    <col min="13076" max="13079" width="2.5703125" style="434" hidden="1" customWidth="1"/>
    <col min="13080" max="13080" width="2.42578125" style="434" hidden="1" customWidth="1"/>
    <col min="13081" max="13084" width="2.5703125" style="434" hidden="1" customWidth="1"/>
    <col min="13085" max="13085" width="2.42578125" style="434" hidden="1" customWidth="1"/>
    <col min="13086" max="13089" width="2.5703125" style="434" hidden="1" customWidth="1"/>
    <col min="13090" max="13095" width="2.42578125" style="434" hidden="1" customWidth="1"/>
    <col min="13096" max="13096" width="1.5703125" style="434" hidden="1" customWidth="1"/>
    <col min="13097" max="13312" width="2.5703125" style="434" hidden="1"/>
    <col min="13313" max="13313" width="1.5703125" style="434" hidden="1" customWidth="1"/>
    <col min="13314" max="13314" width="0.85546875" style="434" hidden="1" customWidth="1"/>
    <col min="13315" max="13330" width="2.5703125" style="434" hidden="1" customWidth="1"/>
    <col min="13331" max="13331" width="4" style="434" hidden="1" customWidth="1"/>
    <col min="13332" max="13335" width="2.5703125" style="434" hidden="1" customWidth="1"/>
    <col min="13336" max="13336" width="2.42578125" style="434" hidden="1" customWidth="1"/>
    <col min="13337" max="13340" width="2.5703125" style="434" hidden="1" customWidth="1"/>
    <col min="13341" max="13341" width="2.42578125" style="434" hidden="1" customWidth="1"/>
    <col min="13342" max="13345" width="2.5703125" style="434" hidden="1" customWidth="1"/>
    <col min="13346" max="13351" width="2.42578125" style="434" hidden="1" customWidth="1"/>
    <col min="13352" max="13352" width="1.5703125" style="434" hidden="1" customWidth="1"/>
    <col min="13353" max="13568" width="2.5703125" style="434" hidden="1"/>
    <col min="13569" max="13569" width="1.5703125" style="434" hidden="1" customWidth="1"/>
    <col min="13570" max="13570" width="0.85546875" style="434" hidden="1" customWidth="1"/>
    <col min="13571" max="13586" width="2.5703125" style="434" hidden="1" customWidth="1"/>
    <col min="13587" max="13587" width="4" style="434" hidden="1" customWidth="1"/>
    <col min="13588" max="13591" width="2.5703125" style="434" hidden="1" customWidth="1"/>
    <col min="13592" max="13592" width="2.42578125" style="434" hidden="1" customWidth="1"/>
    <col min="13593" max="13596" width="2.5703125" style="434" hidden="1" customWidth="1"/>
    <col min="13597" max="13597" width="2.42578125" style="434" hidden="1" customWidth="1"/>
    <col min="13598" max="13601" width="2.5703125" style="434" hidden="1" customWidth="1"/>
    <col min="13602" max="13607" width="2.42578125" style="434" hidden="1" customWidth="1"/>
    <col min="13608" max="13608" width="1.5703125" style="434" hidden="1" customWidth="1"/>
    <col min="13609" max="13824" width="2.5703125" style="434" hidden="1"/>
    <col min="13825" max="13825" width="1.5703125" style="434" hidden="1" customWidth="1"/>
    <col min="13826" max="13826" width="0.85546875" style="434" hidden="1" customWidth="1"/>
    <col min="13827" max="13842" width="2.5703125" style="434" hidden="1" customWidth="1"/>
    <col min="13843" max="13843" width="4" style="434" hidden="1" customWidth="1"/>
    <col min="13844" max="13847" width="2.5703125" style="434" hidden="1" customWidth="1"/>
    <col min="13848" max="13848" width="2.42578125" style="434" hidden="1" customWidth="1"/>
    <col min="13849" max="13852" width="2.5703125" style="434" hidden="1" customWidth="1"/>
    <col min="13853" max="13853" width="2.42578125" style="434" hidden="1" customWidth="1"/>
    <col min="13854" max="13857" width="2.5703125" style="434" hidden="1" customWidth="1"/>
    <col min="13858" max="13863" width="2.42578125" style="434" hidden="1" customWidth="1"/>
    <col min="13864" max="13864" width="1.5703125" style="434" hidden="1" customWidth="1"/>
    <col min="13865" max="14080" width="2.5703125" style="434" hidden="1"/>
    <col min="14081" max="14081" width="1.5703125" style="434" hidden="1" customWidth="1"/>
    <col min="14082" max="14082" width="0.85546875" style="434" hidden="1" customWidth="1"/>
    <col min="14083" max="14098" width="2.5703125" style="434" hidden="1" customWidth="1"/>
    <col min="14099" max="14099" width="4" style="434" hidden="1" customWidth="1"/>
    <col min="14100" max="14103" width="2.5703125" style="434" hidden="1" customWidth="1"/>
    <col min="14104" max="14104" width="2.42578125" style="434" hidden="1" customWidth="1"/>
    <col min="14105" max="14108" width="2.5703125" style="434" hidden="1" customWidth="1"/>
    <col min="14109" max="14109" width="2.42578125" style="434" hidden="1" customWidth="1"/>
    <col min="14110" max="14113" width="2.5703125" style="434" hidden="1" customWidth="1"/>
    <col min="14114" max="14119" width="2.42578125" style="434" hidden="1" customWidth="1"/>
    <col min="14120" max="14120" width="1.5703125" style="434" hidden="1" customWidth="1"/>
    <col min="14121" max="14336" width="2.5703125" style="434" hidden="1"/>
    <col min="14337" max="14337" width="1.5703125" style="434" hidden="1" customWidth="1"/>
    <col min="14338" max="14338" width="0.85546875" style="434" hidden="1" customWidth="1"/>
    <col min="14339" max="14354" width="2.5703125" style="434" hidden="1" customWidth="1"/>
    <col min="14355" max="14355" width="4" style="434" hidden="1" customWidth="1"/>
    <col min="14356" max="14359" width="2.5703125" style="434" hidden="1" customWidth="1"/>
    <col min="14360" max="14360" width="2.42578125" style="434" hidden="1" customWidth="1"/>
    <col min="14361" max="14364" width="2.5703125" style="434" hidden="1" customWidth="1"/>
    <col min="14365" max="14365" width="2.42578125" style="434" hidden="1" customWidth="1"/>
    <col min="14366" max="14369" width="2.5703125" style="434" hidden="1" customWidth="1"/>
    <col min="14370" max="14375" width="2.42578125" style="434" hidden="1" customWidth="1"/>
    <col min="14376" max="14376" width="1.5703125" style="434" hidden="1" customWidth="1"/>
    <col min="14377" max="14592" width="2.5703125" style="434" hidden="1"/>
    <col min="14593" max="14593" width="1.5703125" style="434" hidden="1" customWidth="1"/>
    <col min="14594" max="14594" width="0.85546875" style="434" hidden="1" customWidth="1"/>
    <col min="14595" max="14610" width="2.5703125" style="434" hidden="1" customWidth="1"/>
    <col min="14611" max="14611" width="4" style="434" hidden="1" customWidth="1"/>
    <col min="14612" max="14615" width="2.5703125" style="434" hidden="1" customWidth="1"/>
    <col min="14616" max="14616" width="2.42578125" style="434" hidden="1" customWidth="1"/>
    <col min="14617" max="14620" width="2.5703125" style="434" hidden="1" customWidth="1"/>
    <col min="14621" max="14621" width="2.42578125" style="434" hidden="1" customWidth="1"/>
    <col min="14622" max="14625" width="2.5703125" style="434" hidden="1" customWidth="1"/>
    <col min="14626" max="14631" width="2.42578125" style="434" hidden="1" customWidth="1"/>
    <col min="14632" max="14632" width="1.5703125" style="434" hidden="1" customWidth="1"/>
    <col min="14633" max="14848" width="2.5703125" style="434" hidden="1"/>
    <col min="14849" max="14849" width="1.5703125" style="434" hidden="1" customWidth="1"/>
    <col min="14850" max="14850" width="0.85546875" style="434" hidden="1" customWidth="1"/>
    <col min="14851" max="14866" width="2.5703125" style="434" hidden="1" customWidth="1"/>
    <col min="14867" max="14867" width="4" style="434" hidden="1" customWidth="1"/>
    <col min="14868" max="14871" width="2.5703125" style="434" hidden="1" customWidth="1"/>
    <col min="14872" max="14872" width="2.42578125" style="434" hidden="1" customWidth="1"/>
    <col min="14873" max="14876" width="2.5703125" style="434" hidden="1" customWidth="1"/>
    <col min="14877" max="14877" width="2.42578125" style="434" hidden="1" customWidth="1"/>
    <col min="14878" max="14881" width="2.5703125" style="434" hidden="1" customWidth="1"/>
    <col min="14882" max="14887" width="2.42578125" style="434" hidden="1" customWidth="1"/>
    <col min="14888" max="14888" width="1.5703125" style="434" hidden="1" customWidth="1"/>
    <col min="14889" max="15104" width="2.5703125" style="434" hidden="1"/>
    <col min="15105" max="15105" width="1.5703125" style="434" hidden="1" customWidth="1"/>
    <col min="15106" max="15106" width="0.85546875" style="434" hidden="1" customWidth="1"/>
    <col min="15107" max="15122" width="2.5703125" style="434" hidden="1" customWidth="1"/>
    <col min="15123" max="15123" width="4" style="434" hidden="1" customWidth="1"/>
    <col min="15124" max="15127" width="2.5703125" style="434" hidden="1" customWidth="1"/>
    <col min="15128" max="15128" width="2.42578125" style="434" hidden="1" customWidth="1"/>
    <col min="15129" max="15132" width="2.5703125" style="434" hidden="1" customWidth="1"/>
    <col min="15133" max="15133" width="2.42578125" style="434" hidden="1" customWidth="1"/>
    <col min="15134" max="15137" width="2.5703125" style="434" hidden="1" customWidth="1"/>
    <col min="15138" max="15143" width="2.42578125" style="434" hidden="1" customWidth="1"/>
    <col min="15144" max="15144" width="1.5703125" style="434" hidden="1" customWidth="1"/>
    <col min="15145" max="15360" width="2.5703125" style="434" hidden="1"/>
    <col min="15361" max="15361" width="1.5703125" style="434" hidden="1" customWidth="1"/>
    <col min="15362" max="15362" width="0.85546875" style="434" hidden="1" customWidth="1"/>
    <col min="15363" max="15378" width="2.5703125" style="434" hidden="1" customWidth="1"/>
    <col min="15379" max="15379" width="4" style="434" hidden="1" customWidth="1"/>
    <col min="15380" max="15383" width="2.5703125" style="434" hidden="1" customWidth="1"/>
    <col min="15384" max="15384" width="2.42578125" style="434" hidden="1" customWidth="1"/>
    <col min="15385" max="15388" width="2.5703125" style="434" hidden="1" customWidth="1"/>
    <col min="15389" max="15389" width="2.42578125" style="434" hidden="1" customWidth="1"/>
    <col min="15390" max="15393" width="2.5703125" style="434" hidden="1" customWidth="1"/>
    <col min="15394" max="15399" width="2.42578125" style="434" hidden="1" customWidth="1"/>
    <col min="15400" max="15400" width="1.5703125" style="434" hidden="1" customWidth="1"/>
    <col min="15401" max="15616" width="2.5703125" style="434" hidden="1"/>
    <col min="15617" max="15617" width="1.5703125" style="434" hidden="1" customWidth="1"/>
    <col min="15618" max="15618" width="0.85546875" style="434" hidden="1" customWidth="1"/>
    <col min="15619" max="15634" width="2.5703125" style="434" hidden="1" customWidth="1"/>
    <col min="15635" max="15635" width="4" style="434" hidden="1" customWidth="1"/>
    <col min="15636" max="15639" width="2.5703125" style="434" hidden="1" customWidth="1"/>
    <col min="15640" max="15640" width="2.42578125" style="434" hidden="1" customWidth="1"/>
    <col min="15641" max="15644" width="2.5703125" style="434" hidden="1" customWidth="1"/>
    <col min="15645" max="15645" width="2.42578125" style="434" hidden="1" customWidth="1"/>
    <col min="15646" max="15649" width="2.5703125" style="434" hidden="1" customWidth="1"/>
    <col min="15650" max="15655" width="2.42578125" style="434" hidden="1" customWidth="1"/>
    <col min="15656" max="15656" width="1.5703125" style="434" hidden="1" customWidth="1"/>
    <col min="15657" max="15872" width="2.5703125" style="434" hidden="1"/>
    <col min="15873" max="15873" width="1.5703125" style="434" hidden="1" customWidth="1"/>
    <col min="15874" max="15874" width="0.85546875" style="434" hidden="1" customWidth="1"/>
    <col min="15875" max="15890" width="2.5703125" style="434" hidden="1" customWidth="1"/>
    <col min="15891" max="15891" width="4" style="434" hidden="1" customWidth="1"/>
    <col min="15892" max="15895" width="2.5703125" style="434" hidden="1" customWidth="1"/>
    <col min="15896" max="15896" width="2.42578125" style="434" hidden="1" customWidth="1"/>
    <col min="15897" max="15900" width="2.5703125" style="434" hidden="1" customWidth="1"/>
    <col min="15901" max="15901" width="2.42578125" style="434" hidden="1" customWidth="1"/>
    <col min="15902" max="15905" width="2.5703125" style="434" hidden="1" customWidth="1"/>
    <col min="15906" max="15911" width="2.42578125" style="434" hidden="1" customWidth="1"/>
    <col min="15912" max="15912" width="1.5703125" style="434" hidden="1" customWidth="1"/>
    <col min="15913" max="16128" width="2.5703125" style="434" hidden="1"/>
    <col min="16129" max="16129" width="1.5703125" style="434" hidden="1" customWidth="1"/>
    <col min="16130" max="16130" width="0.85546875" style="434" hidden="1" customWidth="1"/>
    <col min="16131" max="16146" width="2.5703125" style="434" hidden="1" customWidth="1"/>
    <col min="16147" max="16147" width="4" style="434" hidden="1" customWidth="1"/>
    <col min="16148" max="16151" width="2.5703125" style="434" hidden="1" customWidth="1"/>
    <col min="16152" max="16152" width="2.42578125" style="434" hidden="1" customWidth="1"/>
    <col min="16153" max="16156" width="2.5703125" style="434" hidden="1" customWidth="1"/>
    <col min="16157" max="16157" width="2.42578125" style="434" hidden="1" customWidth="1"/>
    <col min="16158" max="16161" width="2.5703125" style="434" hidden="1" customWidth="1"/>
    <col min="16162" max="16167" width="2.42578125" style="434" hidden="1" customWidth="1"/>
    <col min="16168" max="16168" width="1.5703125" style="434" hidden="1" customWidth="1"/>
    <col min="16169" max="16384" width="2.5703125" style="434" hidden="1"/>
  </cols>
  <sheetData>
    <row r="1" spans="1:40" ht="12.95" customHeight="1">
      <c r="A1" s="2513" t="s">
        <v>1444</v>
      </c>
      <c r="B1" s="2513"/>
      <c r="C1" s="2513"/>
      <c r="D1" s="2513"/>
      <c r="E1" s="2513"/>
      <c r="F1" s="2513"/>
      <c r="G1" s="2513"/>
      <c r="H1" s="2513"/>
      <c r="I1" s="2513"/>
      <c r="J1" s="2513"/>
      <c r="K1" s="2513"/>
      <c r="L1" s="2513"/>
      <c r="M1" s="2513"/>
      <c r="N1" s="2513"/>
      <c r="O1" s="2513"/>
      <c r="P1" s="2513"/>
      <c r="Q1" s="2513"/>
      <c r="R1" s="2513"/>
      <c r="S1" s="2513"/>
      <c r="T1" s="2513"/>
      <c r="U1" s="2513"/>
      <c r="V1" s="2513"/>
      <c r="W1" s="2513"/>
      <c r="X1" s="2513"/>
      <c r="Y1" s="2513"/>
      <c r="Z1" s="2513"/>
      <c r="AA1" s="2513"/>
      <c r="AB1" s="2513"/>
      <c r="AC1" s="2513"/>
      <c r="AD1" s="2513"/>
      <c r="AE1" s="2513"/>
      <c r="AF1" s="2513"/>
      <c r="AG1" s="2513"/>
      <c r="AH1" s="2513"/>
      <c r="AI1" s="2513"/>
      <c r="AJ1" s="2513"/>
      <c r="AK1" s="2513"/>
      <c r="AL1" s="2513"/>
      <c r="AM1" s="2513"/>
      <c r="AN1" s="2513"/>
    </row>
    <row r="2" spans="1:40" ht="12.95" customHeight="1" thickBot="1">
      <c r="A2" s="2514"/>
      <c r="B2" s="2514"/>
      <c r="C2" s="2514"/>
      <c r="D2" s="2514"/>
      <c r="E2" s="2514"/>
      <c r="F2" s="2514"/>
      <c r="G2" s="2514"/>
      <c r="H2" s="2514"/>
      <c r="I2" s="2514"/>
      <c r="J2" s="2514"/>
      <c r="K2" s="2514"/>
      <c r="L2" s="2514"/>
      <c r="M2" s="2514"/>
      <c r="N2" s="2514"/>
      <c r="O2" s="2514"/>
      <c r="P2" s="2514"/>
      <c r="Q2" s="2514"/>
      <c r="R2" s="2514"/>
      <c r="S2" s="2514"/>
      <c r="T2" s="2514"/>
      <c r="U2" s="2514"/>
      <c r="V2" s="2514"/>
      <c r="W2" s="2514"/>
      <c r="X2" s="2514"/>
      <c r="Y2" s="2514"/>
      <c r="Z2" s="2514"/>
      <c r="AA2" s="2514"/>
      <c r="AB2" s="2514"/>
      <c r="AC2" s="2514"/>
      <c r="AD2" s="2514"/>
      <c r="AE2" s="2514"/>
      <c r="AF2" s="2514"/>
      <c r="AG2" s="2514"/>
      <c r="AH2" s="2514"/>
      <c r="AI2" s="2514"/>
      <c r="AJ2" s="2514"/>
      <c r="AK2" s="2514"/>
      <c r="AL2" s="2514"/>
      <c r="AM2" s="2514"/>
      <c r="AN2" s="2514"/>
    </row>
    <row r="3" spans="1:40" ht="12.95" customHeight="1" thickTop="1">
      <c r="A3" s="434" t="str">
        <f>+A1</f>
        <v>V. BASIS AND CREDITS : 4% FEDERAL AND STATE CREDIT</v>
      </c>
      <c r="C3" s="101"/>
      <c r="D3" s="101"/>
      <c r="E3" s="101"/>
      <c r="F3" s="101"/>
      <c r="G3" s="101"/>
      <c r="H3" s="101"/>
      <c r="I3" s="101"/>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row>
    <row r="4" spans="1:40" ht="12.95" customHeight="1">
      <c r="A4" s="436"/>
    </row>
    <row r="5" spans="1:40" ht="12.95" customHeight="1">
      <c r="A5" s="436" t="s">
        <v>320</v>
      </c>
      <c r="C5" s="436" t="s">
        <v>123</v>
      </c>
      <c r="F5" s="436"/>
    </row>
    <row r="6" spans="1:40" ht="12.95" customHeight="1">
      <c r="A6" s="436"/>
      <c r="C6" s="434" t="s">
        <v>1385</v>
      </c>
    </row>
    <row r="7" spans="1:40" ht="12.95" customHeight="1">
      <c r="B7" s="437"/>
      <c r="C7" s="438"/>
      <c r="D7" s="438"/>
      <c r="E7" s="438"/>
      <c r="F7" s="438"/>
      <c r="G7" s="438"/>
      <c r="H7" s="438"/>
      <c r="I7" s="438"/>
      <c r="J7" s="438"/>
      <c r="K7" s="438"/>
      <c r="L7" s="438"/>
      <c r="M7" s="438"/>
      <c r="N7" s="438"/>
      <c r="O7" s="438"/>
      <c r="P7" s="438"/>
      <c r="Q7" s="438"/>
      <c r="R7" s="438"/>
      <c r="S7" s="438"/>
      <c r="T7" s="2493" t="str">
        <f xml:space="preserve"> IF(T25=100%,'Sources and Basis Breakdown'!G2,'Sources and Basis Breakdown'!F2)</f>
        <v>30% PVC for New Const/
Rehabilitation
DDA/QCT
Building(s)</v>
      </c>
      <c r="U7" s="2493"/>
      <c r="V7" s="2493"/>
      <c r="W7" s="2493"/>
      <c r="X7" s="2493"/>
      <c r="Y7" s="2493" t="str">
        <f>IF(T25=100%," ",'Sources and Basis Breakdown'!G2)</f>
        <v>30% PVC for New Const/
Rehabilitation
NON-DDA/
NON-QCT Building(s)</v>
      </c>
      <c r="Z7" s="2493"/>
      <c r="AA7" s="2493"/>
      <c r="AB7" s="2493"/>
      <c r="AC7" s="2493"/>
      <c r="AD7" s="2493" t="str">
        <f xml:space="preserve"> IF(T25=100%, 'Sources and Basis Breakdown'!J2,'Sources and Basis Breakdown'!I2)</f>
        <v>30% PVC for Acquisition
DDA/QCT Building(s)</v>
      </c>
      <c r="AE7" s="2493"/>
      <c r="AF7" s="2493"/>
      <c r="AG7" s="2493"/>
      <c r="AH7" s="2493"/>
      <c r="AI7" s="2493" t="str">
        <f>IF(T25=100%," ",'Sources and Basis Breakdown'!J2)</f>
        <v>30% PVC for Acquisition
NON-DDA/
NON-QCT Building(s)</v>
      </c>
      <c r="AJ7" s="2493"/>
      <c r="AK7" s="2493"/>
      <c r="AL7" s="2493"/>
      <c r="AM7" s="2493"/>
    </row>
    <row r="8" spans="1:40" ht="12.95" customHeight="1">
      <c r="B8" s="439"/>
      <c r="T8" s="2493"/>
      <c r="U8" s="2493"/>
      <c r="V8" s="2493"/>
      <c r="W8" s="2493"/>
      <c r="X8" s="2493"/>
      <c r="Y8" s="2493"/>
      <c r="Z8" s="2493"/>
      <c r="AA8" s="2493"/>
      <c r="AB8" s="2493"/>
      <c r="AC8" s="2493"/>
      <c r="AD8" s="2493"/>
      <c r="AE8" s="2493"/>
      <c r="AF8" s="2493"/>
      <c r="AG8" s="2493"/>
      <c r="AH8" s="2493"/>
      <c r="AI8" s="2493"/>
      <c r="AJ8" s="2493"/>
      <c r="AK8" s="2493"/>
      <c r="AL8" s="2493"/>
      <c r="AM8" s="2493"/>
    </row>
    <row r="9" spans="1:40" ht="12.95" customHeight="1">
      <c r="B9" s="439"/>
      <c r="T9" s="2493"/>
      <c r="U9" s="2493"/>
      <c r="V9" s="2493"/>
      <c r="W9" s="2493"/>
      <c r="X9" s="2493"/>
      <c r="Y9" s="2493"/>
      <c r="Z9" s="2493"/>
      <c r="AA9" s="2493"/>
      <c r="AB9" s="2493"/>
      <c r="AC9" s="2493"/>
      <c r="AD9" s="2493"/>
      <c r="AE9" s="2493"/>
      <c r="AF9" s="2493"/>
      <c r="AG9" s="2493"/>
      <c r="AH9" s="2493"/>
      <c r="AI9" s="2493"/>
      <c r="AJ9" s="2493"/>
      <c r="AK9" s="2493"/>
      <c r="AL9" s="2493"/>
      <c r="AM9" s="2493"/>
    </row>
    <row r="10" spans="1:40" ht="12.95" customHeight="1">
      <c r="B10" s="440"/>
      <c r="C10" s="441"/>
      <c r="D10" s="441"/>
      <c r="E10" s="441"/>
      <c r="F10" s="441"/>
      <c r="G10" s="441"/>
      <c r="H10" s="441"/>
      <c r="I10" s="441"/>
      <c r="J10" s="441"/>
      <c r="K10" s="441"/>
      <c r="L10" s="441"/>
      <c r="M10" s="441"/>
      <c r="N10" s="441"/>
      <c r="O10" s="441"/>
      <c r="P10" s="441"/>
      <c r="Q10" s="441"/>
      <c r="R10" s="441"/>
      <c r="S10" s="441"/>
      <c r="T10" s="2493"/>
      <c r="U10" s="2493"/>
      <c r="V10" s="2493"/>
      <c r="W10" s="2493"/>
      <c r="X10" s="2493"/>
      <c r="Y10" s="2493"/>
      <c r="Z10" s="2493"/>
      <c r="AA10" s="2493"/>
      <c r="AB10" s="2493"/>
      <c r="AC10" s="2493"/>
      <c r="AD10" s="2493"/>
      <c r="AE10" s="2493"/>
      <c r="AF10" s="2493"/>
      <c r="AG10" s="2493"/>
      <c r="AH10" s="2493"/>
      <c r="AI10" s="2493"/>
      <c r="AJ10" s="2493"/>
      <c r="AK10" s="2493"/>
      <c r="AL10" s="2493"/>
      <c r="AM10" s="2493"/>
    </row>
    <row r="11" spans="1:40" ht="12.95" customHeight="1">
      <c r="B11" s="2476" t="s">
        <v>376</v>
      </c>
      <c r="C11" s="2477"/>
      <c r="D11" s="2477"/>
      <c r="E11" s="2477"/>
      <c r="F11" s="2477"/>
      <c r="G11" s="2477"/>
      <c r="H11" s="2477"/>
      <c r="I11" s="2477"/>
      <c r="J11" s="2477"/>
      <c r="K11" s="2477"/>
      <c r="L11" s="2477"/>
      <c r="M11" s="2477"/>
      <c r="N11" s="2477"/>
      <c r="O11" s="2477"/>
      <c r="P11" s="2477"/>
      <c r="Q11" s="2477"/>
      <c r="R11" s="2477"/>
      <c r="S11" s="2478"/>
      <c r="T11" s="2515">
        <f>IF('Sources and Basis Breakdown'!F107=0,'Sources and Basis Breakdown'!E107,'Sources and Basis Breakdown'!F107)</f>
        <v>62824753</v>
      </c>
      <c r="U11" s="2516"/>
      <c r="V11" s="2516"/>
      <c r="W11" s="2516"/>
      <c r="X11" s="2516"/>
      <c r="Y11" s="2515">
        <f>IF(Y7=" ",0,IF('Sources and Basis Breakdown'!G107+'Sources and Basis Breakdown'!F107='Sources and Basis Breakdown'!E107,'Sources and Basis Breakdown'!G107,0))</f>
        <v>0</v>
      </c>
      <c r="Z11" s="2516"/>
      <c r="AA11" s="2516"/>
      <c r="AB11" s="2516"/>
      <c r="AC11" s="2516"/>
      <c r="AD11" s="2516">
        <f>IF('Sources and Basis Breakdown'!I107=0,'Sources and Basis Breakdown'!H107,'Sources and Basis Breakdown'!I107)</f>
        <v>0</v>
      </c>
      <c r="AE11" s="2516"/>
      <c r="AF11" s="2516"/>
      <c r="AG11" s="2516"/>
      <c r="AH11" s="2516"/>
      <c r="AI11" s="2516">
        <f>IF(Y7=" ",0,IF('Sources and Basis Breakdown'!I107+'Sources and Basis Breakdown'!J107='Sources and Basis Breakdown'!H107,'Sources and Basis Breakdown'!J107,0))</f>
        <v>0</v>
      </c>
      <c r="AJ11" s="2516"/>
      <c r="AK11" s="2516"/>
      <c r="AL11" s="2516"/>
      <c r="AM11" s="2516"/>
    </row>
    <row r="12" spans="1:40" ht="12.95" customHeight="1">
      <c r="B12" s="2517" t="s">
        <v>506</v>
      </c>
      <c r="C12" s="1277"/>
      <c r="D12" s="1277"/>
      <c r="E12" s="1277"/>
      <c r="F12" s="1277"/>
      <c r="G12" s="1277"/>
      <c r="H12" s="1277"/>
      <c r="I12" s="1277"/>
      <c r="J12" s="1277"/>
      <c r="K12" s="1277"/>
      <c r="L12" s="1277"/>
      <c r="M12" s="1277"/>
      <c r="N12" s="1277"/>
      <c r="O12" s="1277"/>
      <c r="P12" s="1277"/>
      <c r="Q12" s="1277"/>
      <c r="R12" s="1277"/>
      <c r="S12" s="2518"/>
      <c r="T12" s="2508"/>
      <c r="U12" s="2509"/>
      <c r="V12" s="2509"/>
      <c r="W12" s="2509"/>
      <c r="X12" s="2510"/>
      <c r="Y12" s="2508"/>
      <c r="Z12" s="2509"/>
      <c r="AA12" s="2509"/>
      <c r="AB12" s="2509"/>
      <c r="AC12" s="2510"/>
      <c r="AD12" s="2508"/>
      <c r="AE12" s="2509"/>
      <c r="AF12" s="2509"/>
      <c r="AG12" s="2509"/>
      <c r="AH12" s="2510"/>
      <c r="AI12" s="2508"/>
      <c r="AJ12" s="2509"/>
      <c r="AK12" s="2509"/>
      <c r="AL12" s="2509"/>
      <c r="AM12" s="2510"/>
    </row>
    <row r="13" spans="1:40" ht="12.95" customHeight="1">
      <c r="B13" s="468"/>
      <c r="C13" s="2519" t="s">
        <v>507</v>
      </c>
      <c r="D13" s="2519"/>
      <c r="E13" s="2519"/>
      <c r="F13" s="2519"/>
      <c r="G13" s="2519"/>
      <c r="H13" s="2519"/>
      <c r="I13" s="2519"/>
      <c r="J13" s="2519"/>
      <c r="K13" s="2519"/>
      <c r="L13" s="2519"/>
      <c r="M13" s="2519"/>
      <c r="N13" s="2519"/>
      <c r="O13" s="2519"/>
      <c r="P13" s="2519"/>
      <c r="Q13" s="2519"/>
      <c r="R13" s="2519"/>
      <c r="S13" s="2520"/>
      <c r="T13" s="2511"/>
      <c r="U13" s="2512"/>
      <c r="V13" s="2512"/>
      <c r="W13" s="2512"/>
      <c r="X13" s="2512"/>
      <c r="Y13" s="2511"/>
      <c r="Z13" s="2512"/>
      <c r="AA13" s="2512"/>
      <c r="AB13" s="2512"/>
      <c r="AC13" s="2512"/>
      <c r="AD13" s="2512"/>
      <c r="AE13" s="2512"/>
      <c r="AF13" s="2512"/>
      <c r="AG13" s="2512"/>
      <c r="AH13" s="2512"/>
      <c r="AI13" s="2512"/>
      <c r="AJ13" s="2512"/>
      <c r="AK13" s="2512"/>
      <c r="AL13" s="2512"/>
      <c r="AM13" s="2512"/>
    </row>
    <row r="14" spans="1:40" ht="12.95" customHeight="1">
      <c r="B14" s="468"/>
      <c r="C14" s="2519" t="s">
        <v>508</v>
      </c>
      <c r="D14" s="2519"/>
      <c r="E14" s="2519"/>
      <c r="F14" s="2519"/>
      <c r="G14" s="2519"/>
      <c r="H14" s="2519"/>
      <c r="I14" s="2519"/>
      <c r="J14" s="2519"/>
      <c r="K14" s="2519"/>
      <c r="L14" s="2519"/>
      <c r="M14" s="2519"/>
      <c r="N14" s="2519"/>
      <c r="O14" s="2519"/>
      <c r="P14" s="2519"/>
      <c r="Q14" s="2519"/>
      <c r="R14" s="2519"/>
      <c r="S14" s="2520"/>
      <c r="T14" s="2501"/>
      <c r="U14" s="2502"/>
      <c r="V14" s="2502"/>
      <c r="W14" s="2502"/>
      <c r="X14" s="2502"/>
      <c r="Y14" s="2501"/>
      <c r="Z14" s="2502"/>
      <c r="AA14" s="2502"/>
      <c r="AB14" s="2502"/>
      <c r="AC14" s="2502"/>
      <c r="AD14" s="2502"/>
      <c r="AE14" s="2502"/>
      <c r="AF14" s="2502"/>
      <c r="AG14" s="2502"/>
      <c r="AH14" s="2502"/>
      <c r="AI14" s="2502"/>
      <c r="AJ14" s="2502"/>
      <c r="AK14" s="2502"/>
      <c r="AL14" s="2502"/>
      <c r="AM14" s="2502"/>
    </row>
    <row r="15" spans="1:40" ht="12.95" customHeight="1">
      <c r="B15" s="468"/>
      <c r="C15" s="2519" t="s">
        <v>509</v>
      </c>
      <c r="D15" s="2519"/>
      <c r="E15" s="2519"/>
      <c r="F15" s="2519"/>
      <c r="G15" s="2519"/>
      <c r="H15" s="2519"/>
      <c r="I15" s="2519"/>
      <c r="J15" s="2519"/>
      <c r="K15" s="2519"/>
      <c r="L15" s="2519"/>
      <c r="M15" s="2519"/>
      <c r="N15" s="2519"/>
      <c r="O15" s="2519"/>
      <c r="P15" s="2519"/>
      <c r="Q15" s="2519"/>
      <c r="R15" s="2519"/>
      <c r="S15" s="2520"/>
      <c r="T15" s="2501"/>
      <c r="U15" s="2502"/>
      <c r="V15" s="2502"/>
      <c r="W15" s="2502"/>
      <c r="X15" s="2502"/>
      <c r="Y15" s="2501"/>
      <c r="Z15" s="2502"/>
      <c r="AA15" s="2502"/>
      <c r="AB15" s="2502"/>
      <c r="AC15" s="2502"/>
      <c r="AD15" s="2502"/>
      <c r="AE15" s="2502"/>
      <c r="AF15" s="2502"/>
      <c r="AG15" s="2502"/>
      <c r="AH15" s="2502"/>
      <c r="AI15" s="2502"/>
      <c r="AJ15" s="2502"/>
      <c r="AK15" s="2502"/>
      <c r="AL15" s="2502"/>
      <c r="AM15" s="2502"/>
    </row>
    <row r="16" spans="1:40" ht="12.95" customHeight="1">
      <c r="B16" s="468"/>
      <c r="C16" s="2519" t="s">
        <v>830</v>
      </c>
      <c r="D16" s="2519"/>
      <c r="E16" s="2519"/>
      <c r="F16" s="2519"/>
      <c r="G16" s="2519"/>
      <c r="H16" s="2519"/>
      <c r="I16" s="2519"/>
      <c r="J16" s="2519"/>
      <c r="K16" s="2519"/>
      <c r="L16" s="2519"/>
      <c r="M16" s="2519"/>
      <c r="N16" s="2519"/>
      <c r="O16" s="2519"/>
      <c r="P16" s="2519"/>
      <c r="Q16" s="2519"/>
      <c r="R16" s="2519"/>
      <c r="S16" s="2520"/>
      <c r="T16" s="2501"/>
      <c r="U16" s="2502"/>
      <c r="V16" s="2502"/>
      <c r="W16" s="2502"/>
      <c r="X16" s="2502"/>
      <c r="Y16" s="2501"/>
      <c r="Z16" s="2502"/>
      <c r="AA16" s="2502"/>
      <c r="AB16" s="2502"/>
      <c r="AC16" s="2502"/>
      <c r="AD16" s="2502"/>
      <c r="AE16" s="2502"/>
      <c r="AF16" s="2502"/>
      <c r="AG16" s="2502"/>
      <c r="AH16" s="2502"/>
      <c r="AI16" s="2502"/>
      <c r="AJ16" s="2502"/>
      <c r="AK16" s="2502"/>
      <c r="AL16" s="2502"/>
      <c r="AM16" s="2502"/>
    </row>
    <row r="17" spans="1:40" ht="12.95" customHeight="1">
      <c r="B17" s="468"/>
      <c r="C17" s="2519" t="s">
        <v>510</v>
      </c>
      <c r="D17" s="2519"/>
      <c r="E17" s="2519"/>
      <c r="F17" s="2519"/>
      <c r="G17" s="2519"/>
      <c r="H17" s="2519"/>
      <c r="I17" s="2519"/>
      <c r="J17" s="2519"/>
      <c r="K17" s="2519"/>
      <c r="L17" s="2519"/>
      <c r="M17" s="2519"/>
      <c r="N17" s="2519"/>
      <c r="O17" s="2519"/>
      <c r="P17" s="2519"/>
      <c r="Q17" s="2519"/>
      <c r="R17" s="2519"/>
      <c r="S17" s="2520"/>
      <c r="T17" s="2501"/>
      <c r="U17" s="2502"/>
      <c r="V17" s="2502"/>
      <c r="W17" s="2502"/>
      <c r="X17" s="2502"/>
      <c r="Y17" s="2501"/>
      <c r="Z17" s="2502"/>
      <c r="AA17" s="2502"/>
      <c r="AB17" s="2502"/>
      <c r="AC17" s="2502"/>
      <c r="AD17" s="2502"/>
      <c r="AE17" s="2502"/>
      <c r="AF17" s="2502"/>
      <c r="AG17" s="2502"/>
      <c r="AH17" s="2502"/>
      <c r="AI17" s="2502"/>
      <c r="AJ17" s="2502"/>
      <c r="AK17" s="2502"/>
      <c r="AL17" s="2502"/>
      <c r="AM17" s="2502"/>
    </row>
    <row r="18" spans="1:40" ht="12.95" customHeight="1">
      <c r="A18"/>
      <c r="B18" s="1203"/>
      <c r="C18" s="1684" t="s">
        <v>1000</v>
      </c>
      <c r="D18" s="1684"/>
      <c r="E18" s="1684"/>
      <c r="F18" s="1684"/>
      <c r="G18" s="1684"/>
      <c r="H18" s="1684"/>
      <c r="I18" s="1684"/>
      <c r="J18" s="1684"/>
      <c r="K18" s="1684"/>
      <c r="L18" s="1684"/>
      <c r="M18" s="1684"/>
      <c r="N18" s="1684"/>
      <c r="O18" s="1684"/>
      <c r="P18" s="1684"/>
      <c r="Q18" s="1684"/>
      <c r="R18" s="1684"/>
      <c r="S18" s="1685"/>
      <c r="T18" s="2501"/>
      <c r="U18" s="2502"/>
      <c r="V18" s="2502"/>
      <c r="W18" s="2502"/>
      <c r="X18" s="2502"/>
      <c r="Y18" s="2501"/>
      <c r="Z18" s="2502"/>
      <c r="AA18" s="2502"/>
      <c r="AB18" s="2502"/>
      <c r="AC18" s="2502"/>
      <c r="AD18" s="2502"/>
      <c r="AE18" s="2502"/>
      <c r="AF18" s="2502"/>
      <c r="AG18" s="2502"/>
      <c r="AH18" s="2502"/>
      <c r="AI18" s="2502"/>
      <c r="AJ18" s="2502"/>
      <c r="AK18" s="2502"/>
      <c r="AL18" s="2502"/>
      <c r="AM18" s="2502"/>
    </row>
    <row r="19" spans="1:40" ht="12.95" customHeight="1">
      <c r="B19" s="1203"/>
      <c r="C19" s="1684" t="s">
        <v>1000</v>
      </c>
      <c r="D19" s="1684"/>
      <c r="E19" s="1684"/>
      <c r="F19" s="1684"/>
      <c r="G19" s="1684"/>
      <c r="H19" s="1684"/>
      <c r="I19" s="1684"/>
      <c r="J19" s="1684"/>
      <c r="K19" s="1684"/>
      <c r="L19" s="1684"/>
      <c r="M19" s="1684"/>
      <c r="N19" s="1684"/>
      <c r="O19" s="1684"/>
      <c r="P19" s="1684"/>
      <c r="Q19" s="1684"/>
      <c r="R19" s="1684"/>
      <c r="S19" s="1685"/>
      <c r="T19" s="2501"/>
      <c r="U19" s="2502"/>
      <c r="V19" s="2502"/>
      <c r="W19" s="2502"/>
      <c r="X19" s="2502"/>
      <c r="Y19" s="2501"/>
      <c r="Z19" s="2502"/>
      <c r="AA19" s="2502"/>
      <c r="AB19" s="2502"/>
      <c r="AC19" s="2502"/>
      <c r="AD19" s="2502"/>
      <c r="AE19" s="2502"/>
      <c r="AF19" s="2502"/>
      <c r="AG19" s="2502"/>
      <c r="AH19" s="2502"/>
      <c r="AI19" s="2502"/>
      <c r="AJ19" s="2502"/>
      <c r="AK19" s="2502"/>
      <c r="AL19" s="2502"/>
      <c r="AM19" s="2502"/>
    </row>
    <row r="20" spans="1:40" ht="12.95" customHeight="1">
      <c r="B20" s="2476" t="s">
        <v>511</v>
      </c>
      <c r="C20" s="2477"/>
      <c r="D20" s="2477"/>
      <c r="E20" s="2477"/>
      <c r="F20" s="2477"/>
      <c r="G20" s="2477"/>
      <c r="H20" s="2477"/>
      <c r="I20" s="2477"/>
      <c r="J20" s="2477"/>
      <c r="K20" s="2477"/>
      <c r="L20" s="2477"/>
      <c r="M20" s="2477"/>
      <c r="N20" s="2477"/>
      <c r="O20" s="2477"/>
      <c r="P20" s="2477"/>
      <c r="Q20" s="2477"/>
      <c r="R20" s="2477"/>
      <c r="S20" s="2478"/>
      <c r="T20" s="2492">
        <f>SUM(T13:X19)</f>
        <v>0</v>
      </c>
      <c r="U20" s="2470"/>
      <c r="V20" s="2470"/>
      <c r="W20" s="2470"/>
      <c r="X20" s="2470"/>
      <c r="Y20" s="2492">
        <f>SUM(Y13:AC19)</f>
        <v>0</v>
      </c>
      <c r="Z20" s="2470"/>
      <c r="AA20" s="2470"/>
      <c r="AB20" s="2470"/>
      <c r="AC20" s="2470"/>
      <c r="AD20" s="2480">
        <f>SUM(AD13:AH19)</f>
        <v>0</v>
      </c>
      <c r="AE20" s="2491"/>
      <c r="AF20" s="2491"/>
      <c r="AG20" s="2491"/>
      <c r="AH20" s="2492"/>
      <c r="AI20" s="2480">
        <f>SUM(AI13:AM19)</f>
        <v>0</v>
      </c>
      <c r="AJ20" s="2491"/>
      <c r="AK20" s="2491"/>
      <c r="AL20" s="2491"/>
      <c r="AM20" s="2492"/>
    </row>
    <row r="21" spans="1:40" ht="12.95" customHeight="1">
      <c r="B21" s="2476" t="s">
        <v>1421</v>
      </c>
      <c r="C21" s="2477"/>
      <c r="D21" s="2477"/>
      <c r="E21" s="2477"/>
      <c r="F21" s="2477"/>
      <c r="G21" s="2477"/>
      <c r="H21" s="2477"/>
      <c r="I21" s="2477"/>
      <c r="J21" s="2477"/>
      <c r="K21" s="2477"/>
      <c r="L21" s="2477"/>
      <c r="M21" s="2477"/>
      <c r="N21" s="2477"/>
      <c r="O21" s="2477"/>
      <c r="P21" s="2477"/>
      <c r="Q21" s="2477"/>
      <c r="R21" s="2477"/>
      <c r="S21" s="2478"/>
      <c r="T21" s="2501"/>
      <c r="U21" s="2502"/>
      <c r="V21" s="2502"/>
      <c r="W21" s="2502"/>
      <c r="X21" s="2502"/>
      <c r="Y21" s="2501"/>
      <c r="Z21" s="2502"/>
      <c r="AA21" s="2502"/>
      <c r="AB21" s="2502"/>
      <c r="AC21" s="2502"/>
      <c r="AD21" s="2508"/>
      <c r="AE21" s="2509"/>
      <c r="AF21" s="2509"/>
      <c r="AG21" s="2509"/>
      <c r="AH21" s="2510"/>
      <c r="AI21" s="2508"/>
      <c r="AJ21" s="2509"/>
      <c r="AK21" s="2509"/>
      <c r="AL21" s="2509"/>
      <c r="AM21" s="2510"/>
    </row>
    <row r="22" spans="1:40" ht="12.95" customHeight="1">
      <c r="B22" s="2476" t="s">
        <v>512</v>
      </c>
      <c r="C22" s="2477"/>
      <c r="D22" s="2477"/>
      <c r="E22" s="2477"/>
      <c r="F22" s="2477"/>
      <c r="G22" s="2477"/>
      <c r="H22" s="2477"/>
      <c r="I22" s="2477"/>
      <c r="J22" s="2477"/>
      <c r="K22" s="2477"/>
      <c r="L22" s="2477"/>
      <c r="M22" s="2477"/>
      <c r="N22" s="2477"/>
      <c r="O22" s="2477"/>
      <c r="P22" s="2477"/>
      <c r="Q22" s="2477"/>
      <c r="R22" s="2477"/>
      <c r="S22" s="2478"/>
      <c r="T22" s="2497">
        <f>(T20+T21)*-1</f>
        <v>0</v>
      </c>
      <c r="U22" s="2498"/>
      <c r="V22" s="2498"/>
      <c r="W22" s="2498"/>
      <c r="X22" s="2498"/>
      <c r="Y22" s="2497">
        <f>(Y20+Y21)*-1</f>
        <v>0</v>
      </c>
      <c r="Z22" s="2498"/>
      <c r="AA22" s="2498"/>
      <c r="AB22" s="2498"/>
      <c r="AC22" s="2498"/>
      <c r="AD22" s="2499">
        <f>(AD20)*-1</f>
        <v>0</v>
      </c>
      <c r="AE22" s="2500"/>
      <c r="AF22" s="2500"/>
      <c r="AG22" s="2500"/>
      <c r="AH22" s="2497"/>
      <c r="AI22" s="2499">
        <f>(AI20)*-1</f>
        <v>0</v>
      </c>
      <c r="AJ22" s="2500"/>
      <c r="AK22" s="2500"/>
      <c r="AL22" s="2500"/>
      <c r="AM22" s="2497"/>
    </row>
    <row r="23" spans="1:40" ht="12.95" customHeight="1">
      <c r="B23" s="2476" t="s">
        <v>513</v>
      </c>
      <c r="C23" s="2477"/>
      <c r="D23" s="2477"/>
      <c r="E23" s="2477"/>
      <c r="F23" s="2477"/>
      <c r="G23" s="2477"/>
      <c r="H23" s="2477"/>
      <c r="I23" s="2477"/>
      <c r="J23" s="2477"/>
      <c r="K23" s="2477"/>
      <c r="L23" s="2477"/>
      <c r="M23" s="2477"/>
      <c r="N23" s="2477"/>
      <c r="O23" s="2477"/>
      <c r="P23" s="2477"/>
      <c r="Q23" s="2477"/>
      <c r="R23" s="2477"/>
      <c r="S23" s="2478"/>
      <c r="T23" s="2492">
        <f>T11+T22</f>
        <v>62824753</v>
      </c>
      <c r="U23" s="2470"/>
      <c r="V23" s="2470"/>
      <c r="W23" s="2470"/>
      <c r="X23" s="2470"/>
      <c r="Y23" s="2492">
        <f>Y11+Y22</f>
        <v>0</v>
      </c>
      <c r="Z23" s="2470"/>
      <c r="AA23" s="2470"/>
      <c r="AB23" s="2470"/>
      <c r="AC23" s="2470"/>
      <c r="AD23" s="2492">
        <f>AD11+AD22</f>
        <v>0</v>
      </c>
      <c r="AE23" s="2470"/>
      <c r="AF23" s="2470"/>
      <c r="AG23" s="2470"/>
      <c r="AH23" s="2470"/>
      <c r="AI23" s="2492">
        <f>AI11+AI22</f>
        <v>0</v>
      </c>
      <c r="AJ23" s="2470"/>
      <c r="AK23" s="2470"/>
      <c r="AL23" s="2470"/>
      <c r="AM23" s="2470"/>
    </row>
    <row r="24" spans="1:40" ht="12.95" customHeight="1">
      <c r="B24" s="2476" t="s">
        <v>1001</v>
      </c>
      <c r="C24" s="2477"/>
      <c r="D24" s="2477"/>
      <c r="E24" s="2477"/>
      <c r="F24" s="2477"/>
      <c r="G24" s="2477"/>
      <c r="H24" s="2477"/>
      <c r="I24" s="2477"/>
      <c r="J24" s="2477"/>
      <c r="K24" s="2477"/>
      <c r="L24" s="2477"/>
      <c r="M24" s="2477"/>
      <c r="N24" s="2477"/>
      <c r="O24" s="2477"/>
      <c r="P24" s="2477"/>
      <c r="Q24" s="2477"/>
      <c r="R24" s="2477"/>
      <c r="S24" s="2478"/>
      <c r="T24" s="2480">
        <f>Application!AJ1018</f>
        <v>133790052</v>
      </c>
      <c r="U24" s="2491"/>
      <c r="V24" s="2491"/>
      <c r="W24" s="2491"/>
      <c r="X24" s="2491"/>
      <c r="Y24" s="2491"/>
      <c r="Z24" s="2491"/>
      <c r="AA24" s="2491"/>
      <c r="AB24" s="2491"/>
      <c r="AC24" s="2491"/>
      <c r="AD24" s="2491"/>
      <c r="AE24" s="2491"/>
      <c r="AF24" s="2491"/>
      <c r="AG24" s="2491"/>
      <c r="AH24" s="2491"/>
      <c r="AI24" s="2491"/>
      <c r="AJ24" s="2491"/>
      <c r="AK24" s="2491"/>
      <c r="AL24" s="2491"/>
      <c r="AM24" s="2492"/>
    </row>
    <row r="25" spans="1:40" ht="12.95" customHeight="1">
      <c r="B25" s="2523" t="s">
        <v>1422</v>
      </c>
      <c r="C25" s="2524"/>
      <c r="D25" s="2524"/>
      <c r="E25" s="2524"/>
      <c r="F25" s="2524"/>
      <c r="G25" s="2524"/>
      <c r="H25" s="2524"/>
      <c r="I25" s="2524"/>
      <c r="J25" s="2524"/>
      <c r="K25" s="2524"/>
      <c r="L25" s="2524"/>
      <c r="M25" s="2524"/>
      <c r="N25" s="2524"/>
      <c r="O25" s="2524"/>
      <c r="P25" s="2524"/>
      <c r="Q25" s="2524"/>
      <c r="R25" s="2524"/>
      <c r="S25" s="2525"/>
      <c r="T25" s="2505">
        <f>IF(OR(Application!T195="yes",Application!T194="yes"),1.3,1)</f>
        <v>1.3</v>
      </c>
      <c r="U25" s="2506"/>
      <c r="V25" s="2506"/>
      <c r="W25" s="2506"/>
      <c r="X25" s="2506"/>
      <c r="Y25" s="2505">
        <v>1</v>
      </c>
      <c r="Z25" s="2506"/>
      <c r="AA25" s="2506"/>
      <c r="AB25" s="2506"/>
      <c r="AC25" s="2506"/>
      <c r="AD25" s="2505">
        <v>1</v>
      </c>
      <c r="AE25" s="2506"/>
      <c r="AF25" s="2506"/>
      <c r="AG25" s="2506"/>
      <c r="AH25" s="2507"/>
      <c r="AI25" s="2505">
        <v>1</v>
      </c>
      <c r="AJ25" s="2506"/>
      <c r="AK25" s="2506"/>
      <c r="AL25" s="2506"/>
      <c r="AM25" s="2507"/>
    </row>
    <row r="26" spans="1:40" ht="12.95" customHeight="1">
      <c r="B26" s="2476" t="s">
        <v>514</v>
      </c>
      <c r="C26" s="2477"/>
      <c r="D26" s="2477"/>
      <c r="E26" s="2477"/>
      <c r="F26" s="2477"/>
      <c r="G26" s="2477"/>
      <c r="H26" s="2477"/>
      <c r="I26" s="2477"/>
      <c r="J26" s="2477"/>
      <c r="K26" s="2477"/>
      <c r="L26" s="2477"/>
      <c r="M26" s="2477"/>
      <c r="N26" s="2477"/>
      <c r="O26" s="2477"/>
      <c r="P26" s="2477"/>
      <c r="Q26" s="2477"/>
      <c r="R26" s="2477"/>
      <c r="S26" s="2478"/>
      <c r="T26" s="2492">
        <f>T23*T25</f>
        <v>81672178.900000006</v>
      </c>
      <c r="U26" s="2470"/>
      <c r="V26" s="2470"/>
      <c r="W26" s="2470"/>
      <c r="X26" s="2470"/>
      <c r="Y26" s="2492">
        <f>Y23*Y25</f>
        <v>0</v>
      </c>
      <c r="Z26" s="2470"/>
      <c r="AA26" s="2470"/>
      <c r="AB26" s="2470"/>
      <c r="AC26" s="2470"/>
      <c r="AD26" s="2492">
        <f>AD23*AD25</f>
        <v>0</v>
      </c>
      <c r="AE26" s="2470"/>
      <c r="AF26" s="2470"/>
      <c r="AG26" s="2470"/>
      <c r="AH26" s="2470"/>
      <c r="AI26" s="2492">
        <f>AI23*AI25</f>
        <v>0</v>
      </c>
      <c r="AJ26" s="2470"/>
      <c r="AK26" s="2470"/>
      <c r="AL26" s="2470"/>
      <c r="AM26" s="2470"/>
    </row>
    <row r="27" spans="1:40" ht="12.95" customHeight="1">
      <c r="A27" s="442"/>
      <c r="B27" s="2526" t="s">
        <v>427</v>
      </c>
      <c r="C27" s="2527"/>
      <c r="D27" s="2527"/>
      <c r="E27" s="2527"/>
      <c r="F27" s="2527"/>
      <c r="G27" s="2527"/>
      <c r="H27" s="2527"/>
      <c r="I27" s="2527"/>
      <c r="J27" s="2527"/>
      <c r="K27" s="2527"/>
      <c r="L27" s="2527"/>
      <c r="M27" s="2527"/>
      <c r="N27" s="2527"/>
      <c r="O27" s="2527"/>
      <c r="P27" s="2527"/>
      <c r="Q27" s="2527"/>
      <c r="R27" s="2527"/>
      <c r="S27" s="2528"/>
      <c r="T27" s="2503">
        <f>Application!$AG$444</f>
        <v>1</v>
      </c>
      <c r="U27" s="2504"/>
      <c r="V27" s="2504"/>
      <c r="W27" s="2504"/>
      <c r="X27" s="2504"/>
      <c r="Y27" s="2503">
        <f>Application!$AG$444</f>
        <v>1</v>
      </c>
      <c r="Z27" s="2504"/>
      <c r="AA27" s="2504"/>
      <c r="AB27" s="2504"/>
      <c r="AC27" s="2504"/>
      <c r="AD27" s="2503">
        <f>Application!$AG$444</f>
        <v>1</v>
      </c>
      <c r="AE27" s="2504"/>
      <c r="AF27" s="2504"/>
      <c r="AG27" s="2504"/>
      <c r="AH27" s="2504"/>
      <c r="AI27" s="2503">
        <f>Application!$AG$444</f>
        <v>1</v>
      </c>
      <c r="AJ27" s="2504"/>
      <c r="AK27" s="2504"/>
      <c r="AL27" s="2504"/>
      <c r="AM27" s="2504"/>
    </row>
    <row r="28" spans="1:40" ht="12.95" customHeight="1">
      <c r="A28" s="436"/>
      <c r="B28" s="2476" t="s">
        <v>515</v>
      </c>
      <c r="C28" s="2477"/>
      <c r="D28" s="2477"/>
      <c r="E28" s="2477"/>
      <c r="F28" s="2477"/>
      <c r="G28" s="2477"/>
      <c r="H28" s="2477"/>
      <c r="I28" s="2477"/>
      <c r="J28" s="2477"/>
      <c r="K28" s="2477"/>
      <c r="L28" s="2477"/>
      <c r="M28" s="2477"/>
      <c r="N28" s="2477"/>
      <c r="O28" s="2477"/>
      <c r="P28" s="2477"/>
      <c r="Q28" s="2477"/>
      <c r="R28" s="2477"/>
      <c r="S28" s="2478"/>
      <c r="T28" s="2492">
        <f>IF(ISERROR((T26*T27)),0,(T26*T27))</f>
        <v>81672178.900000006</v>
      </c>
      <c r="U28" s="2470"/>
      <c r="V28" s="2470"/>
      <c r="W28" s="2470"/>
      <c r="X28" s="2470"/>
      <c r="Y28" s="2492">
        <f>IF(ISERROR((Y26*Y27)),0,(Y26*Y27))</f>
        <v>0</v>
      </c>
      <c r="Z28" s="2470"/>
      <c r="AA28" s="2470"/>
      <c r="AB28" s="2470"/>
      <c r="AC28" s="2470"/>
      <c r="AD28" s="2492">
        <f>IF(ISERROR((AD26*AD27)),0,(AD26*AD27))</f>
        <v>0</v>
      </c>
      <c r="AE28" s="2470"/>
      <c r="AF28" s="2470"/>
      <c r="AG28" s="2470"/>
      <c r="AH28" s="2470"/>
      <c r="AI28" s="2492">
        <f>IF(ISERROR((AI26*AI27)),0,(AI26*AI27))</f>
        <v>0</v>
      </c>
      <c r="AJ28" s="2470"/>
      <c r="AK28" s="2470"/>
      <c r="AL28" s="2470"/>
      <c r="AM28" s="2470"/>
    </row>
    <row r="29" spans="1:40" ht="12.95" customHeight="1">
      <c r="B29" s="2476" t="s">
        <v>532</v>
      </c>
      <c r="C29" s="2477"/>
      <c r="D29" s="2477"/>
      <c r="E29" s="2477"/>
      <c r="F29" s="2477"/>
      <c r="G29" s="2477"/>
      <c r="H29" s="2477"/>
      <c r="I29" s="2477"/>
      <c r="J29" s="2477"/>
      <c r="K29" s="2477"/>
      <c r="L29" s="2477"/>
      <c r="M29" s="2477"/>
      <c r="N29" s="2477"/>
      <c r="O29" s="2477"/>
      <c r="P29" s="2477"/>
      <c r="Q29" s="2477"/>
      <c r="R29" s="2477"/>
      <c r="S29" s="2478"/>
      <c r="T29" s="2480">
        <f>T28+Y28+AD28+AI28</f>
        <v>81672178.900000006</v>
      </c>
      <c r="U29" s="2491"/>
      <c r="V29" s="2491"/>
      <c r="W29" s="2491"/>
      <c r="X29" s="2491"/>
      <c r="Y29" s="2491"/>
      <c r="Z29" s="2491"/>
      <c r="AA29" s="2491"/>
      <c r="AB29" s="2491"/>
      <c r="AC29" s="2491"/>
      <c r="AD29" s="2491"/>
      <c r="AE29" s="2491"/>
      <c r="AF29" s="2491"/>
      <c r="AG29" s="2491"/>
      <c r="AH29" s="2491"/>
      <c r="AI29" s="2491"/>
      <c r="AJ29" s="2491"/>
      <c r="AK29" s="2491"/>
      <c r="AL29" s="2491"/>
      <c r="AM29" s="2492"/>
    </row>
    <row r="30" spans="1:40" ht="12.95" customHeight="1">
      <c r="B30" s="2496" t="s">
        <v>1424</v>
      </c>
      <c r="C30" s="2496"/>
      <c r="D30" s="2496"/>
      <c r="E30" s="2496"/>
      <c r="F30" s="2496"/>
      <c r="G30" s="2496"/>
      <c r="H30" s="2496"/>
      <c r="I30" s="2496"/>
      <c r="J30" s="2496"/>
      <c r="K30" s="2496"/>
      <c r="L30" s="2496"/>
      <c r="M30" s="2496"/>
      <c r="N30" s="2496"/>
      <c r="O30" s="2496"/>
      <c r="P30" s="2496"/>
      <c r="Q30" s="2496"/>
      <c r="R30" s="2496"/>
      <c r="S30" s="2496"/>
      <c r="T30" s="2496"/>
      <c r="U30" s="2496"/>
      <c r="V30" s="2496"/>
      <c r="W30" s="2496"/>
      <c r="X30" s="2496"/>
      <c r="Y30" s="2496"/>
      <c r="Z30" s="2496"/>
      <c r="AA30" s="2496"/>
      <c r="AB30" s="2496"/>
      <c r="AC30" s="2496"/>
      <c r="AD30" s="2496"/>
      <c r="AE30" s="2496"/>
      <c r="AF30" s="2496"/>
      <c r="AG30" s="2496"/>
      <c r="AH30" s="2496"/>
      <c r="AI30" s="2496"/>
      <c r="AJ30" s="2496"/>
      <c r="AK30" s="2496"/>
      <c r="AL30" s="2496"/>
      <c r="AM30" s="2496"/>
    </row>
    <row r="31" spans="1:40" ht="12.95" customHeight="1">
      <c r="B31" s="2496" t="s">
        <v>1423</v>
      </c>
      <c r="C31" s="2496"/>
      <c r="D31" s="2496"/>
      <c r="E31" s="2496"/>
      <c r="F31" s="2496"/>
      <c r="G31" s="2496"/>
      <c r="H31" s="2496"/>
      <c r="I31" s="2496"/>
      <c r="J31" s="2496"/>
      <c r="K31" s="2496"/>
      <c r="L31" s="2496"/>
      <c r="M31" s="2496"/>
      <c r="N31" s="2496"/>
      <c r="O31" s="2496"/>
      <c r="P31" s="2496"/>
      <c r="Q31" s="2496"/>
      <c r="R31" s="2496"/>
      <c r="S31" s="2496"/>
      <c r="T31" s="2496"/>
      <c r="U31" s="2496"/>
      <c r="V31" s="2496"/>
      <c r="W31" s="2496"/>
      <c r="X31" s="2496"/>
      <c r="Y31" s="2496"/>
      <c r="Z31" s="2496"/>
      <c r="AA31" s="2496"/>
      <c r="AB31" s="2496"/>
      <c r="AC31" s="2496"/>
      <c r="AD31" s="2496"/>
      <c r="AE31" s="2496"/>
      <c r="AF31" s="2496"/>
      <c r="AG31" s="2496"/>
      <c r="AH31" s="2496"/>
      <c r="AI31" s="2496"/>
      <c r="AJ31" s="2496"/>
      <c r="AK31" s="2496"/>
      <c r="AL31" s="2496"/>
      <c r="AM31" s="2496"/>
      <c r="AN31" s="553"/>
    </row>
    <row r="32" spans="1:40" ht="12.95" customHeight="1">
      <c r="B32" s="467"/>
      <c r="C32" s="546" t="s">
        <v>388</v>
      </c>
      <c r="D32" s="467"/>
      <c r="E32" s="467"/>
      <c r="F32" s="467"/>
      <c r="G32" s="467"/>
      <c r="H32" s="467"/>
      <c r="I32" s="467"/>
      <c r="J32" s="467"/>
      <c r="K32" s="467"/>
      <c r="L32" s="467"/>
      <c r="M32" s="467"/>
      <c r="N32" s="467"/>
      <c r="O32" s="467"/>
      <c r="P32" s="467"/>
      <c r="Q32" s="467"/>
      <c r="R32" s="467"/>
      <c r="S32" s="467"/>
      <c r="T32" s="467"/>
      <c r="U32" s="467"/>
      <c r="V32" s="467"/>
      <c r="W32" s="467"/>
      <c r="X32" s="467"/>
      <c r="Y32" s="467"/>
      <c r="Z32" s="467"/>
      <c r="AA32" s="467"/>
      <c r="AB32" s="467"/>
      <c r="AC32" s="467"/>
      <c r="AD32" s="467"/>
      <c r="AE32" s="467"/>
      <c r="AF32" s="467"/>
      <c r="AG32" s="467"/>
      <c r="AH32" s="467"/>
      <c r="AI32" s="467"/>
      <c r="AJ32" s="467"/>
      <c r="AK32" s="467"/>
      <c r="AL32" s="467"/>
      <c r="AM32" s="467"/>
    </row>
    <row r="34" spans="1:76" ht="12.95" customHeight="1">
      <c r="A34" s="436" t="s">
        <v>585</v>
      </c>
      <c r="C34" s="436" t="s">
        <v>577</v>
      </c>
    </row>
    <row r="35" spans="1:76" ht="12.95" customHeight="1">
      <c r="B35" s="437"/>
      <c r="C35" s="438"/>
      <c r="D35" s="438"/>
      <c r="E35" s="438"/>
      <c r="F35" s="438"/>
      <c r="G35" s="438"/>
      <c r="H35" s="438"/>
      <c r="I35" s="438"/>
      <c r="J35" s="438"/>
      <c r="K35" s="438"/>
      <c r="L35" s="438"/>
      <c r="M35" s="438"/>
      <c r="N35" s="438"/>
      <c r="O35" s="438"/>
      <c r="P35" s="438"/>
      <c r="Q35" s="438"/>
      <c r="R35" s="438"/>
      <c r="S35" s="438"/>
      <c r="T35" s="438"/>
      <c r="U35" s="438"/>
      <c r="V35" s="438"/>
      <c r="W35" s="438"/>
      <c r="X35" s="443"/>
      <c r="Y35" s="2493" t="s">
        <v>1293</v>
      </c>
      <c r="Z35" s="2493"/>
      <c r="AA35" s="2493"/>
      <c r="AB35" s="2493"/>
      <c r="AC35" s="2493"/>
      <c r="AD35" s="2494" t="s">
        <v>370</v>
      </c>
      <c r="AE35" s="2494"/>
      <c r="AF35" s="2494"/>
      <c r="AG35" s="2494"/>
      <c r="AH35" s="2494"/>
    </row>
    <row r="36" spans="1:76" ht="12.95" customHeight="1">
      <c r="B36" s="439"/>
      <c r="X36" s="444"/>
      <c r="Y36" s="2493"/>
      <c r="Z36" s="2493"/>
      <c r="AA36" s="2493"/>
      <c r="AB36" s="2493"/>
      <c r="AC36" s="2493"/>
      <c r="AD36" s="2494"/>
      <c r="AE36" s="2494"/>
      <c r="AF36" s="2494"/>
      <c r="AG36" s="2494"/>
      <c r="AH36" s="2494"/>
    </row>
    <row r="37" spans="1:76" ht="12.95" customHeight="1">
      <c r="B37" s="440"/>
      <c r="C37" s="441"/>
      <c r="D37" s="441"/>
      <c r="E37" s="441"/>
      <c r="F37" s="441"/>
      <c r="G37" s="441"/>
      <c r="H37" s="441"/>
      <c r="I37" s="441"/>
      <c r="J37" s="441"/>
      <c r="K37" s="441"/>
      <c r="L37" s="441"/>
      <c r="M37" s="441"/>
      <c r="N37" s="441"/>
      <c r="O37" s="441"/>
      <c r="P37" s="441"/>
      <c r="Q37" s="441"/>
      <c r="R37" s="441"/>
      <c r="S37" s="441"/>
      <c r="T37" s="441"/>
      <c r="U37" s="441"/>
      <c r="V37" s="441"/>
      <c r="W37" s="441"/>
      <c r="X37" s="445"/>
      <c r="Y37" s="2493"/>
      <c r="Z37" s="2493"/>
      <c r="AA37" s="2493"/>
      <c r="AB37" s="2493"/>
      <c r="AC37" s="2493"/>
      <c r="AD37" s="2494"/>
      <c r="AE37" s="2494"/>
      <c r="AF37" s="2494"/>
      <c r="AG37" s="2494"/>
      <c r="AH37" s="2494"/>
    </row>
    <row r="38" spans="1:76" ht="12.95" customHeight="1">
      <c r="A38" s="436"/>
      <c r="B38" s="2476" t="s">
        <v>515</v>
      </c>
      <c r="C38" s="2477"/>
      <c r="D38" s="2477"/>
      <c r="E38" s="2477"/>
      <c r="F38" s="2477"/>
      <c r="G38" s="2477"/>
      <c r="H38" s="2477"/>
      <c r="I38" s="2477"/>
      <c r="J38" s="2477"/>
      <c r="K38" s="2477"/>
      <c r="L38" s="2477"/>
      <c r="M38" s="2477"/>
      <c r="N38" s="2477"/>
      <c r="O38" s="2477"/>
      <c r="P38" s="2477"/>
      <c r="Q38" s="2477"/>
      <c r="R38" s="2477"/>
      <c r="S38" s="2477"/>
      <c r="T38" s="2477"/>
      <c r="U38" s="2477"/>
      <c r="V38" s="2477"/>
      <c r="W38" s="2477"/>
      <c r="X38" s="2478"/>
      <c r="Y38" s="2470">
        <f>IF(T24&gt;=(T23+Y23+AD23+AI23),T28+Y28,0)</f>
        <v>81672178.900000006</v>
      </c>
      <c r="Z38" s="2470"/>
      <c r="AA38" s="2470"/>
      <c r="AB38" s="2470"/>
      <c r="AC38" s="2470"/>
      <c r="AD38" s="2470">
        <f>IF(T24&gt;=(T23+Y23+AD23+AI23),AD28+AI28,0)</f>
        <v>0</v>
      </c>
      <c r="AE38" s="2470"/>
      <c r="AF38" s="2470"/>
      <c r="AG38" s="2470"/>
      <c r="AH38" s="2470"/>
    </row>
    <row r="39" spans="1:76" ht="12.95" customHeight="1">
      <c r="B39" s="2476" t="s">
        <v>1951</v>
      </c>
      <c r="C39" s="2477"/>
      <c r="D39" s="2477"/>
      <c r="E39" s="2477"/>
      <c r="F39" s="2477"/>
      <c r="G39" s="2477"/>
      <c r="H39" s="2477"/>
      <c r="I39" s="2477"/>
      <c r="J39" s="2477"/>
      <c r="K39" s="2477"/>
      <c r="L39" s="2477"/>
      <c r="M39" s="2477"/>
      <c r="N39" s="2477"/>
      <c r="O39" s="2477"/>
      <c r="P39" s="2477"/>
      <c r="Q39" s="2477"/>
      <c r="R39" s="2477"/>
      <c r="S39" s="2477"/>
      <c r="T39" s="2477"/>
      <c r="U39" s="2477"/>
      <c r="V39" s="2477"/>
      <c r="W39" s="2477"/>
      <c r="X39" s="2478"/>
      <c r="Y39" s="2495">
        <v>0.04</v>
      </c>
      <c r="Z39" s="2495"/>
      <c r="AA39" s="2495"/>
      <c r="AB39" s="2495"/>
      <c r="AC39" s="2495"/>
      <c r="AD39" s="2495">
        <v>0.04</v>
      </c>
      <c r="AE39" s="2495"/>
      <c r="AF39" s="2495"/>
      <c r="AG39" s="2495"/>
      <c r="AH39" s="2495"/>
    </row>
    <row r="40" spans="1:76" ht="12.95" customHeight="1">
      <c r="A40" s="436"/>
      <c r="B40" s="2476" t="s">
        <v>651</v>
      </c>
      <c r="C40" s="2477"/>
      <c r="D40" s="2477"/>
      <c r="E40" s="2477"/>
      <c r="F40" s="2477"/>
      <c r="G40" s="2477"/>
      <c r="H40" s="2477"/>
      <c r="I40" s="2477"/>
      <c r="J40" s="2477"/>
      <c r="K40" s="2477"/>
      <c r="L40" s="2477"/>
      <c r="M40" s="2477"/>
      <c r="N40" s="2477"/>
      <c r="O40" s="2477"/>
      <c r="P40" s="2477"/>
      <c r="Q40" s="2477"/>
      <c r="R40" s="2477"/>
      <c r="S40" s="2477"/>
      <c r="T40" s="2477"/>
      <c r="U40" s="2477"/>
      <c r="V40" s="2477"/>
      <c r="W40" s="2477"/>
      <c r="X40" s="2478"/>
      <c r="Y40" s="2470">
        <f>ROUND(Y38*Y39,0)</f>
        <v>3266887</v>
      </c>
      <c r="Z40" s="2470"/>
      <c r="AA40" s="2470"/>
      <c r="AB40" s="2470"/>
      <c r="AC40" s="2470"/>
      <c r="AD40" s="2492">
        <f>ROUND(AD38*AD39,0)</f>
        <v>0</v>
      </c>
      <c r="AE40" s="2470"/>
      <c r="AF40" s="2470"/>
      <c r="AG40" s="2470"/>
      <c r="AH40" s="2470"/>
    </row>
    <row r="41" spans="1:76" ht="12.95" customHeight="1">
      <c r="B41" s="2476" t="s">
        <v>652</v>
      </c>
      <c r="C41" s="2477"/>
      <c r="D41" s="2477"/>
      <c r="E41" s="2477"/>
      <c r="F41" s="2477"/>
      <c r="G41" s="2477"/>
      <c r="H41" s="2477"/>
      <c r="I41" s="2477"/>
      <c r="J41" s="2477"/>
      <c r="K41" s="2477"/>
      <c r="L41" s="2477"/>
      <c r="M41" s="2477"/>
      <c r="N41" s="2477"/>
      <c r="O41" s="2477"/>
      <c r="P41" s="2477"/>
      <c r="Q41" s="2477"/>
      <c r="R41" s="2477"/>
      <c r="S41" s="2477"/>
      <c r="T41" s="2477"/>
      <c r="U41" s="2477"/>
      <c r="V41" s="2477"/>
      <c r="W41" s="2477"/>
      <c r="X41" s="2478"/>
      <c r="Y41" s="2480">
        <f>Y40+AD40</f>
        <v>3266887</v>
      </c>
      <c r="Z41" s="2491"/>
      <c r="AA41" s="2491"/>
      <c r="AB41" s="2491"/>
      <c r="AC41" s="2491"/>
      <c r="AD41" s="2491"/>
      <c r="AE41" s="2491"/>
      <c r="AF41" s="2491"/>
      <c r="AG41" s="2491"/>
      <c r="AH41" s="2492"/>
    </row>
    <row r="42" spans="1:76" ht="12.95" customHeight="1">
      <c r="A42" s="436"/>
      <c r="B42" s="967"/>
      <c r="C42" s="967"/>
      <c r="D42" s="967"/>
      <c r="E42" s="967"/>
      <c r="F42" s="967"/>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row>
    <row r="43" spans="1:76" ht="12.95" customHeight="1">
      <c r="B43" s="446"/>
      <c r="C43" s="446"/>
      <c r="D43" s="446"/>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row>
    <row r="44" spans="1:76" s="218" customFormat="1" ht="12.95" customHeight="1" thickBot="1">
      <c r="A44" s="2490" t="s">
        <v>1434</v>
      </c>
      <c r="B44" s="2490"/>
      <c r="C44" s="2490"/>
      <c r="D44" s="2490"/>
      <c r="E44" s="2490"/>
      <c r="F44" s="2490"/>
      <c r="G44" s="2490"/>
      <c r="H44" s="2490"/>
      <c r="I44" s="2490"/>
      <c r="J44" s="2490"/>
      <c r="K44" s="2490"/>
      <c r="L44" s="2490"/>
      <c r="M44" s="2490"/>
      <c r="N44" s="2490"/>
      <c r="O44" s="2490"/>
      <c r="P44" s="2490"/>
      <c r="Q44" s="2490"/>
      <c r="R44" s="2490"/>
      <c r="S44" s="2490"/>
      <c r="T44" s="2490"/>
      <c r="U44" s="2490"/>
      <c r="V44" s="2490"/>
      <c r="W44" s="2490"/>
      <c r="X44" s="2490"/>
      <c r="Y44" s="2490"/>
      <c r="Z44" s="2490"/>
      <c r="AA44" s="2490"/>
      <c r="AB44" s="2490"/>
      <c r="AC44" s="2490"/>
      <c r="AD44" s="2490"/>
      <c r="AE44" s="2490"/>
      <c r="AF44" s="2490"/>
      <c r="AG44" s="2490"/>
      <c r="AH44" s="2490"/>
      <c r="AI44" s="2490"/>
      <c r="AJ44" s="2490"/>
      <c r="AK44" s="2490"/>
      <c r="AL44" s="2490"/>
      <c r="AM44" s="2490"/>
      <c r="AN44" s="2490"/>
      <c r="AO44" s="2490"/>
      <c r="AP44" s="2490"/>
      <c r="AQ44" s="2490"/>
      <c r="AR44" s="2490"/>
      <c r="AS44" s="2490"/>
      <c r="AT44" s="2490"/>
      <c r="AU44" s="2490"/>
      <c r="AV44" s="2490"/>
      <c r="AW44" s="2490"/>
      <c r="AX44" s="2490"/>
      <c r="AY44" s="2490"/>
      <c r="AZ44" s="2490"/>
      <c r="BA44" s="2490"/>
      <c r="BB44" s="2490"/>
      <c r="BC44" s="2490"/>
      <c r="BD44" s="2490"/>
      <c r="BE44" s="2490"/>
      <c r="BF44" s="2490"/>
      <c r="BG44" s="2490"/>
      <c r="BH44" s="2490"/>
      <c r="BI44" s="2490"/>
      <c r="BJ44" s="2490"/>
      <c r="BK44" s="2490"/>
      <c r="BL44" s="2490"/>
      <c r="BM44" s="2490"/>
      <c r="BN44" s="2490"/>
      <c r="BO44" s="2490"/>
      <c r="BP44" s="2490"/>
      <c r="BQ44" s="2490"/>
      <c r="BR44" s="2490"/>
      <c r="BS44" s="2490"/>
      <c r="BT44" s="2490"/>
      <c r="BU44" s="2490"/>
      <c r="BV44" s="2490"/>
      <c r="BW44" s="2490"/>
      <c r="BX44" s="2490"/>
    </row>
    <row r="45" spans="1:76" s="218" customFormat="1" ht="12.95" customHeight="1" thickTop="1"/>
    <row r="46" spans="1:76" ht="12.95" customHeight="1">
      <c r="A46" s="436" t="s">
        <v>595</v>
      </c>
      <c r="C46" s="436" t="s">
        <v>283</v>
      </c>
    </row>
    <row r="47" spans="1:76" ht="12.95" customHeight="1">
      <c r="D47" s="436" t="s">
        <v>284</v>
      </c>
      <c r="AB47" s="2484">
        <f>'Sources and Uses Budget'!B105-MAX(IF('Sources and Uses Budget'!B15="",0,'Sources and Uses Budget'!B15),IF(Application!AG393="",0,Application!AG393))</f>
        <v>67239893</v>
      </c>
      <c r="AC47" s="2485"/>
      <c r="AD47" s="2485"/>
      <c r="AE47" s="2485"/>
      <c r="AF47" s="2486"/>
    </row>
    <row r="48" spans="1:76" ht="12.95" customHeight="1">
      <c r="D48" s="436" t="s">
        <v>21</v>
      </c>
      <c r="AB48" s="2484">
        <f>Application!AO635-MAX(IF('Sources and Uses Budget'!B15="",0,'Sources and Uses Budget'!B15),IF(Application!AG393="",0,Application!AG393))</f>
        <v>28316552</v>
      </c>
      <c r="AC48" s="2485"/>
      <c r="AD48" s="2485"/>
      <c r="AE48" s="2485"/>
      <c r="AF48" s="2486"/>
    </row>
    <row r="49" spans="1:76" ht="12.95" customHeight="1">
      <c r="D49" s="436" t="s">
        <v>92</v>
      </c>
      <c r="AB49" s="2484">
        <f>AB47-AB48</f>
        <v>38923341</v>
      </c>
      <c r="AC49" s="2485"/>
      <c r="AD49" s="2485"/>
      <c r="AE49" s="2485"/>
      <c r="AF49" s="2486"/>
    </row>
    <row r="50" spans="1:76" ht="12.95" customHeight="1">
      <c r="D50" s="436" t="s">
        <v>690</v>
      </c>
      <c r="AA50" s="447"/>
      <c r="AB50" s="2472">
        <f>0.88*0.9999</f>
        <v>0.87991200000000003</v>
      </c>
      <c r="AC50" s="2473"/>
      <c r="AD50" s="2473"/>
      <c r="AE50" s="2473"/>
      <c r="AF50" s="2474"/>
    </row>
    <row r="51" spans="1:76" s="449" customFormat="1" ht="12.95" customHeight="1">
      <c r="A51" s="434"/>
      <c r="B51" s="434"/>
      <c r="C51" s="434"/>
      <c r="D51" s="434"/>
      <c r="E51" s="2483" t="s">
        <v>2112</v>
      </c>
      <c r="F51" s="2483"/>
      <c r="G51" s="2483"/>
      <c r="H51" s="2483"/>
      <c r="I51" s="2483"/>
      <c r="J51" s="2483"/>
      <c r="K51" s="2483"/>
      <c r="L51" s="2483"/>
      <c r="M51" s="2483"/>
      <c r="N51" s="2483"/>
      <c r="O51" s="2483"/>
      <c r="P51" s="2483"/>
      <c r="Q51" s="2483"/>
      <c r="R51" s="2483"/>
      <c r="S51" s="2483"/>
      <c r="T51" s="2483"/>
      <c r="U51" s="2483"/>
      <c r="V51" s="2483"/>
      <c r="W51" s="2483"/>
      <c r="X51" s="2483"/>
      <c r="Y51" s="2483"/>
      <c r="Z51" s="2483"/>
      <c r="AA51" s="448"/>
      <c r="AB51" s="448"/>
      <c r="AC51" s="448"/>
      <c r="AD51" s="448"/>
      <c r="AE51" s="448"/>
      <c r="AF51" s="448"/>
      <c r="AG51" s="434"/>
      <c r="AH51" s="434"/>
      <c r="AI51" s="434"/>
      <c r="AJ51" s="434"/>
      <c r="AK51" s="434"/>
      <c r="AL51" s="434"/>
      <c r="AM51" s="434"/>
      <c r="AN51" s="434"/>
    </row>
    <row r="52" spans="1:76" s="449" customFormat="1" ht="12.95" customHeight="1">
      <c r="A52" s="434"/>
      <c r="B52" s="434"/>
      <c r="C52" s="434"/>
      <c r="D52" s="434"/>
      <c r="E52" s="2483"/>
      <c r="F52" s="2483"/>
      <c r="G52" s="2483"/>
      <c r="H52" s="2483"/>
      <c r="I52" s="2483"/>
      <c r="J52" s="2483"/>
      <c r="K52" s="2483"/>
      <c r="L52" s="2483"/>
      <c r="M52" s="2483"/>
      <c r="N52" s="2483"/>
      <c r="O52" s="2483"/>
      <c r="P52" s="2483"/>
      <c r="Q52" s="2483"/>
      <c r="R52" s="2483"/>
      <c r="S52" s="2483"/>
      <c r="T52" s="2483"/>
      <c r="U52" s="2483"/>
      <c r="V52" s="2483"/>
      <c r="W52" s="2483"/>
      <c r="X52" s="2483"/>
      <c r="Y52" s="2483"/>
      <c r="Z52" s="2483"/>
      <c r="AA52" s="450"/>
      <c r="AB52" s="450"/>
      <c r="AC52" s="450"/>
      <c r="AD52" s="450"/>
      <c r="AE52" s="450"/>
      <c r="AF52" s="450"/>
      <c r="AG52" s="451"/>
      <c r="AH52" s="434"/>
      <c r="AI52" s="434"/>
      <c r="AJ52" s="434"/>
      <c r="AK52" s="434"/>
      <c r="AL52" s="434"/>
      <c r="AM52" s="434"/>
      <c r="AN52" s="434"/>
    </row>
    <row r="53" spans="1:76" ht="12.95" customHeight="1">
      <c r="E53" s="448"/>
      <c r="F53" s="448"/>
      <c r="G53" s="448"/>
      <c r="H53" s="448"/>
      <c r="I53" s="448"/>
      <c r="J53" s="448"/>
      <c r="K53" s="448"/>
      <c r="L53" s="448"/>
      <c r="M53" s="448"/>
      <c r="N53" s="448"/>
      <c r="O53" s="448"/>
      <c r="P53" s="448"/>
      <c r="Q53" s="448"/>
      <c r="R53" s="448"/>
      <c r="S53" s="448"/>
      <c r="T53" s="448"/>
      <c r="U53" s="448"/>
      <c r="V53" s="448"/>
      <c r="W53" s="448"/>
      <c r="X53" s="448"/>
      <c r="Y53" s="448"/>
      <c r="Z53" s="448"/>
    </row>
    <row r="54" spans="1:76" ht="12.95" customHeight="1">
      <c r="D54" s="436" t="s">
        <v>333</v>
      </c>
      <c r="AB54" s="2484">
        <f>ROUND(IF(ISERROR((AB49/AB50)),0,(AB49/AB50)),0)</f>
        <v>44235493</v>
      </c>
      <c r="AC54" s="2485"/>
      <c r="AD54" s="2485"/>
      <c r="AE54" s="2485"/>
      <c r="AF54" s="2486"/>
    </row>
    <row r="55" spans="1:76" ht="12.95" customHeight="1">
      <c r="D55" s="436" t="s">
        <v>334</v>
      </c>
      <c r="AB55" s="2484">
        <f>(AB54/10)</f>
        <v>4423549.3</v>
      </c>
      <c r="AC55" s="2485"/>
      <c r="AD55" s="2485"/>
      <c r="AE55" s="2485"/>
      <c r="AF55" s="2486"/>
    </row>
    <row r="56" spans="1:76" ht="12.95" customHeight="1">
      <c r="D56" s="436" t="s">
        <v>768</v>
      </c>
      <c r="AB56" s="2487">
        <f>(IF((Y41&lt;AB55),Y41,AB55))</f>
        <v>3266887</v>
      </c>
      <c r="AC56" s="2488"/>
      <c r="AD56" s="2488"/>
      <c r="AE56" s="2488"/>
      <c r="AF56" s="2489"/>
    </row>
    <row r="57" spans="1:76" ht="12.95" customHeight="1">
      <c r="D57" s="436" t="s">
        <v>767</v>
      </c>
      <c r="AB57" s="2484">
        <f>ROUND((10*AB56*AB50),0)</f>
        <v>28745731</v>
      </c>
      <c r="AC57" s="2485"/>
      <c r="AD57" s="2485"/>
      <c r="AE57" s="2485"/>
      <c r="AF57" s="2486"/>
    </row>
    <row r="58" spans="1:76" ht="12.95" customHeight="1">
      <c r="D58" s="436"/>
      <c r="AB58" s="455"/>
      <c r="AC58" s="455"/>
      <c r="AD58" s="455"/>
      <c r="AE58" s="455"/>
      <c r="AF58" s="455"/>
    </row>
    <row r="59" spans="1:76" ht="12.95" customHeight="1">
      <c r="D59" s="436" t="s">
        <v>766</v>
      </c>
      <c r="AB59" s="2468">
        <f>AB49-AB57</f>
        <v>10177610</v>
      </c>
      <c r="AC59" s="2468"/>
      <c r="AD59" s="2468"/>
      <c r="AE59" s="2468"/>
      <c r="AF59" s="2468"/>
    </row>
    <row r="60" spans="1:76" ht="12.95" customHeight="1">
      <c r="D60" s="436"/>
      <c r="AB60" s="455"/>
      <c r="AC60" s="455"/>
      <c r="AD60" s="455"/>
      <c r="AE60" s="455"/>
      <c r="AF60" s="455"/>
    </row>
    <row r="61" spans="1:76" s="218" customFormat="1" ht="12.95" customHeight="1" thickBot="1">
      <c r="A61" s="2490" t="str">
        <f>IF(Application!AP204="yes","Farmworker State Credit", "State Credit" )</f>
        <v>State Credit</v>
      </c>
      <c r="B61" s="2490"/>
      <c r="C61" s="2490"/>
      <c r="D61" s="2490"/>
      <c r="E61" s="2490"/>
      <c r="F61" s="2490"/>
      <c r="G61" s="2490"/>
      <c r="H61" s="2490"/>
      <c r="I61" s="2490"/>
      <c r="J61" s="2490"/>
      <c r="K61" s="2490"/>
      <c r="L61" s="2490"/>
      <c r="M61" s="2490"/>
      <c r="N61" s="2490"/>
      <c r="O61" s="2490"/>
      <c r="P61" s="2490"/>
      <c r="Q61" s="2490"/>
      <c r="R61" s="2490"/>
      <c r="S61" s="2490"/>
      <c r="T61" s="2490"/>
      <c r="U61" s="2490"/>
      <c r="V61" s="2490"/>
      <c r="W61" s="2490"/>
      <c r="X61" s="2490"/>
      <c r="Y61" s="2490"/>
      <c r="Z61" s="2490"/>
      <c r="AA61" s="2490"/>
      <c r="AB61" s="2490"/>
      <c r="AC61" s="2490"/>
      <c r="AD61" s="2490"/>
      <c r="AE61" s="2490"/>
      <c r="AF61" s="2490"/>
      <c r="AG61" s="2490"/>
      <c r="AH61" s="2490"/>
      <c r="AI61" s="2490"/>
      <c r="AJ61" s="2490"/>
      <c r="AK61" s="2490"/>
      <c r="AL61" s="2490"/>
      <c r="AM61" s="2490"/>
      <c r="AN61" s="2490"/>
      <c r="AO61" s="2490"/>
      <c r="AP61" s="2490"/>
      <c r="AQ61" s="2490"/>
      <c r="AR61" s="2490"/>
      <c r="AS61" s="2490"/>
      <c r="AT61" s="2490"/>
      <c r="AU61" s="2490"/>
      <c r="AV61" s="2490"/>
      <c r="AW61" s="2490"/>
      <c r="AX61" s="2490"/>
      <c r="AY61" s="2490"/>
      <c r="AZ61" s="2490"/>
      <c r="BA61" s="2490"/>
      <c r="BB61" s="2490"/>
      <c r="BC61" s="2490"/>
      <c r="BD61" s="2490"/>
      <c r="BE61" s="2490"/>
      <c r="BF61" s="2490"/>
      <c r="BG61" s="2490"/>
      <c r="BH61" s="2490"/>
      <c r="BI61" s="2490"/>
      <c r="BJ61" s="2490"/>
      <c r="BK61" s="2490"/>
      <c r="BL61" s="2490"/>
      <c r="BM61" s="2490"/>
      <c r="BN61" s="2490"/>
      <c r="BO61" s="2490"/>
      <c r="BP61" s="2490"/>
      <c r="BQ61" s="2490"/>
      <c r="BR61" s="2490"/>
      <c r="BS61" s="2490"/>
      <c r="BT61" s="2490"/>
      <c r="BU61" s="2490"/>
      <c r="BV61" s="2490"/>
      <c r="BW61" s="2490"/>
      <c r="BX61" s="2490"/>
    </row>
    <row r="62" spans="1:76" s="218" customFormat="1" ht="12.95" customHeight="1" thickTop="1"/>
    <row r="63" spans="1:76" ht="12.95" customHeight="1">
      <c r="A63" s="436" t="s">
        <v>598</v>
      </c>
      <c r="C63" s="219" t="s">
        <v>1405</v>
      </c>
      <c r="Y63" s="2479" t="s">
        <v>1024</v>
      </c>
      <c r="Z63" s="2479"/>
      <c r="AA63" s="2479"/>
      <c r="AB63" s="2479"/>
      <c r="AC63" s="2479"/>
      <c r="AD63" s="2479" t="s">
        <v>370</v>
      </c>
      <c r="AE63" s="2479"/>
      <c r="AF63" s="2479"/>
      <c r="AG63" s="2479"/>
      <c r="AH63" s="2479"/>
    </row>
    <row r="64" spans="1:76" ht="12.95" customHeight="1">
      <c r="C64" s="436"/>
      <c r="D64" s="409" t="s">
        <v>1406</v>
      </c>
      <c r="E64" s="452"/>
      <c r="F64" s="452"/>
      <c r="G64" s="452"/>
      <c r="H64" s="452"/>
      <c r="I64" s="452"/>
      <c r="J64" s="452"/>
      <c r="K64" s="452"/>
      <c r="L64" s="452"/>
      <c r="M64" s="452"/>
      <c r="N64" s="452"/>
      <c r="O64" s="452"/>
      <c r="P64" s="452"/>
      <c r="Q64" s="452"/>
      <c r="R64" s="452"/>
      <c r="S64" s="452"/>
      <c r="T64" s="452"/>
      <c r="U64" s="452"/>
      <c r="V64" s="452"/>
      <c r="W64" s="452"/>
      <c r="X64" s="452"/>
      <c r="Y64" s="2480">
        <f>IF(Application!Z204="(select)",0,((T23*T27)+Y28))</f>
        <v>62824753</v>
      </c>
      <c r="Z64" s="2481"/>
      <c r="AA64" s="2481"/>
      <c r="AB64" s="2481"/>
      <c r="AC64" s="2482"/>
      <c r="AD64" s="2480">
        <f>IF(AND(OR(Application!D210="At-Risk",Application!D210="At-Risk and Special Needs"),Application!M357="yes"),AD28+AI28,0)</f>
        <v>0</v>
      </c>
      <c r="AE64" s="2481"/>
      <c r="AF64" s="2481"/>
      <c r="AG64" s="2481"/>
      <c r="AH64" s="2482"/>
    </row>
    <row r="65" spans="1:36" ht="12.95" customHeight="1">
      <c r="C65" s="436"/>
      <c r="E65" s="1054" t="s">
        <v>2110</v>
      </c>
      <c r="F65" s="473"/>
      <c r="G65" s="473"/>
      <c r="H65" s="473"/>
      <c r="I65" s="473"/>
      <c r="J65" s="473"/>
      <c r="K65" s="473"/>
      <c r="L65" s="473"/>
      <c r="M65" s="473"/>
      <c r="N65" s="473"/>
      <c r="O65" s="473"/>
      <c r="P65" s="473"/>
      <c r="Q65" s="473"/>
      <c r="R65" s="473"/>
      <c r="S65" s="473"/>
      <c r="T65" s="473"/>
      <c r="U65" s="473"/>
      <c r="V65" s="473"/>
      <c r="W65" s="473"/>
      <c r="X65" s="473"/>
      <c r="Y65" s="473"/>
      <c r="Z65" s="473"/>
      <c r="AA65" s="473"/>
      <c r="AB65" s="473"/>
      <c r="AC65" s="473"/>
      <c r="AD65" s="473"/>
      <c r="AE65" s="473"/>
      <c r="AF65" s="473"/>
      <c r="AG65" s="473"/>
      <c r="AH65" s="473"/>
      <c r="AI65" s="473"/>
      <c r="AJ65" s="473"/>
    </row>
    <row r="66" spans="1:36" ht="22.5" customHeight="1">
      <c r="C66" s="436"/>
      <c r="E66" s="1054" t="s">
        <v>2111</v>
      </c>
      <c r="F66" s="473"/>
      <c r="G66" s="473"/>
      <c r="H66" s="473"/>
      <c r="I66" s="473"/>
      <c r="J66" s="473"/>
      <c r="K66" s="473"/>
      <c r="L66" s="473"/>
      <c r="M66" s="473"/>
      <c r="N66" s="473"/>
      <c r="O66" s="473"/>
      <c r="P66" s="473"/>
      <c r="Q66" s="473"/>
      <c r="R66" s="473"/>
      <c r="S66" s="473"/>
      <c r="T66" s="473"/>
      <c r="U66" s="473"/>
      <c r="V66" s="473"/>
      <c r="W66" s="473"/>
      <c r="X66" s="473"/>
      <c r="Y66" s="473"/>
      <c r="Z66" s="473"/>
      <c r="AA66" s="473"/>
      <c r="AB66" s="473"/>
      <c r="AC66" s="473"/>
      <c r="AD66" s="473"/>
      <c r="AE66" s="473"/>
      <c r="AF66" s="473"/>
      <c r="AG66" s="473"/>
      <c r="AH66" s="473"/>
      <c r="AI66" s="473"/>
      <c r="AJ66" s="473"/>
    </row>
    <row r="67" spans="1:36" ht="12.95" customHeight="1">
      <c r="C67" s="436"/>
      <c r="D67" s="436" t="s">
        <v>271</v>
      </c>
      <c r="E67" s="453"/>
      <c r="F67" s="453"/>
      <c r="G67" s="453"/>
      <c r="H67" s="453"/>
      <c r="I67" s="453"/>
      <c r="J67" s="453"/>
      <c r="K67" s="453"/>
      <c r="L67" s="453"/>
      <c r="M67" s="453"/>
      <c r="N67" s="453"/>
      <c r="O67" s="453"/>
      <c r="P67" s="453"/>
      <c r="Q67" s="453"/>
      <c r="R67" s="453"/>
      <c r="S67" s="453"/>
      <c r="T67" s="453"/>
      <c r="U67" s="453"/>
      <c r="V67" s="453"/>
      <c r="W67" s="453"/>
      <c r="X67" s="453"/>
      <c r="Y67" s="2469">
        <f>IF(Application!AP204="yes",0.75,IF(Application!Z203="15% set-aside",0.13,IF(Application!Z203="15% set-aside with qualifying low value rehab",0.95,0.3)))</f>
        <v>0.3</v>
      </c>
      <c r="Z67" s="2469"/>
      <c r="AA67" s="2469"/>
      <c r="AB67" s="2469"/>
      <c r="AC67" s="2469"/>
      <c r="AD67" s="2469">
        <f>IF(Application!Z203="15% set-aside with qualifying low value rehab", 0.95,0.13)</f>
        <v>0.13</v>
      </c>
      <c r="AE67" s="2469"/>
      <c r="AF67" s="2469"/>
      <c r="AG67" s="2469"/>
      <c r="AH67" s="2469"/>
    </row>
    <row r="68" spans="1:36" ht="12.95" customHeight="1">
      <c r="C68" s="436"/>
      <c r="D68" s="219" t="s">
        <v>1407</v>
      </c>
      <c r="Y68" s="2470">
        <f>ROUND(Y64*Y67,0)</f>
        <v>18847426</v>
      </c>
      <c r="Z68" s="2471"/>
      <c r="AA68" s="2471"/>
      <c r="AB68" s="2471"/>
      <c r="AC68" s="2471"/>
      <c r="AD68" s="2470">
        <f>ROUND(AD64*AD67,0)</f>
        <v>0</v>
      </c>
      <c r="AE68" s="2471"/>
      <c r="AF68" s="2471"/>
      <c r="AG68" s="2471"/>
      <c r="AH68" s="2471"/>
    </row>
    <row r="69" spans="1:36" ht="12.95" customHeight="1">
      <c r="C69" s="436"/>
      <c r="E69" s="436"/>
      <c r="AB69" s="454"/>
      <c r="AC69" s="454"/>
      <c r="AD69" s="454"/>
      <c r="AE69" s="454"/>
      <c r="AF69" s="454"/>
    </row>
    <row r="70" spans="1:36" ht="12.95" customHeight="1">
      <c r="A70" s="436" t="s">
        <v>599</v>
      </c>
      <c r="C70" s="219" t="s">
        <v>285</v>
      </c>
    </row>
    <row r="71" spans="1:36" ht="12.95" customHeight="1">
      <c r="A71" s="436"/>
      <c r="C71" s="436"/>
      <c r="D71" s="219" t="s">
        <v>1408</v>
      </c>
      <c r="AB71" s="2472">
        <v>0.75</v>
      </c>
      <c r="AC71" s="2473"/>
      <c r="AD71" s="2473"/>
      <c r="AE71" s="2473"/>
      <c r="AF71" s="2474"/>
    </row>
    <row r="72" spans="1:36" ht="12.95" customHeight="1">
      <c r="A72" s="436"/>
      <c r="C72" s="436"/>
      <c r="D72" s="436"/>
      <c r="E72" s="2475" t="s">
        <v>1409</v>
      </c>
      <c r="F72" s="2475"/>
      <c r="G72" s="2475"/>
      <c r="H72" s="2475"/>
      <c r="I72" s="2475"/>
      <c r="J72" s="2475"/>
      <c r="K72" s="2475"/>
      <c r="L72" s="2475"/>
      <c r="M72" s="2475"/>
      <c r="N72" s="2475"/>
      <c r="O72" s="2475"/>
      <c r="P72" s="2475"/>
      <c r="Q72" s="2475"/>
      <c r="R72" s="2475"/>
      <c r="S72" s="2475"/>
      <c r="T72" s="2475"/>
      <c r="U72" s="2475"/>
      <c r="V72" s="2475"/>
      <c r="W72" s="2475"/>
      <c r="X72" s="2475"/>
      <c r="Y72" s="2475"/>
      <c r="Z72" s="2475"/>
      <c r="AA72" s="2475"/>
      <c r="AB72" s="472"/>
      <c r="AC72" s="472"/>
    </row>
    <row r="73" spans="1:36" ht="12.95" customHeight="1">
      <c r="A73" s="436"/>
      <c r="C73" s="436"/>
      <c r="D73" s="436"/>
      <c r="E73" s="2475"/>
      <c r="F73" s="2475"/>
      <c r="G73" s="2475"/>
      <c r="H73" s="2475"/>
      <c r="I73" s="2475"/>
      <c r="J73" s="2475"/>
      <c r="K73" s="2475"/>
      <c r="L73" s="2475"/>
      <c r="M73" s="2475"/>
      <c r="N73" s="2475"/>
      <c r="O73" s="2475"/>
      <c r="P73" s="2475"/>
      <c r="Q73" s="2475"/>
      <c r="R73" s="2475"/>
      <c r="S73" s="2475"/>
      <c r="T73" s="2475"/>
      <c r="U73" s="2475"/>
      <c r="V73" s="2475"/>
      <c r="W73" s="2475"/>
      <c r="X73" s="2475"/>
      <c r="Y73" s="2475"/>
      <c r="Z73" s="2475"/>
      <c r="AA73" s="2475"/>
      <c r="AB73" s="472"/>
      <c r="AC73" s="472"/>
    </row>
    <row r="74" spans="1:36" ht="12.95" customHeight="1">
      <c r="A74" s="436"/>
      <c r="C74" s="436"/>
      <c r="D74" s="436"/>
      <c r="E74" s="2475"/>
      <c r="F74" s="2475"/>
      <c r="G74" s="2475"/>
      <c r="H74" s="2475"/>
      <c r="I74" s="2475"/>
      <c r="J74" s="2475"/>
      <c r="K74" s="2475"/>
      <c r="L74" s="2475"/>
      <c r="M74" s="2475"/>
      <c r="N74" s="2475"/>
      <c r="O74" s="2475"/>
      <c r="P74" s="2475"/>
      <c r="Q74" s="2475"/>
      <c r="R74" s="2475"/>
      <c r="S74" s="2475"/>
      <c r="T74" s="2475"/>
      <c r="U74" s="2475"/>
      <c r="V74" s="2475"/>
      <c r="W74" s="2475"/>
      <c r="X74" s="2475"/>
      <c r="Y74" s="2475"/>
      <c r="Z74" s="2475"/>
      <c r="AA74" s="2475"/>
      <c r="AB74" s="472"/>
      <c r="AC74" s="472"/>
    </row>
    <row r="75" spans="1:36" ht="12.95" customHeight="1">
      <c r="A75" s="436"/>
      <c r="C75" s="436"/>
      <c r="D75" s="436"/>
      <c r="E75" s="456"/>
      <c r="F75" s="456"/>
      <c r="G75" s="456"/>
      <c r="H75" s="456"/>
      <c r="I75" s="456"/>
      <c r="J75" s="456"/>
      <c r="K75" s="456"/>
      <c r="L75" s="456"/>
      <c r="M75" s="456"/>
      <c r="N75" s="456"/>
      <c r="O75" s="456"/>
      <c r="P75" s="456"/>
      <c r="Q75" s="456"/>
      <c r="R75" s="456"/>
      <c r="S75" s="456"/>
      <c r="T75" s="456"/>
      <c r="U75" s="456"/>
      <c r="V75" s="456"/>
      <c r="W75" s="456"/>
      <c r="X75" s="456"/>
      <c r="Y75" s="456"/>
      <c r="Z75" s="456"/>
      <c r="AA75" s="392"/>
      <c r="AB75" s="392"/>
      <c r="AC75" s="392"/>
    </row>
    <row r="76" spans="1:36" ht="12.95" customHeight="1">
      <c r="C76" s="436"/>
      <c r="D76" s="219" t="s">
        <v>1410</v>
      </c>
      <c r="AB76" s="2463">
        <f>ROUND(IF(ISERROR((AB59/AB71)),0,(AB59/AB71)),0)</f>
        <v>13570147</v>
      </c>
      <c r="AC76" s="2463"/>
      <c r="AD76" s="2463"/>
      <c r="AE76" s="2463"/>
      <c r="AF76" s="2463"/>
    </row>
    <row r="77" spans="1:36" ht="12.95" customHeight="1">
      <c r="C77" s="436"/>
      <c r="D77" s="219" t="s">
        <v>1411</v>
      </c>
      <c r="AB77" s="2464">
        <f>IF((Y68+AD68&lt;AB76),Y68+AD68,AB76)</f>
        <v>13570147</v>
      </c>
      <c r="AC77" s="2465"/>
      <c r="AD77" s="2465"/>
      <c r="AE77" s="2465"/>
      <c r="AF77" s="2466"/>
    </row>
    <row r="78" spans="1:36" ht="12.95" customHeight="1">
      <c r="C78" s="436"/>
      <c r="D78" s="219" t="s">
        <v>1412</v>
      </c>
      <c r="AB78" s="2467">
        <f>AB77*AB71</f>
        <v>10177610.25</v>
      </c>
      <c r="AC78" s="2467"/>
      <c r="AD78" s="2467"/>
      <c r="AE78" s="2467"/>
      <c r="AF78" s="2467"/>
    </row>
    <row r="79" spans="1:36" ht="12.95" customHeight="1">
      <c r="C79" s="436"/>
      <c r="D79" s="436"/>
      <c r="AB79" s="457"/>
      <c r="AC79" s="457"/>
      <c r="AD79" s="457"/>
      <c r="AE79" s="457"/>
      <c r="AF79" s="457"/>
    </row>
    <row r="80" spans="1:36" ht="12.95" customHeight="1">
      <c r="D80" s="436" t="s">
        <v>766</v>
      </c>
      <c r="AB80" s="2468">
        <f>AB49-(AB57+AB78)</f>
        <v>-0.25</v>
      </c>
      <c r="AC80" s="2468"/>
      <c r="AD80" s="2468"/>
      <c r="AE80" s="2468"/>
      <c r="AF80" s="2468"/>
    </row>
    <row r="81" spans="1:78" ht="12.95" customHeight="1">
      <c r="F81" s="557"/>
      <c r="J81" s="557" t="str">
        <f>IF(AB80&gt;0,"FUNDING GAP MUST NOT EXCEED ZERO","")</f>
        <v/>
      </c>
    </row>
    <row r="82" spans="1:78" ht="12.95" customHeight="1">
      <c r="D82" s="558"/>
    </row>
    <row r="83" spans="1:78" ht="12.95" customHeight="1" thickBot="1">
      <c r="A83" s="2490"/>
      <c r="B83" s="2490"/>
      <c r="C83" s="2490"/>
      <c r="D83" s="2490"/>
      <c r="E83" s="2490"/>
      <c r="F83" s="2490"/>
      <c r="G83" s="2490"/>
      <c r="H83" s="2490"/>
      <c r="I83" s="2490"/>
      <c r="J83" s="2490"/>
      <c r="K83" s="2490"/>
      <c r="L83" s="2490"/>
      <c r="M83" s="2490"/>
      <c r="N83" s="2490"/>
      <c r="O83" s="2490"/>
      <c r="P83" s="2490"/>
      <c r="Q83" s="2490"/>
      <c r="R83" s="2490"/>
      <c r="S83" s="2490"/>
      <c r="T83" s="2490"/>
      <c r="U83" s="2490"/>
      <c r="V83" s="2490"/>
      <c r="W83" s="2490"/>
      <c r="X83" s="2490"/>
      <c r="Y83" s="2490"/>
      <c r="Z83" s="2490"/>
      <c r="AA83" s="2490"/>
      <c r="AB83" s="2490"/>
      <c r="AC83" s="2490"/>
      <c r="AD83" s="2490"/>
      <c r="AE83" s="2490"/>
      <c r="AF83" s="2490"/>
      <c r="AG83" s="2490"/>
      <c r="AH83" s="2490"/>
      <c r="AI83" s="2490"/>
      <c r="AJ83" s="2490"/>
      <c r="AK83" s="2490"/>
      <c r="AL83" s="2490"/>
      <c r="AM83" s="2490"/>
      <c r="AN83" s="2490"/>
      <c r="AO83" s="2490"/>
      <c r="AP83" s="2490"/>
      <c r="AQ83" s="2490"/>
      <c r="AR83" s="2490"/>
      <c r="AS83" s="2490"/>
      <c r="AT83" s="2490"/>
      <c r="AU83" s="2490"/>
      <c r="AV83" s="2490"/>
      <c r="AW83" s="2490"/>
      <c r="AX83" s="2490"/>
      <c r="AY83" s="2490"/>
      <c r="AZ83" s="2490"/>
      <c r="BA83" s="2490"/>
      <c r="BB83" s="2490"/>
      <c r="BC83" s="2490"/>
      <c r="BD83" s="2490"/>
      <c r="BE83" s="2490"/>
      <c r="BF83" s="2490"/>
      <c r="BG83" s="2490"/>
      <c r="BH83" s="2490"/>
      <c r="BI83" s="2490"/>
      <c r="BJ83" s="2490"/>
      <c r="BK83" s="2490"/>
      <c r="BL83" s="2490"/>
      <c r="BM83" s="2490"/>
      <c r="BN83" s="2490"/>
      <c r="BO83" s="2490"/>
      <c r="BP83" s="2490"/>
      <c r="BQ83" s="2490"/>
      <c r="BR83" s="2490"/>
      <c r="BS83" s="2490"/>
      <c r="BT83" s="2490"/>
      <c r="BU83" s="2490"/>
      <c r="BV83" s="2490"/>
      <c r="BW83" s="2490"/>
      <c r="BX83" s="2490"/>
    </row>
    <row r="84" spans="1:78" ht="12.95" customHeight="1" thickTop="1"/>
    <row r="85" spans="1:78" ht="12.95" customHeight="1">
      <c r="A85" s="436"/>
      <c r="C85" s="219"/>
    </row>
    <row r="86" spans="1:78" ht="12.95" customHeight="1">
      <c r="D86" s="219"/>
      <c r="AB86" s="2522"/>
      <c r="AC86" s="2522"/>
      <c r="AD86" s="2522"/>
      <c r="AE86" s="2522"/>
      <c r="AF86" s="2522"/>
    </row>
    <row r="87" spans="1:78" ht="12.95" customHeight="1" thickBot="1">
      <c r="D87" s="219"/>
      <c r="AB87" s="2521"/>
      <c r="AC87" s="2521"/>
      <c r="AD87" s="2521"/>
      <c r="AE87" s="2521"/>
      <c r="AF87" s="2521"/>
      <c r="AO87" s="556"/>
      <c r="AP87" s="556"/>
      <c r="AQ87" s="556"/>
      <c r="AR87" s="556"/>
      <c r="AS87" s="556"/>
      <c r="AT87" s="556"/>
      <c r="AU87" s="556"/>
      <c r="AV87" s="556"/>
      <c r="AW87" s="556"/>
      <c r="AX87" s="556"/>
      <c r="AY87" s="556"/>
      <c r="AZ87" s="556"/>
      <c r="BA87" s="556"/>
      <c r="BB87" s="556"/>
      <c r="BC87" s="556"/>
      <c r="BD87" s="556"/>
      <c r="BE87" s="556"/>
      <c r="BF87" s="556"/>
      <c r="BG87" s="556"/>
      <c r="BH87" s="556"/>
      <c r="BI87" s="556"/>
      <c r="BJ87" s="556"/>
      <c r="BK87" s="556"/>
      <c r="BL87" s="556"/>
      <c r="BM87" s="556"/>
      <c r="BN87" s="556"/>
      <c r="BO87" s="556"/>
      <c r="BP87" s="556"/>
      <c r="BQ87" s="556"/>
      <c r="BR87" s="556"/>
      <c r="BS87" s="556"/>
      <c r="BT87" s="556"/>
      <c r="BU87" s="556"/>
      <c r="BV87" s="556"/>
      <c r="BW87" s="556"/>
      <c r="BX87" s="556"/>
      <c r="BY87" s="556"/>
      <c r="BZ87" s="556"/>
    </row>
    <row r="88" spans="1:78" ht="12.95" customHeight="1" thickTop="1"/>
  </sheetData>
  <sheetProtection algorithmName="SHA-512" hashValue="R+gXZ1Fmwe1GsW6jar8a74s/izC9buxFvAqdfqt/Ta6OZF5hdL3csyUs8Zknv0yd/BUDmnhEEvBK20KzoKzzyg==" saltValue="x06q8Z8LKxtxtjsVmEb9F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AB80:AF80 AB59:AF60">
    <cfRule type="cellIs" dxfId="3" priority="5" stopIfTrue="1" operator="greaterThan">
      <formula>0</formula>
    </cfRule>
  </conditionalFormatting>
  <conditionalFormatting sqref="C18:S18">
    <cfRule type="expression" dxfId="2" priority="2">
      <formula>AND(T18&gt;0,OR(C18="",C18="Subtract (specify other ineligible amounts):"))</formula>
    </cfRule>
  </conditionalFormatting>
  <conditionalFormatting sqref="B18:B19">
    <cfRule type="expression" dxfId="1" priority="3">
      <formula>AND($T$18&gt;0,OR($C$18="",$C$18="Subtract (specify other ineligible amounts):"))</formula>
    </cfRule>
  </conditionalFormatting>
  <conditionalFormatting sqref="C19:S19">
    <cfRule type="expression" dxfId="0" priority="1">
      <formula>AND(T19&gt;0,OR(C19="",C19="Subtract (specify other ineligible amounts):"))</formula>
    </cfRule>
  </conditionalFormatting>
  <dataValidations count="5">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T21:AM21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WWB983068:WWU983068"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Q34"/>
  <sheetViews>
    <sheetView topLeftCell="A3" zoomScaleNormal="100" zoomScaleSheetLayoutView="100" workbookViewId="0">
      <selection activeCell="F18" sqref="F18"/>
    </sheetView>
  </sheetViews>
  <sheetFormatPr defaultColWidth="0"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hidden="1" customWidth="1"/>
    <col min="18" max="16384" width="9.140625" style="327" hidden="1"/>
  </cols>
  <sheetData>
    <row r="1" spans="1:12">
      <c r="A1" s="2529" t="s">
        <v>942</v>
      </c>
      <c r="B1" s="2529"/>
      <c r="C1" s="2529"/>
      <c r="D1" s="2529"/>
      <c r="E1" s="2529"/>
      <c r="F1" s="2529"/>
      <c r="G1" s="2529"/>
      <c r="H1" s="2529"/>
      <c r="I1" s="2529"/>
      <c r="J1" s="2529"/>
      <c r="K1" s="218"/>
      <c r="L1" s="218"/>
    </row>
    <row r="2" spans="1:12">
      <c r="A2" s="225"/>
      <c r="B2" s="225"/>
      <c r="C2" s="225"/>
      <c r="D2" s="225"/>
      <c r="E2" s="225"/>
      <c r="F2" s="225"/>
      <c r="G2" s="225"/>
      <c r="H2" s="225"/>
      <c r="I2" s="225"/>
      <c r="J2" s="225"/>
    </row>
    <row r="3" spans="1:12" ht="99.75">
      <c r="A3" s="458" t="s">
        <v>943</v>
      </c>
      <c r="B3" s="458" t="s">
        <v>944</v>
      </c>
      <c r="C3" s="458" t="s">
        <v>2341</v>
      </c>
      <c r="D3" s="1199" t="s">
        <v>945</v>
      </c>
      <c r="E3" s="218"/>
      <c r="F3" s="1199" t="s">
        <v>946</v>
      </c>
      <c r="G3" s="458" t="s">
        <v>947</v>
      </c>
      <c r="H3" s="459"/>
      <c r="I3" s="458" t="s">
        <v>948</v>
      </c>
      <c r="J3" s="458" t="s">
        <v>949</v>
      </c>
      <c r="K3" s="218"/>
      <c r="L3" s="328"/>
    </row>
    <row r="4" spans="1:12">
      <c r="A4" s="460" t="str">
        <f>Application!B714</f>
        <v>1 Bedroom</v>
      </c>
      <c r="B4" s="1130">
        <f>Application!G714</f>
        <v>3</v>
      </c>
      <c r="C4" s="1131"/>
      <c r="D4" s="460">
        <f>Application!O714</f>
        <v>521</v>
      </c>
      <c r="E4" s="461"/>
      <c r="F4" s="1132"/>
      <c r="G4" s="460">
        <f>F4*B4</f>
        <v>0</v>
      </c>
      <c r="H4" s="461"/>
      <c r="I4" s="460" t="str">
        <f>IF(F4=0," ",(F4-D4))</f>
        <v xml:space="preserve"> </v>
      </c>
      <c r="J4" s="460" t="str">
        <f>IF(F4=0," ",(I4*B4))</f>
        <v xml:space="preserve"> </v>
      </c>
      <c r="K4" s="218"/>
      <c r="L4" s="328"/>
    </row>
    <row r="5" spans="1:12">
      <c r="A5" s="460" t="str">
        <f>Application!B715</f>
        <v>1 Bedroom</v>
      </c>
      <c r="B5" s="1130">
        <f>Application!G715</f>
        <v>3</v>
      </c>
      <c r="C5" s="1131" t="s">
        <v>386</v>
      </c>
      <c r="D5" s="460">
        <f>Application!O715</f>
        <v>521</v>
      </c>
      <c r="E5" s="461"/>
      <c r="F5" s="1132">
        <v>1800</v>
      </c>
      <c r="G5" s="460">
        <f t="shared" ref="G5:G28" si="0">F5*B5</f>
        <v>5400</v>
      </c>
      <c r="H5" s="461"/>
      <c r="I5" s="460">
        <f t="shared" ref="I5:I28" si="1">IF(F5=0," ",(F5-D5))</f>
        <v>1279</v>
      </c>
      <c r="J5" s="460">
        <f t="shared" ref="J5:J28" si="2">IF(F5=0," ",(I5*B5))</f>
        <v>3837</v>
      </c>
      <c r="K5" s="218"/>
      <c r="L5" s="328"/>
    </row>
    <row r="6" spans="1:12">
      <c r="A6" s="460" t="str">
        <f>Application!B716</f>
        <v>1 Bedroom</v>
      </c>
      <c r="B6" s="1130">
        <f>Application!G716</f>
        <v>17</v>
      </c>
      <c r="C6" s="1131"/>
      <c r="D6" s="460">
        <f>Application!O716</f>
        <v>901</v>
      </c>
      <c r="E6" s="461"/>
      <c r="F6" s="1132"/>
      <c r="G6" s="460">
        <f t="shared" si="0"/>
        <v>0</v>
      </c>
      <c r="H6" s="461"/>
      <c r="I6" s="460" t="str">
        <f t="shared" si="1"/>
        <v xml:space="preserve"> </v>
      </c>
      <c r="J6" s="460" t="str">
        <f t="shared" si="2"/>
        <v xml:space="preserve"> </v>
      </c>
      <c r="K6" s="218"/>
      <c r="L6" s="328"/>
    </row>
    <row r="7" spans="1:12">
      <c r="A7" s="460" t="str">
        <f>Application!B717</f>
        <v>1 Bedroom</v>
      </c>
      <c r="B7" s="1130">
        <f>Application!G717</f>
        <v>34</v>
      </c>
      <c r="C7" s="1131"/>
      <c r="D7" s="460">
        <f>Application!O717</f>
        <v>1281</v>
      </c>
      <c r="E7" s="461"/>
      <c r="F7" s="1132"/>
      <c r="G7" s="460">
        <f t="shared" si="0"/>
        <v>0</v>
      </c>
      <c r="H7" s="461"/>
      <c r="I7" s="460" t="str">
        <f t="shared" si="1"/>
        <v xml:space="preserve"> </v>
      </c>
      <c r="J7" s="460" t="str">
        <f t="shared" si="2"/>
        <v xml:space="preserve"> </v>
      </c>
      <c r="K7" s="218"/>
      <c r="L7" s="328"/>
    </row>
    <row r="8" spans="1:12">
      <c r="A8" s="460" t="str">
        <f>Application!B718</f>
        <v>2 Bedrooms</v>
      </c>
      <c r="B8" s="1130">
        <f>Application!G718</f>
        <v>2</v>
      </c>
      <c r="C8" s="1131"/>
      <c r="D8" s="460">
        <f>Application!O718</f>
        <v>624</v>
      </c>
      <c r="E8" s="461"/>
      <c r="F8" s="1132"/>
      <c r="G8" s="460">
        <f t="shared" si="0"/>
        <v>0</v>
      </c>
      <c r="H8" s="461"/>
      <c r="I8" s="460" t="str">
        <f t="shared" si="1"/>
        <v xml:space="preserve"> </v>
      </c>
      <c r="J8" s="460" t="str">
        <f t="shared" si="2"/>
        <v xml:space="preserve"> </v>
      </c>
      <c r="K8" s="218"/>
      <c r="L8" s="328"/>
    </row>
    <row r="9" spans="1:12">
      <c r="A9" s="460" t="str">
        <f>Application!B719</f>
        <v>2 Bedrooms</v>
      </c>
      <c r="B9" s="1130">
        <f>Application!G719</f>
        <v>2</v>
      </c>
      <c r="C9" s="1131" t="s">
        <v>386</v>
      </c>
      <c r="D9" s="460">
        <f>Application!O719</f>
        <v>624</v>
      </c>
      <c r="E9" s="461"/>
      <c r="F9" s="1132">
        <v>2290</v>
      </c>
      <c r="G9" s="460">
        <f t="shared" si="0"/>
        <v>4580</v>
      </c>
      <c r="H9" s="461"/>
      <c r="I9" s="460">
        <f t="shared" si="1"/>
        <v>1666</v>
      </c>
      <c r="J9" s="460">
        <f t="shared" si="2"/>
        <v>3332</v>
      </c>
      <c r="K9" s="218"/>
      <c r="L9" s="328"/>
    </row>
    <row r="10" spans="1:12">
      <c r="A10" s="460" t="str">
        <f>Application!B720</f>
        <v>2 Bedrooms</v>
      </c>
      <c r="B10" s="1130">
        <f>Application!G720</f>
        <v>11</v>
      </c>
      <c r="C10" s="1131"/>
      <c r="D10" s="460">
        <f>Application!O720</f>
        <v>1080</v>
      </c>
      <c r="E10" s="461"/>
      <c r="F10" s="1132"/>
      <c r="G10" s="460">
        <f t="shared" si="0"/>
        <v>0</v>
      </c>
      <c r="H10" s="461"/>
      <c r="I10" s="460" t="str">
        <f t="shared" si="1"/>
        <v xml:space="preserve"> </v>
      </c>
      <c r="J10" s="460" t="str">
        <f t="shared" si="2"/>
        <v xml:space="preserve"> </v>
      </c>
      <c r="K10" s="218"/>
      <c r="L10" s="328"/>
    </row>
    <row r="11" spans="1:12">
      <c r="A11" s="460" t="str">
        <f>Application!B721</f>
        <v>2 Bedrooms</v>
      </c>
      <c r="B11" s="1130">
        <f>Application!G721</f>
        <v>23</v>
      </c>
      <c r="C11" s="1131"/>
      <c r="D11" s="460">
        <f>Application!O721</f>
        <v>1517</v>
      </c>
      <c r="E11" s="461"/>
      <c r="F11" s="1132"/>
      <c r="G11" s="460">
        <f t="shared" si="0"/>
        <v>0</v>
      </c>
      <c r="H11" s="461"/>
      <c r="I11" s="460" t="str">
        <f t="shared" si="1"/>
        <v xml:space="preserve"> </v>
      </c>
      <c r="J11" s="460" t="str">
        <f t="shared" si="2"/>
        <v xml:space="preserve"> </v>
      </c>
      <c r="K11" s="218"/>
      <c r="L11" s="328"/>
    </row>
    <row r="12" spans="1:12">
      <c r="A12" s="460" t="str">
        <f>Application!B722</f>
        <v>2 Bedrooms</v>
      </c>
      <c r="B12" s="1130">
        <f>Application!G722</f>
        <v>2</v>
      </c>
      <c r="C12" s="1131"/>
      <c r="D12" s="460">
        <f>Application!O722</f>
        <v>624</v>
      </c>
      <c r="E12" s="461"/>
      <c r="F12" s="1132"/>
      <c r="G12" s="460">
        <f t="shared" si="0"/>
        <v>0</v>
      </c>
      <c r="H12" s="461"/>
      <c r="I12" s="460" t="str">
        <f t="shared" si="1"/>
        <v xml:space="preserve"> </v>
      </c>
      <c r="J12" s="460" t="str">
        <f t="shared" si="2"/>
        <v xml:space="preserve"> </v>
      </c>
      <c r="K12" s="218"/>
      <c r="L12" s="328"/>
    </row>
    <row r="13" spans="1:12">
      <c r="A13" s="460" t="str">
        <f>Application!B723</f>
        <v>2 Bedrooms</v>
      </c>
      <c r="B13" s="1130">
        <f>Application!G723</f>
        <v>1</v>
      </c>
      <c r="C13" s="1131" t="s">
        <v>386</v>
      </c>
      <c r="D13" s="460">
        <f>Application!O723</f>
        <v>624</v>
      </c>
      <c r="E13" s="461"/>
      <c r="F13" s="1132">
        <v>2290</v>
      </c>
      <c r="G13" s="460">
        <f t="shared" si="0"/>
        <v>2290</v>
      </c>
      <c r="H13" s="461"/>
      <c r="I13" s="460">
        <f t="shared" si="1"/>
        <v>1666</v>
      </c>
      <c r="J13" s="460">
        <f t="shared" si="2"/>
        <v>1666</v>
      </c>
      <c r="K13" s="218"/>
      <c r="L13" s="328"/>
    </row>
    <row r="14" spans="1:12">
      <c r="A14" s="460" t="str">
        <f>Application!B724</f>
        <v>2 Bedrooms</v>
      </c>
      <c r="B14" s="1130">
        <f>Application!G724</f>
        <v>9</v>
      </c>
      <c r="C14" s="1131"/>
      <c r="D14" s="460">
        <f>Application!O724</f>
        <v>1080</v>
      </c>
      <c r="E14" s="461"/>
      <c r="F14" s="1132"/>
      <c r="G14" s="460">
        <f t="shared" si="0"/>
        <v>0</v>
      </c>
      <c r="H14" s="461"/>
      <c r="I14" s="460" t="str">
        <f t="shared" si="1"/>
        <v xml:space="preserve"> </v>
      </c>
      <c r="J14" s="460" t="str">
        <f t="shared" si="2"/>
        <v xml:space="preserve"> </v>
      </c>
      <c r="K14" s="218"/>
      <c r="L14" s="328"/>
    </row>
    <row r="15" spans="1:12">
      <c r="A15" s="460" t="str">
        <f>Application!B725</f>
        <v>2 Bedrooms</v>
      </c>
      <c r="B15" s="1130">
        <f>Application!G725</f>
        <v>17</v>
      </c>
      <c r="C15" s="1131"/>
      <c r="D15" s="460">
        <f>Application!O725</f>
        <v>1536</v>
      </c>
      <c r="E15" s="461"/>
      <c r="F15" s="1132"/>
      <c r="G15" s="460">
        <f t="shared" si="0"/>
        <v>0</v>
      </c>
      <c r="H15" s="461"/>
      <c r="I15" s="460" t="str">
        <f t="shared" si="1"/>
        <v xml:space="preserve"> </v>
      </c>
      <c r="J15" s="460" t="str">
        <f t="shared" si="2"/>
        <v xml:space="preserve"> </v>
      </c>
      <c r="K15" s="218"/>
      <c r="L15" s="328"/>
    </row>
    <row r="16" spans="1:12">
      <c r="A16" s="460" t="str">
        <f>Application!B726</f>
        <v>3 Bedrooms</v>
      </c>
      <c r="B16" s="1130">
        <f>Application!G726</f>
        <v>2</v>
      </c>
      <c r="C16" s="1131"/>
      <c r="D16" s="460">
        <f>Application!O726</f>
        <v>720</v>
      </c>
      <c r="E16" s="461"/>
      <c r="F16" s="1132"/>
      <c r="G16" s="460">
        <f t="shared" si="0"/>
        <v>0</v>
      </c>
      <c r="H16" s="461"/>
      <c r="I16" s="460" t="str">
        <f t="shared" si="1"/>
        <v xml:space="preserve"> </v>
      </c>
      <c r="J16" s="460" t="str">
        <f t="shared" si="2"/>
        <v xml:space="preserve"> </v>
      </c>
      <c r="K16" s="218"/>
      <c r="L16" s="328"/>
    </row>
    <row r="17" spans="1:12">
      <c r="A17" s="460" t="str">
        <f>Application!B727</f>
        <v>3 Bedrooms</v>
      </c>
      <c r="B17" s="1130">
        <f>Application!G727</f>
        <v>2</v>
      </c>
      <c r="C17" s="1131" t="s">
        <v>386</v>
      </c>
      <c r="D17" s="460">
        <f>Application!O727</f>
        <v>720</v>
      </c>
      <c r="E17" s="461"/>
      <c r="F17" s="1132">
        <v>3255</v>
      </c>
      <c r="G17" s="460">
        <f t="shared" si="0"/>
        <v>6510</v>
      </c>
      <c r="H17" s="461"/>
      <c r="I17" s="460">
        <f t="shared" si="1"/>
        <v>2535</v>
      </c>
      <c r="J17" s="460">
        <f t="shared" si="2"/>
        <v>5070</v>
      </c>
      <c r="K17" s="218"/>
      <c r="L17" s="328"/>
    </row>
    <row r="18" spans="1:12">
      <c r="A18" s="460" t="str">
        <f>Application!B728</f>
        <v>3 Bedrooms</v>
      </c>
      <c r="B18" s="1130">
        <f>Application!G728</f>
        <v>13</v>
      </c>
      <c r="C18" s="1131"/>
      <c r="D18" s="460">
        <f>Application!O728</f>
        <v>1247</v>
      </c>
      <c r="E18" s="461"/>
      <c r="F18" s="1132"/>
      <c r="G18" s="460">
        <f t="shared" si="0"/>
        <v>0</v>
      </c>
      <c r="H18" s="461"/>
      <c r="I18" s="460" t="str">
        <f t="shared" si="1"/>
        <v xml:space="preserve"> </v>
      </c>
      <c r="J18" s="460" t="str">
        <f t="shared" si="2"/>
        <v xml:space="preserve"> </v>
      </c>
      <c r="K18" s="218"/>
      <c r="L18" s="328"/>
    </row>
    <row r="19" spans="1:12">
      <c r="A19" s="460" t="str">
        <f>Application!B729</f>
        <v>3 Bedrooms</v>
      </c>
      <c r="B19" s="1130">
        <f>Application!G729</f>
        <v>25</v>
      </c>
      <c r="C19" s="1131"/>
      <c r="D19" s="460">
        <f>Application!O729</f>
        <v>1774</v>
      </c>
      <c r="E19" s="461"/>
      <c r="F19" s="1132"/>
      <c r="G19" s="460">
        <f t="shared" si="0"/>
        <v>0</v>
      </c>
      <c r="H19" s="461"/>
      <c r="I19" s="460" t="str">
        <f t="shared" si="1"/>
        <v xml:space="preserve"> </v>
      </c>
      <c r="J19" s="460" t="str">
        <f t="shared" si="2"/>
        <v xml:space="preserve"> </v>
      </c>
      <c r="K19" s="218"/>
      <c r="L19" s="328"/>
    </row>
    <row r="20" spans="1:12">
      <c r="A20" s="460">
        <f>Application!B730</f>
        <v>0</v>
      </c>
      <c r="B20" s="1130">
        <f>Application!G730</f>
        <v>0</v>
      </c>
      <c r="C20" s="1131"/>
      <c r="D20" s="460">
        <f>Application!O730</f>
        <v>0</v>
      </c>
      <c r="E20" s="461"/>
      <c r="F20" s="1132"/>
      <c r="G20" s="460">
        <f t="shared" si="0"/>
        <v>0</v>
      </c>
      <c r="H20" s="461"/>
      <c r="I20" s="460" t="str">
        <f t="shared" si="1"/>
        <v xml:space="preserve"> </v>
      </c>
      <c r="J20" s="460" t="str">
        <f t="shared" si="2"/>
        <v xml:space="preserve"> </v>
      </c>
      <c r="K20" s="218"/>
      <c r="L20" s="328"/>
    </row>
    <row r="21" spans="1:12">
      <c r="A21" s="460">
        <f>Application!B731</f>
        <v>0</v>
      </c>
      <c r="B21" s="1130">
        <f>Application!G731</f>
        <v>0</v>
      </c>
      <c r="C21" s="1131"/>
      <c r="D21" s="460">
        <f>Application!O731</f>
        <v>0</v>
      </c>
      <c r="E21" s="461"/>
      <c r="F21" s="1132"/>
      <c r="G21" s="460">
        <f t="shared" si="0"/>
        <v>0</v>
      </c>
      <c r="H21" s="461"/>
      <c r="I21" s="460" t="str">
        <f t="shared" si="1"/>
        <v xml:space="preserve"> </v>
      </c>
      <c r="J21" s="460" t="str">
        <f t="shared" si="2"/>
        <v xml:space="preserve"> </v>
      </c>
      <c r="K21" s="218"/>
      <c r="L21" s="328"/>
    </row>
    <row r="22" spans="1:12">
      <c r="A22" s="460">
        <f>Application!B732</f>
        <v>0</v>
      </c>
      <c r="B22" s="1130">
        <f>Application!G732</f>
        <v>0</v>
      </c>
      <c r="C22" s="1131"/>
      <c r="D22" s="460">
        <f>Application!O732</f>
        <v>0</v>
      </c>
      <c r="E22" s="461"/>
      <c r="F22" s="1132"/>
      <c r="G22" s="460">
        <f t="shared" si="0"/>
        <v>0</v>
      </c>
      <c r="H22" s="461"/>
      <c r="I22" s="460" t="str">
        <f t="shared" si="1"/>
        <v xml:space="preserve"> </v>
      </c>
      <c r="J22" s="460" t="str">
        <f t="shared" si="2"/>
        <v xml:space="preserve"> </v>
      </c>
      <c r="K22" s="218"/>
      <c r="L22" s="328"/>
    </row>
    <row r="23" spans="1:12">
      <c r="A23" s="460">
        <f>Application!B733</f>
        <v>0</v>
      </c>
      <c r="B23" s="1130">
        <f>Application!G733</f>
        <v>0</v>
      </c>
      <c r="C23" s="1131"/>
      <c r="D23" s="460">
        <f>Application!O733</f>
        <v>0</v>
      </c>
      <c r="E23" s="461"/>
      <c r="F23" s="1132"/>
      <c r="G23" s="460">
        <f t="shared" si="0"/>
        <v>0</v>
      </c>
      <c r="H23" s="461"/>
      <c r="I23" s="460" t="str">
        <f t="shared" si="1"/>
        <v xml:space="preserve"> </v>
      </c>
      <c r="J23" s="460" t="str">
        <f t="shared" si="2"/>
        <v xml:space="preserve"> </v>
      </c>
      <c r="K23" s="218"/>
      <c r="L23" s="328"/>
    </row>
    <row r="24" spans="1:12">
      <c r="A24" s="460">
        <f>Application!B734</f>
        <v>0</v>
      </c>
      <c r="B24" s="1130">
        <f>Application!G734</f>
        <v>0</v>
      </c>
      <c r="C24" s="1131"/>
      <c r="D24" s="460">
        <f>Application!O734</f>
        <v>0</v>
      </c>
      <c r="E24" s="461"/>
      <c r="F24" s="1132"/>
      <c r="G24" s="460">
        <f t="shared" si="0"/>
        <v>0</v>
      </c>
      <c r="H24" s="461"/>
      <c r="I24" s="460" t="str">
        <f t="shared" si="1"/>
        <v xml:space="preserve"> </v>
      </c>
      <c r="J24" s="460" t="str">
        <f t="shared" si="2"/>
        <v xml:space="preserve"> </v>
      </c>
      <c r="K24" s="218"/>
      <c r="L24" s="328"/>
    </row>
    <row r="25" spans="1:12">
      <c r="A25" s="460">
        <f>Application!B735</f>
        <v>0</v>
      </c>
      <c r="B25" s="1130">
        <f>Application!G735</f>
        <v>0</v>
      </c>
      <c r="C25" s="1131"/>
      <c r="D25" s="460">
        <f>Application!O735</f>
        <v>0</v>
      </c>
      <c r="E25" s="461"/>
      <c r="F25" s="1132"/>
      <c r="G25" s="460">
        <f t="shared" si="0"/>
        <v>0</v>
      </c>
      <c r="H25" s="461"/>
      <c r="I25" s="460" t="str">
        <f t="shared" si="1"/>
        <v xml:space="preserve"> </v>
      </c>
      <c r="J25" s="460" t="str">
        <f t="shared" si="2"/>
        <v xml:space="preserve"> </v>
      </c>
      <c r="K25" s="218"/>
      <c r="L25" s="328"/>
    </row>
    <row r="26" spans="1:12">
      <c r="A26" s="460">
        <f>Application!B736</f>
        <v>0</v>
      </c>
      <c r="B26" s="1130">
        <f>Application!G736</f>
        <v>0</v>
      </c>
      <c r="C26" s="1131"/>
      <c r="D26" s="460">
        <f>Application!O736</f>
        <v>0</v>
      </c>
      <c r="E26" s="461"/>
      <c r="F26" s="1132"/>
      <c r="G26" s="460">
        <f t="shared" si="0"/>
        <v>0</v>
      </c>
      <c r="H26" s="461"/>
      <c r="I26" s="460" t="str">
        <f t="shared" si="1"/>
        <v xml:space="preserve"> </v>
      </c>
      <c r="J26" s="460" t="str">
        <f t="shared" si="2"/>
        <v xml:space="preserve"> </v>
      </c>
      <c r="K26" s="218"/>
      <c r="L26" s="328"/>
    </row>
    <row r="27" spans="1:12">
      <c r="A27" s="460">
        <f>Application!B737</f>
        <v>0</v>
      </c>
      <c r="B27" s="1130">
        <f>Application!G737</f>
        <v>0</v>
      </c>
      <c r="C27" s="1131"/>
      <c r="D27" s="460">
        <f>Application!O737</f>
        <v>0</v>
      </c>
      <c r="E27" s="461"/>
      <c r="F27" s="1132"/>
      <c r="G27" s="460">
        <f t="shared" si="0"/>
        <v>0</v>
      </c>
      <c r="H27" s="461"/>
      <c r="I27" s="460" t="str">
        <f t="shared" si="1"/>
        <v xml:space="preserve"> </v>
      </c>
      <c r="J27" s="460" t="str">
        <f t="shared" si="2"/>
        <v xml:space="preserve"> </v>
      </c>
      <c r="K27" s="218"/>
      <c r="L27" s="328"/>
    </row>
    <row r="28" spans="1:12">
      <c r="A28" s="460">
        <f>Application!B738</f>
        <v>0</v>
      </c>
      <c r="B28" s="1130">
        <f>Application!G738</f>
        <v>0</v>
      </c>
      <c r="C28" s="1131"/>
      <c r="D28" s="460">
        <f>Application!O738</f>
        <v>0</v>
      </c>
      <c r="E28" s="461"/>
      <c r="F28" s="1132"/>
      <c r="G28" s="460">
        <f t="shared" si="0"/>
        <v>0</v>
      </c>
      <c r="H28" s="461"/>
      <c r="I28" s="460" t="str">
        <f t="shared" si="1"/>
        <v xml:space="preserve"> </v>
      </c>
      <c r="J28" s="460" t="str">
        <f t="shared" si="2"/>
        <v xml:space="preserve"> </v>
      </c>
      <c r="K28" s="218"/>
      <c r="L28" s="328"/>
    </row>
    <row r="29" spans="1:12">
      <c r="A29" s="218"/>
      <c r="B29" s="218"/>
      <c r="C29" s="218"/>
      <c r="D29" s="461"/>
      <c r="E29" s="461"/>
      <c r="F29" s="461"/>
      <c r="G29" s="461"/>
      <c r="H29" s="461"/>
      <c r="I29" s="461"/>
      <c r="J29" s="218"/>
      <c r="K29" s="218"/>
      <c r="L29" s="328"/>
    </row>
    <row r="30" spans="1:12" ht="15">
      <c r="A30" s="462" t="s">
        <v>950</v>
      </c>
      <c r="B30" s="463"/>
      <c r="C30" s="463"/>
      <c r="D30" s="464">
        <f>Application!O739</f>
        <v>212409</v>
      </c>
      <c r="E30" s="461"/>
      <c r="F30" s="461"/>
      <c r="G30" s="464">
        <f>SUM(G4:G28)*12</f>
        <v>225360</v>
      </c>
      <c r="H30" s="465"/>
      <c r="I30" s="463"/>
      <c r="J30" s="464">
        <f>SUM(J4:J28)*12</f>
        <v>166860</v>
      </c>
      <c r="K30" s="218"/>
      <c r="L30" s="329"/>
    </row>
    <row r="31" spans="1:12" ht="15">
      <c r="A31" s="462"/>
      <c r="B31" s="463"/>
      <c r="C31" s="463"/>
      <c r="D31" s="465"/>
      <c r="E31" s="461"/>
      <c r="F31" s="461"/>
      <c r="G31" s="465"/>
      <c r="H31" s="465"/>
      <c r="I31" s="463"/>
      <c r="J31" s="465"/>
      <c r="K31" s="218"/>
      <c r="L31" s="329"/>
    </row>
    <row r="32" spans="1:12">
      <c r="A32" s="466" t="s">
        <v>951</v>
      </c>
      <c r="B32" s="225"/>
      <c r="C32" s="225"/>
      <c r="D32" s="225"/>
      <c r="E32" s="225"/>
      <c r="F32" s="225"/>
      <c r="G32" s="225"/>
      <c r="H32" s="225"/>
      <c r="I32" s="225"/>
      <c r="J32" s="225"/>
    </row>
    <row r="33" spans="1:10">
      <c r="A33" s="466" t="s">
        <v>952</v>
      </c>
      <c r="B33" s="225"/>
      <c r="C33" s="225"/>
      <c r="D33" s="225"/>
      <c r="E33" s="225"/>
      <c r="F33" s="225"/>
      <c r="G33" s="225"/>
      <c r="H33" s="225"/>
      <c r="I33" s="225"/>
      <c r="J33" s="225"/>
    </row>
    <row r="34" spans="1:10">
      <c r="A34" s="225" t="s">
        <v>2527</v>
      </c>
      <c r="B34" s="225"/>
      <c r="C34" s="225"/>
      <c r="D34" s="225"/>
      <c r="E34" s="225"/>
      <c r="F34" s="225"/>
      <c r="G34" s="225"/>
      <c r="H34" s="225"/>
      <c r="I34" s="225"/>
      <c r="J34" s="225"/>
    </row>
  </sheetData>
  <sheetProtection algorithmName="SHA-512" hashValue="DnHavj35GG3ERgS8wSVY1jXc67I9BIGN2HKxNNpP9uc2jwKbFBoWdTaqnBRrJvfRjYeDD3/RlTlI6T7nv0Z1UQ==" saltValue="GTFdqF1EHAqnk71iwFJUTQ=="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2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7" zoomScaleNormal="100" zoomScaleSheetLayoutView="100" workbookViewId="0">
      <selection activeCell="E10" sqref="E10"/>
    </sheetView>
  </sheetViews>
  <sheetFormatPr defaultColWidth="0" defaultRowHeight="12.75" zeroHeight="1"/>
  <cols>
    <col min="1" max="1" width="3.7109375" customWidth="1"/>
    <col min="2" max="2" width="27.710937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2517</v>
      </c>
      <c r="B1" s="226"/>
    </row>
    <row r="2" spans="1:34"/>
    <row r="3" spans="1:34" ht="15.75">
      <c r="A3" s="227" t="s">
        <v>847</v>
      </c>
      <c r="B3" s="227"/>
      <c r="C3" s="251" t="s">
        <v>848</v>
      </c>
      <c r="D3" s="13"/>
      <c r="E3" s="252" t="s">
        <v>849</v>
      </c>
      <c r="F3" s="217"/>
      <c r="G3" s="252" t="s">
        <v>850</v>
      </c>
      <c r="H3" s="217"/>
      <c r="I3" s="252" t="s">
        <v>851</v>
      </c>
      <c r="J3" s="217"/>
      <c r="K3" s="252" t="s">
        <v>852</v>
      </c>
      <c r="L3" s="217"/>
      <c r="M3" s="252" t="s">
        <v>853</v>
      </c>
      <c r="N3" s="217"/>
      <c r="O3" s="252" t="s">
        <v>854</v>
      </c>
      <c r="P3" s="217"/>
      <c r="Q3" s="252" t="s">
        <v>855</v>
      </c>
      <c r="R3" s="217"/>
      <c r="S3" s="252" t="s">
        <v>856</v>
      </c>
      <c r="T3" s="217"/>
      <c r="U3" s="252" t="s">
        <v>857</v>
      </c>
      <c r="V3" s="217"/>
      <c r="W3" s="252" t="s">
        <v>858</v>
      </c>
      <c r="X3" s="217"/>
      <c r="Y3" s="252" t="s">
        <v>859</v>
      </c>
      <c r="Z3" s="217"/>
      <c r="AA3" s="252" t="s">
        <v>860</v>
      </c>
      <c r="AB3" s="217"/>
      <c r="AC3" s="252" t="s">
        <v>861</v>
      </c>
      <c r="AD3" s="217"/>
      <c r="AE3" s="252" t="s">
        <v>862</v>
      </c>
      <c r="AF3" s="217"/>
      <c r="AG3" s="252" t="s">
        <v>863</v>
      </c>
      <c r="AH3" s="13"/>
    </row>
    <row r="4" spans="1:34" s="235" customFormat="1" ht="14.25">
      <c r="A4" s="235" t="s">
        <v>865</v>
      </c>
      <c r="C4" s="253">
        <v>1.0249999999999999</v>
      </c>
      <c r="E4" s="235">
        <f>Application!Y785</f>
        <v>2585772</v>
      </c>
      <c r="G4" s="235">
        <f>E4*$C$4</f>
        <v>2650416.2999999998</v>
      </c>
      <c r="I4" s="235">
        <f>G4*$C$4</f>
        <v>2716676.7074999996</v>
      </c>
      <c r="K4" s="235">
        <f>I4*$C$4</f>
        <v>2784593.6251874994</v>
      </c>
      <c r="M4" s="235">
        <f>K4*$C$4</f>
        <v>2854208.4658171865</v>
      </c>
      <c r="O4" s="235">
        <f>M4*$C$4</f>
        <v>2925563.677462616</v>
      </c>
      <c r="Q4" s="235">
        <f>O4*$C$4</f>
        <v>2998702.769399181</v>
      </c>
      <c r="S4" s="235">
        <f>Q4*$C$4</f>
        <v>3073670.3386341603</v>
      </c>
      <c r="U4" s="235">
        <f>S4*$C$4</f>
        <v>3150512.0971000139</v>
      </c>
      <c r="W4" s="235">
        <f>U4*$C$4</f>
        <v>3229274.8995275139</v>
      </c>
      <c r="Y4" s="235">
        <f>W4*$C$4</f>
        <v>3310006.7720157015</v>
      </c>
      <c r="AA4" s="235">
        <f>Y4*$C$4</f>
        <v>3392756.9413160938</v>
      </c>
      <c r="AC4" s="235">
        <f>AA4*$C$4</f>
        <v>3477575.864848996</v>
      </c>
      <c r="AE4" s="235">
        <f>AC4*$C$4</f>
        <v>3564515.2614702205</v>
      </c>
      <c r="AG4" s="235">
        <f>AE4*$C$4</f>
        <v>3653628.1430069758</v>
      </c>
    </row>
    <row r="5" spans="1:34" s="225" customFormat="1" ht="14.25">
      <c r="B5" s="225" t="s">
        <v>866</v>
      </c>
      <c r="C5" s="254">
        <f>IF(Application!$D$210="Special Needs",0.1,0.05)</f>
        <v>0.05</v>
      </c>
      <c r="E5" s="237">
        <f>-E4*$C$5</f>
        <v>-129288.6</v>
      </c>
      <c r="F5" s="237"/>
      <c r="G5" s="237">
        <f>-G4*$C$5</f>
        <v>-132520.815</v>
      </c>
      <c r="H5" s="237"/>
      <c r="I5" s="237">
        <f>-I4*$C$5</f>
        <v>-135833.835375</v>
      </c>
      <c r="J5" s="237"/>
      <c r="K5" s="237">
        <f>-K4*$C$5</f>
        <v>-139229.68125937498</v>
      </c>
      <c r="L5" s="237"/>
      <c r="M5" s="237">
        <f>-M4*$C$5</f>
        <v>-142710.42329085933</v>
      </c>
      <c r="N5" s="237"/>
      <c r="O5" s="237">
        <f>-O4*$C$5</f>
        <v>-146278.18387313079</v>
      </c>
      <c r="P5" s="237"/>
      <c r="Q5" s="237">
        <f>-Q4*$C$5</f>
        <v>-149935.13846995906</v>
      </c>
      <c r="R5" s="237"/>
      <c r="S5" s="237">
        <f>-S4*$C$5</f>
        <v>-153683.51693170803</v>
      </c>
      <c r="T5" s="237"/>
      <c r="U5" s="237">
        <f>-U4*$C$5</f>
        <v>-157525.60485500071</v>
      </c>
      <c r="V5" s="237"/>
      <c r="W5" s="237">
        <f>-W4*$C$5</f>
        <v>-161463.74497637572</v>
      </c>
      <c r="X5" s="237"/>
      <c r="Y5" s="237">
        <f>-Y4*$C$5</f>
        <v>-165500.33860078509</v>
      </c>
      <c r="Z5" s="237"/>
      <c r="AA5" s="237">
        <f>-AA4*$C$5</f>
        <v>-169637.8470658047</v>
      </c>
      <c r="AB5" s="237"/>
      <c r="AC5" s="237">
        <f>-AC4*$C$5</f>
        <v>-173878.79324244981</v>
      </c>
      <c r="AD5" s="237"/>
      <c r="AE5" s="237">
        <f>-AE4*$C$5</f>
        <v>-178225.76307351104</v>
      </c>
      <c r="AF5" s="237"/>
      <c r="AG5" s="237">
        <f>-AG4*$C$5</f>
        <v>-182681.40715034879</v>
      </c>
    </row>
    <row r="6" spans="1:34" s="225" customFormat="1" ht="14.25">
      <c r="A6" s="225" t="s">
        <v>864</v>
      </c>
      <c r="C6" s="253">
        <v>1.0249999999999999</v>
      </c>
      <c r="E6" s="238">
        <f>Application!Z793</f>
        <v>166860</v>
      </c>
      <c r="F6" s="238"/>
      <c r="G6" s="238">
        <f>E6*$C$6</f>
        <v>171031.49999999997</v>
      </c>
      <c r="H6" s="238"/>
      <c r="I6" s="238">
        <f>G6*$C$6</f>
        <v>175307.28749999995</v>
      </c>
      <c r="J6" s="238"/>
      <c r="K6" s="238">
        <f>I6*$C$6</f>
        <v>179689.96968749992</v>
      </c>
      <c r="L6" s="238"/>
      <c r="M6" s="238">
        <f>K6*$C$6</f>
        <v>184182.2189296874</v>
      </c>
      <c r="N6" s="238"/>
      <c r="O6" s="238">
        <f>M6*$C$6</f>
        <v>188786.77440292956</v>
      </c>
      <c r="P6" s="238"/>
      <c r="Q6" s="238">
        <f>O6*$C$6</f>
        <v>193506.44376300278</v>
      </c>
      <c r="R6" s="238"/>
      <c r="S6" s="238">
        <f>Q6*$C$6</f>
        <v>198344.10485707782</v>
      </c>
      <c r="T6" s="238"/>
      <c r="U6" s="238">
        <f>S6*$C$6</f>
        <v>203302.70747850474</v>
      </c>
      <c r="V6" s="238"/>
      <c r="W6" s="238">
        <f>U6*$C$6</f>
        <v>208385.27516546735</v>
      </c>
      <c r="X6" s="238"/>
      <c r="Y6" s="238">
        <f>W6*$C$6</f>
        <v>213594.90704460401</v>
      </c>
      <c r="Z6" s="238"/>
      <c r="AA6" s="238">
        <f>Y6*$C$6</f>
        <v>218934.77972071909</v>
      </c>
      <c r="AB6" s="238"/>
      <c r="AC6" s="238">
        <f>AA6*$C$6</f>
        <v>224408.14921373705</v>
      </c>
      <c r="AD6" s="238"/>
      <c r="AE6" s="238">
        <f>AC6*$C$6</f>
        <v>230018.35294408046</v>
      </c>
      <c r="AF6" s="238"/>
      <c r="AG6" s="238">
        <f>AE6*$C$6</f>
        <v>235768.81176768243</v>
      </c>
    </row>
    <row r="7" spans="1:34" s="225" customFormat="1" ht="14.25">
      <c r="B7" s="225" t="s">
        <v>866</v>
      </c>
      <c r="C7" s="254">
        <f>IF(Application!$D$210="Special Needs",0.1,0.05)</f>
        <v>0.05</v>
      </c>
      <c r="E7" s="237">
        <f>-E6*$C$7</f>
        <v>-8343</v>
      </c>
      <c r="F7" s="237"/>
      <c r="G7" s="237">
        <f>-G6*$C$7</f>
        <v>-8551.5749999999989</v>
      </c>
      <c r="H7" s="237"/>
      <c r="I7" s="237">
        <f>-I6*$C$7</f>
        <v>-8765.3643749999974</v>
      </c>
      <c r="J7" s="237"/>
      <c r="K7" s="237">
        <f>-K6*$C$7</f>
        <v>-8984.4984843749971</v>
      </c>
      <c r="L7" s="237"/>
      <c r="M7" s="237">
        <f>-M6*$C$7</f>
        <v>-9209.1109464843703</v>
      </c>
      <c r="N7" s="237"/>
      <c r="O7" s="237">
        <f>-O6*$C$7</f>
        <v>-9439.3387201464775</v>
      </c>
      <c r="P7" s="237"/>
      <c r="Q7" s="237">
        <f>-Q6*$C$7</f>
        <v>-9675.3221881501395</v>
      </c>
      <c r="R7" s="237"/>
      <c r="S7" s="237">
        <f>-S6*$C$7</f>
        <v>-9917.2052428538918</v>
      </c>
      <c r="T7" s="237"/>
      <c r="U7" s="237">
        <f>-U6*$C$7</f>
        <v>-10165.135373925237</v>
      </c>
      <c r="V7" s="237"/>
      <c r="W7" s="237">
        <f>-W6*$C$7</f>
        <v>-10419.263758273368</v>
      </c>
      <c r="X7" s="237"/>
      <c r="Y7" s="237">
        <f>-Y6*$C$7</f>
        <v>-10679.745352230202</v>
      </c>
      <c r="Z7" s="237"/>
      <c r="AA7" s="237">
        <f>-AA6*$C$7</f>
        <v>-10946.738986035954</v>
      </c>
      <c r="AB7" s="237"/>
      <c r="AC7" s="237">
        <f>-AC6*$C$7</f>
        <v>-11220.407460686853</v>
      </c>
      <c r="AD7" s="237"/>
      <c r="AE7" s="237">
        <f>-AE6*$C$7</f>
        <v>-11500.917647204024</v>
      </c>
      <c r="AF7" s="237"/>
      <c r="AG7" s="237">
        <f>-AG6*$C$7</f>
        <v>-11788.440588384123</v>
      </c>
    </row>
    <row r="8" spans="1:34" s="225" customFormat="1" ht="14.25">
      <c r="A8" s="225" t="s">
        <v>289</v>
      </c>
      <c r="C8" s="253">
        <v>1.0249999999999999</v>
      </c>
      <c r="E8" s="238">
        <f>Application!Z801</f>
        <v>30240</v>
      </c>
      <c r="F8" s="238"/>
      <c r="G8" s="238">
        <f>E8*$C$8</f>
        <v>30995.999999999996</v>
      </c>
      <c r="H8" s="238"/>
      <c r="I8" s="238">
        <f>G8*$C$8</f>
        <v>31770.899999999994</v>
      </c>
      <c r="J8" s="238"/>
      <c r="K8" s="238">
        <f>I8*$C$8</f>
        <v>32565.17249999999</v>
      </c>
      <c r="L8" s="238"/>
      <c r="M8" s="238">
        <f>K8*$C$8</f>
        <v>33379.301812499987</v>
      </c>
      <c r="N8" s="238"/>
      <c r="O8" s="238">
        <f>M8*$C$8</f>
        <v>34213.784357812481</v>
      </c>
      <c r="P8" s="238"/>
      <c r="Q8" s="238">
        <f>O8*$C$8</f>
        <v>35069.128966757788</v>
      </c>
      <c r="R8" s="238"/>
      <c r="S8" s="238">
        <f>Q8*$C$8</f>
        <v>35945.857190926727</v>
      </c>
      <c r="T8" s="238"/>
      <c r="U8" s="238">
        <f>S8*$C$8</f>
        <v>36844.503620699892</v>
      </c>
      <c r="V8" s="238"/>
      <c r="W8" s="238">
        <f>U8*$C$8</f>
        <v>37765.616211217384</v>
      </c>
      <c r="X8" s="238"/>
      <c r="Y8" s="238">
        <f>W8*$C$8</f>
        <v>38709.756616497813</v>
      </c>
      <c r="Z8" s="238"/>
      <c r="AA8" s="238">
        <f>Y8*$C$8</f>
        <v>39677.500531910257</v>
      </c>
      <c r="AB8" s="238"/>
      <c r="AC8" s="238">
        <f>AA8*$C$8</f>
        <v>40669.438045208008</v>
      </c>
      <c r="AD8" s="238"/>
      <c r="AE8" s="238">
        <f>AC8*$C$8</f>
        <v>41686.173996338206</v>
      </c>
      <c r="AF8" s="238"/>
      <c r="AG8" s="238">
        <f>AE8*$C$8</f>
        <v>42728.328346246657</v>
      </c>
    </row>
    <row r="9" spans="1:34" s="225" customFormat="1" ht="14.25">
      <c r="B9" s="225" t="s">
        <v>866</v>
      </c>
      <c r="C9" s="254">
        <f>IF(Application!$D$210="Special Needs",0.1,0.05)</f>
        <v>0.05</v>
      </c>
      <c r="E9" s="237">
        <f>-E8*$C$9</f>
        <v>-1512</v>
      </c>
      <c r="F9" s="237"/>
      <c r="G9" s="237">
        <f>-G8*$C$9</f>
        <v>-1549.8</v>
      </c>
      <c r="H9" s="237"/>
      <c r="I9" s="237">
        <f>-I8*$C$9</f>
        <v>-1588.5449999999998</v>
      </c>
      <c r="J9" s="237"/>
      <c r="K9" s="237">
        <f>-K8*$C$9</f>
        <v>-1628.2586249999995</v>
      </c>
      <c r="L9" s="237"/>
      <c r="M9" s="237">
        <f>-M8*$C$9</f>
        <v>-1668.9650906249994</v>
      </c>
      <c r="N9" s="237"/>
      <c r="O9" s="237">
        <f>-O8*$C$9</f>
        <v>-1710.6892178906241</v>
      </c>
      <c r="P9" s="237"/>
      <c r="Q9" s="237">
        <f>-Q8*$C$9</f>
        <v>-1753.4564483378895</v>
      </c>
      <c r="R9" s="237"/>
      <c r="S9" s="237">
        <f>-S8*$C$9</f>
        <v>-1797.2928595463363</v>
      </c>
      <c r="T9" s="237"/>
      <c r="U9" s="237">
        <f>-U8*$C$9</f>
        <v>-1842.2251810349946</v>
      </c>
      <c r="V9" s="237"/>
      <c r="W9" s="237">
        <f>-W8*$C$9</f>
        <v>-1888.2808105608692</v>
      </c>
      <c r="X9" s="237"/>
      <c r="Y9" s="237">
        <f>-Y8*$C$9</f>
        <v>-1935.4878308248908</v>
      </c>
      <c r="Z9" s="237"/>
      <c r="AA9" s="237">
        <f>-AA8*$C$9</f>
        <v>-1983.875026595513</v>
      </c>
      <c r="AB9" s="237"/>
      <c r="AC9" s="237">
        <f>-AC8*$C$9</f>
        <v>-2033.4719022604004</v>
      </c>
      <c r="AD9" s="237"/>
      <c r="AE9" s="237">
        <f>-AE8*$C$9</f>
        <v>-2084.3086998169106</v>
      </c>
      <c r="AF9" s="237"/>
      <c r="AG9" s="237">
        <f>-AG8*$C$9</f>
        <v>-2136.4164173123331</v>
      </c>
    </row>
    <row r="10" spans="1:34" s="225" customFormat="1" ht="14.25">
      <c r="A10" s="1196" t="s">
        <v>2522</v>
      </c>
      <c r="B10" s="1196"/>
      <c r="C10" s="254"/>
      <c r="E10" s="1197"/>
      <c r="F10" s="238"/>
      <c r="G10" s="1197"/>
      <c r="H10" s="238"/>
      <c r="I10" s="1197"/>
      <c r="J10" s="238"/>
      <c r="K10" s="1197"/>
      <c r="L10" s="238"/>
      <c r="M10" s="1197"/>
      <c r="N10" s="238"/>
      <c r="O10" s="1197"/>
      <c r="P10" s="238"/>
      <c r="Q10" s="1197"/>
      <c r="R10" s="238"/>
      <c r="S10" s="1197"/>
      <c r="T10" s="238"/>
      <c r="U10" s="1197"/>
      <c r="V10" s="238"/>
      <c r="W10" s="1197"/>
      <c r="X10" s="238"/>
      <c r="Y10" s="1197"/>
      <c r="Z10" s="238"/>
      <c r="AA10" s="1197"/>
      <c r="AB10" s="238"/>
      <c r="AC10" s="1197"/>
      <c r="AD10" s="238"/>
      <c r="AE10" s="1197"/>
      <c r="AF10" s="238"/>
      <c r="AG10" s="1197"/>
    </row>
    <row r="11" spans="1:34" s="239" customFormat="1" ht="15">
      <c r="A11" s="239" t="s">
        <v>887</v>
      </c>
      <c r="C11" s="231"/>
      <c r="E11" s="239">
        <f>SUM(E4:E10)</f>
        <v>2643728.4</v>
      </c>
      <c r="G11" s="239">
        <f>SUM(G4:G10)</f>
        <v>2709821.61</v>
      </c>
      <c r="I11" s="239">
        <f>SUM(I4:I10)</f>
        <v>2777567.1502499999</v>
      </c>
      <c r="K11" s="239">
        <f>SUM(K4:K10)</f>
        <v>2847006.3290062496</v>
      </c>
      <c r="M11" s="239">
        <f>SUM(M4:M10)</f>
        <v>2918181.487231405</v>
      </c>
      <c r="O11" s="239">
        <f>SUM(O4:O10)</f>
        <v>2991136.0244121896</v>
      </c>
      <c r="Q11" s="239">
        <f>SUM(Q4:Q10)</f>
        <v>3065914.425022494</v>
      </c>
      <c r="S11" s="239">
        <f>SUM(S4:S10)</f>
        <v>3142562.2856480563</v>
      </c>
      <c r="U11" s="239">
        <f>SUM(U4:U10)</f>
        <v>3221126.3427892579</v>
      </c>
      <c r="W11" s="239">
        <f>SUM(W4:W10)</f>
        <v>3301654.5013589887</v>
      </c>
      <c r="Y11" s="239">
        <f>SUM(Y4:Y10)</f>
        <v>3384195.8638929636</v>
      </c>
      <c r="AA11" s="239">
        <f>SUM(AA4:AA10)</f>
        <v>3468800.7604902876</v>
      </c>
      <c r="AC11" s="239">
        <f>SUM(AC4:AC10)</f>
        <v>3555520.7795025436</v>
      </c>
      <c r="AE11" s="239">
        <f>SUM(AE4:AE10)</f>
        <v>3644408.7989901071</v>
      </c>
      <c r="AG11" s="239">
        <f>SUM(AG4:AG10)</f>
        <v>3735519.0189648601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867</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868</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869</v>
      </c>
      <c r="C15" s="185"/>
      <c r="E15" s="235">
        <f>Application!W831</f>
        <v>65025</v>
      </c>
      <c r="G15" s="235">
        <f>E15*$C$14</f>
        <v>67300.875</v>
      </c>
      <c r="I15" s="235">
        <f>G15*$C$14</f>
        <v>69656.405624999999</v>
      </c>
      <c r="K15" s="235">
        <f>I15*$C$14</f>
        <v>72094.379821874987</v>
      </c>
      <c r="M15" s="235">
        <f>K15*$C$14</f>
        <v>74617.683115640612</v>
      </c>
      <c r="O15" s="235">
        <f>M15*$C$14</f>
        <v>77229.302024688033</v>
      </c>
      <c r="Q15" s="235">
        <f>O15*$C$14</f>
        <v>79932.327595552109</v>
      </c>
      <c r="S15" s="235">
        <f>Q15*$C$14</f>
        <v>82729.959061396425</v>
      </c>
      <c r="U15" s="235">
        <f>S15*$C$14</f>
        <v>85625.507628545296</v>
      </c>
      <c r="W15" s="235">
        <f>U15*$C$14</f>
        <v>88622.400395544377</v>
      </c>
      <c r="Y15" s="235">
        <f>W15*$C$14</f>
        <v>91724.184409388428</v>
      </c>
      <c r="AA15" s="235">
        <f>Y15*$C$14</f>
        <v>94934.530863717009</v>
      </c>
      <c r="AC15" s="235">
        <f>AA15*$C$14</f>
        <v>98257.239443947095</v>
      </c>
      <c r="AE15" s="235">
        <f>AC15*$C$14</f>
        <v>101696.24282448523</v>
      </c>
      <c r="AG15" s="235">
        <f>AE15*$C$14</f>
        <v>105255.61132334221</v>
      </c>
    </row>
    <row r="16" spans="1:34" s="225" customFormat="1" ht="14.25">
      <c r="A16" s="225" t="s">
        <v>345</v>
      </c>
      <c r="C16" s="249"/>
      <c r="E16" s="238">
        <f>Application!W833</f>
        <v>105749</v>
      </c>
      <c r="F16" s="238"/>
      <c r="G16" s="238">
        <f t="shared" ref="G16:AG21" si="0">E16*$C$14</f>
        <v>109450.215</v>
      </c>
      <c r="H16" s="238"/>
      <c r="I16" s="238">
        <f t="shared" si="0"/>
        <v>113280.97252499999</v>
      </c>
      <c r="J16" s="238"/>
      <c r="K16" s="238">
        <f t="shared" si="0"/>
        <v>117245.80656337498</v>
      </c>
      <c r="L16" s="238"/>
      <c r="M16" s="238">
        <f t="shared" si="0"/>
        <v>121349.40979309309</v>
      </c>
      <c r="N16" s="238"/>
      <c r="O16" s="238">
        <f t="shared" si="0"/>
        <v>125596.63913585134</v>
      </c>
      <c r="P16" s="238"/>
      <c r="Q16" s="238">
        <f t="shared" si="0"/>
        <v>129992.52150560613</v>
      </c>
      <c r="R16" s="238"/>
      <c r="S16" s="238">
        <f t="shared" si="0"/>
        <v>134542.25975830233</v>
      </c>
      <c r="T16" s="238"/>
      <c r="U16" s="238">
        <f t="shared" si="0"/>
        <v>139251.23884984289</v>
      </c>
      <c r="V16" s="238"/>
      <c r="W16" s="238">
        <f t="shared" si="0"/>
        <v>144125.03220958737</v>
      </c>
      <c r="X16" s="238"/>
      <c r="Y16" s="238">
        <f t="shared" si="0"/>
        <v>149169.4083369229</v>
      </c>
      <c r="Z16" s="238"/>
      <c r="AA16" s="238">
        <f t="shared" si="0"/>
        <v>154390.33762871521</v>
      </c>
      <c r="AB16" s="238"/>
      <c r="AC16" s="238">
        <f t="shared" si="0"/>
        <v>159793.99944572023</v>
      </c>
      <c r="AD16" s="238"/>
      <c r="AE16" s="238">
        <f t="shared" si="0"/>
        <v>165386.78942632044</v>
      </c>
      <c r="AF16" s="238"/>
      <c r="AG16" s="238">
        <f t="shared" si="0"/>
        <v>171175.32705624163</v>
      </c>
    </row>
    <row r="17" spans="1:33" s="225" customFormat="1" ht="14.25">
      <c r="A17" s="225" t="s">
        <v>570</v>
      </c>
      <c r="C17" s="249"/>
      <c r="E17" s="238">
        <f>Application!W839</f>
        <v>172200</v>
      </c>
      <c r="F17" s="238"/>
      <c r="G17" s="238">
        <f t="shared" si="0"/>
        <v>178227</v>
      </c>
      <c r="H17" s="238"/>
      <c r="I17" s="238">
        <f t="shared" si="0"/>
        <v>184464.94499999998</v>
      </c>
      <c r="J17" s="238"/>
      <c r="K17" s="238">
        <f t="shared" si="0"/>
        <v>190921.21807499995</v>
      </c>
      <c r="L17" s="238"/>
      <c r="M17" s="238">
        <f t="shared" si="0"/>
        <v>197603.46070762494</v>
      </c>
      <c r="N17" s="238"/>
      <c r="O17" s="238">
        <f t="shared" si="0"/>
        <v>204519.58183239179</v>
      </c>
      <c r="P17" s="238"/>
      <c r="Q17" s="238">
        <f t="shared" si="0"/>
        <v>211677.7671965255</v>
      </c>
      <c r="R17" s="238"/>
      <c r="S17" s="238">
        <f t="shared" si="0"/>
        <v>219086.48904840386</v>
      </c>
      <c r="T17" s="238"/>
      <c r="U17" s="238">
        <f t="shared" si="0"/>
        <v>226754.51616509797</v>
      </c>
      <c r="V17" s="238"/>
      <c r="W17" s="238">
        <f t="shared" si="0"/>
        <v>234690.92423087638</v>
      </c>
      <c r="X17" s="238"/>
      <c r="Y17" s="238">
        <f t="shared" si="0"/>
        <v>242905.10657895703</v>
      </c>
      <c r="Z17" s="238"/>
      <c r="AA17" s="238">
        <f t="shared" si="0"/>
        <v>251406.78530922049</v>
      </c>
      <c r="AB17" s="238"/>
      <c r="AC17" s="238">
        <f t="shared" si="0"/>
        <v>260206.02279504319</v>
      </c>
      <c r="AD17" s="238"/>
      <c r="AE17" s="238">
        <f t="shared" si="0"/>
        <v>269313.23359286966</v>
      </c>
      <c r="AF17" s="238"/>
      <c r="AG17" s="238">
        <f t="shared" si="0"/>
        <v>278739.19676862005</v>
      </c>
    </row>
    <row r="18" spans="1:33" s="225" customFormat="1" ht="14.25">
      <c r="A18" s="225" t="s">
        <v>870</v>
      </c>
      <c r="C18" s="249"/>
      <c r="E18" s="238">
        <f>Application!W846</f>
        <v>312984</v>
      </c>
      <c r="F18" s="238"/>
      <c r="G18" s="238">
        <f t="shared" si="0"/>
        <v>323938.44</v>
      </c>
      <c r="H18" s="238"/>
      <c r="I18" s="238">
        <f t="shared" si="0"/>
        <v>335276.28539999999</v>
      </c>
      <c r="J18" s="238"/>
      <c r="K18" s="238">
        <f t="shared" si="0"/>
        <v>347010.95538899995</v>
      </c>
      <c r="L18" s="238"/>
      <c r="M18" s="238">
        <f t="shared" si="0"/>
        <v>359156.33882761491</v>
      </c>
      <c r="N18" s="238"/>
      <c r="O18" s="238">
        <f t="shared" si="0"/>
        <v>371726.81068658142</v>
      </c>
      <c r="P18" s="238"/>
      <c r="Q18" s="238">
        <f t="shared" si="0"/>
        <v>384737.24906061176</v>
      </c>
      <c r="R18" s="238"/>
      <c r="S18" s="238">
        <f t="shared" si="0"/>
        <v>398203.05277773313</v>
      </c>
      <c r="T18" s="238"/>
      <c r="U18" s="238">
        <f t="shared" si="0"/>
        <v>412140.15962495375</v>
      </c>
      <c r="V18" s="238"/>
      <c r="W18" s="238">
        <f t="shared" si="0"/>
        <v>426565.06521182711</v>
      </c>
      <c r="X18" s="238"/>
      <c r="Y18" s="238">
        <f t="shared" si="0"/>
        <v>441494.84249424102</v>
      </c>
      <c r="Z18" s="238"/>
      <c r="AA18" s="238">
        <f t="shared" si="0"/>
        <v>456947.16198153939</v>
      </c>
      <c r="AB18" s="238"/>
      <c r="AC18" s="238">
        <f t="shared" si="0"/>
        <v>472940.31265089323</v>
      </c>
      <c r="AD18" s="238"/>
      <c r="AE18" s="238">
        <f t="shared" si="0"/>
        <v>489493.22359367448</v>
      </c>
      <c r="AF18" s="238"/>
      <c r="AG18" s="238">
        <f t="shared" si="0"/>
        <v>506625.48641945305</v>
      </c>
    </row>
    <row r="19" spans="1:33" s="225" customFormat="1" ht="14.25">
      <c r="A19" s="225" t="s">
        <v>156</v>
      </c>
      <c r="C19" s="249"/>
      <c r="E19" s="238">
        <f>Application!W847</f>
        <v>67200</v>
      </c>
      <c r="F19" s="238"/>
      <c r="G19" s="238">
        <f t="shared" si="0"/>
        <v>69552</v>
      </c>
      <c r="H19" s="238"/>
      <c r="I19" s="238">
        <f t="shared" si="0"/>
        <v>71986.319999999992</v>
      </c>
      <c r="J19" s="238"/>
      <c r="K19" s="238">
        <f t="shared" si="0"/>
        <v>74505.841199999981</v>
      </c>
      <c r="L19" s="238"/>
      <c r="M19" s="238">
        <f t="shared" si="0"/>
        <v>77113.545641999968</v>
      </c>
      <c r="N19" s="238"/>
      <c r="O19" s="238">
        <f t="shared" si="0"/>
        <v>79812.519739469964</v>
      </c>
      <c r="P19" s="238"/>
      <c r="Q19" s="238">
        <f t="shared" si="0"/>
        <v>82605.957930351404</v>
      </c>
      <c r="R19" s="238"/>
      <c r="S19" s="238">
        <f t="shared" si="0"/>
        <v>85497.1664579137</v>
      </c>
      <c r="T19" s="238"/>
      <c r="U19" s="238">
        <f t="shared" si="0"/>
        <v>88489.567283940676</v>
      </c>
      <c r="V19" s="238"/>
      <c r="W19" s="238">
        <f t="shared" si="0"/>
        <v>91586.702138878594</v>
      </c>
      <c r="X19" s="238"/>
      <c r="Y19" s="238">
        <f t="shared" si="0"/>
        <v>94792.236713739345</v>
      </c>
      <c r="Z19" s="238"/>
      <c r="AA19" s="238">
        <f t="shared" si="0"/>
        <v>98109.964998720214</v>
      </c>
      <c r="AB19" s="238"/>
      <c r="AC19" s="238">
        <f t="shared" si="0"/>
        <v>101543.81377367541</v>
      </c>
      <c r="AD19" s="238"/>
      <c r="AE19" s="238">
        <f t="shared" si="0"/>
        <v>105097.84725575405</v>
      </c>
      <c r="AF19" s="238"/>
      <c r="AG19" s="238">
        <f t="shared" si="0"/>
        <v>108776.27190970544</v>
      </c>
    </row>
    <row r="20" spans="1:33" s="225" customFormat="1" ht="14.25">
      <c r="A20" s="225" t="s">
        <v>391</v>
      </c>
      <c r="C20" s="249"/>
      <c r="E20" s="238">
        <f>Application!W856</f>
        <v>98280</v>
      </c>
      <c r="F20" s="238"/>
      <c r="G20" s="238">
        <f t="shared" si="0"/>
        <v>101719.79999999999</v>
      </c>
      <c r="H20" s="238"/>
      <c r="I20" s="238">
        <f t="shared" si="0"/>
        <v>105279.99299999997</v>
      </c>
      <c r="J20" s="238"/>
      <c r="K20" s="238">
        <f t="shared" si="0"/>
        <v>108964.79275499996</v>
      </c>
      <c r="L20" s="238"/>
      <c r="M20" s="238">
        <f t="shared" si="0"/>
        <v>112778.56050142494</v>
      </c>
      <c r="N20" s="238"/>
      <c r="O20" s="238">
        <f t="shared" si="0"/>
        <v>116725.81011897481</v>
      </c>
      <c r="P20" s="238"/>
      <c r="Q20" s="238">
        <f t="shared" si="0"/>
        <v>120811.21347313892</v>
      </c>
      <c r="R20" s="238"/>
      <c r="S20" s="238">
        <f t="shared" si="0"/>
        <v>125039.60594469878</v>
      </c>
      <c r="T20" s="238"/>
      <c r="U20" s="238">
        <f t="shared" si="0"/>
        <v>129415.99215276323</v>
      </c>
      <c r="V20" s="238"/>
      <c r="W20" s="238">
        <f t="shared" si="0"/>
        <v>133945.55187810992</v>
      </c>
      <c r="X20" s="238"/>
      <c r="Y20" s="238">
        <f t="shared" si="0"/>
        <v>138633.64619384377</v>
      </c>
      <c r="Z20" s="238"/>
      <c r="AA20" s="238">
        <f t="shared" si="0"/>
        <v>143485.8238106283</v>
      </c>
      <c r="AB20" s="238"/>
      <c r="AC20" s="238">
        <f t="shared" si="0"/>
        <v>148507.82764400027</v>
      </c>
      <c r="AD20" s="238"/>
      <c r="AE20" s="238">
        <f t="shared" si="0"/>
        <v>153705.60161154027</v>
      </c>
      <c r="AF20" s="238"/>
      <c r="AG20" s="238">
        <f t="shared" si="0"/>
        <v>159085.29766794416</v>
      </c>
    </row>
    <row r="21" spans="1:33" s="225" customFormat="1" ht="14.25">
      <c r="A21" s="242" t="s">
        <v>1002</v>
      </c>
      <c r="B21" s="242"/>
      <c r="C21" s="249"/>
      <c r="E21" s="248">
        <f>Application!W863</f>
        <v>12432</v>
      </c>
      <c r="F21" s="238"/>
      <c r="G21" s="248">
        <f t="shared" si="0"/>
        <v>12867.119999999999</v>
      </c>
      <c r="H21" s="238"/>
      <c r="I21" s="248">
        <f t="shared" si="0"/>
        <v>13317.469199999998</v>
      </c>
      <c r="J21" s="238"/>
      <c r="K21" s="248">
        <f t="shared" si="0"/>
        <v>13783.580621999996</v>
      </c>
      <c r="L21" s="238"/>
      <c r="M21" s="248">
        <f t="shared" si="0"/>
        <v>14266.005943769995</v>
      </c>
      <c r="N21" s="238"/>
      <c r="O21" s="248">
        <f t="shared" si="0"/>
        <v>14765.316151801944</v>
      </c>
      <c r="P21" s="238"/>
      <c r="Q21" s="248">
        <f t="shared" si="0"/>
        <v>15282.102217115011</v>
      </c>
      <c r="R21" s="238"/>
      <c r="S21" s="248">
        <f t="shared" si="0"/>
        <v>15816.975794714035</v>
      </c>
      <c r="T21" s="238"/>
      <c r="U21" s="248">
        <f t="shared" si="0"/>
        <v>16370.569947529026</v>
      </c>
      <c r="V21" s="238"/>
      <c r="W21" s="248">
        <f t="shared" si="0"/>
        <v>16943.539895692542</v>
      </c>
      <c r="X21" s="238"/>
      <c r="Y21" s="248">
        <f t="shared" si="0"/>
        <v>17536.563792041779</v>
      </c>
      <c r="Z21" s="238"/>
      <c r="AA21" s="248">
        <f t="shared" si="0"/>
        <v>18150.343524763241</v>
      </c>
      <c r="AB21" s="238"/>
      <c r="AC21" s="248">
        <f t="shared" si="0"/>
        <v>18785.605548129952</v>
      </c>
      <c r="AD21" s="238"/>
      <c r="AE21" s="248">
        <f t="shared" si="0"/>
        <v>19443.101742314499</v>
      </c>
      <c r="AF21" s="238"/>
      <c r="AG21" s="248">
        <f t="shared" si="0"/>
        <v>20123.610303295503</v>
      </c>
    </row>
    <row r="22" spans="1:33" s="239" customFormat="1" ht="15">
      <c r="A22" s="239" t="s">
        <v>871</v>
      </c>
      <c r="C22" s="249"/>
      <c r="E22" s="239">
        <f>SUM(E15:E21)</f>
        <v>833870</v>
      </c>
      <c r="G22" s="239">
        <f>SUM(G15:G21)</f>
        <v>863055.45000000007</v>
      </c>
      <c r="I22" s="239">
        <f>SUM(I15:I21)</f>
        <v>893262.39075000002</v>
      </c>
      <c r="K22" s="239">
        <f>SUM(K15:K21)</f>
        <v>924526.57442624995</v>
      </c>
      <c r="M22" s="239">
        <f>SUM(M15:M21)</f>
        <v>956885.00453116838</v>
      </c>
      <c r="O22" s="239">
        <f>SUM(O15:O21)</f>
        <v>990375.97968975932</v>
      </c>
      <c r="Q22" s="239">
        <f>SUM(Q15:Q21)</f>
        <v>1025039.1389789009</v>
      </c>
      <c r="S22" s="239">
        <f>SUM(S15:S21)</f>
        <v>1060915.5088431621</v>
      </c>
      <c r="U22" s="239">
        <f>SUM(U15:U21)</f>
        <v>1098047.5516526729</v>
      </c>
      <c r="W22" s="239">
        <f>SUM(W15:W21)</f>
        <v>1136479.2159605164</v>
      </c>
      <c r="Y22" s="239">
        <f>SUM(Y15:Y21)</f>
        <v>1176255.9885191342</v>
      </c>
      <c r="AA22" s="239">
        <f>SUM(AA15:AA21)</f>
        <v>1217424.9481173039</v>
      </c>
      <c r="AC22" s="239">
        <f>SUM(AC15:AC21)</f>
        <v>1260034.8213014093</v>
      </c>
      <c r="AE22" s="239">
        <f>SUM(AE15:AE21)</f>
        <v>1304136.0400469585</v>
      </c>
      <c r="AG22" s="239">
        <f>SUM(AG15:AG21)</f>
        <v>1349780.801448602</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1941</v>
      </c>
      <c r="C24" s="249"/>
      <c r="E24" s="947"/>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1301</v>
      </c>
      <c r="C26" s="253">
        <v>1.0349999999999999</v>
      </c>
      <c r="E26" s="238">
        <f>Application!AC871</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873</v>
      </c>
      <c r="C27" s="253">
        <v>1.0349999999999999</v>
      </c>
      <c r="E27" s="238">
        <f>Application!AC872</f>
        <v>25200</v>
      </c>
      <c r="F27" s="238"/>
      <c r="G27" s="238">
        <f>E27*$C$27</f>
        <v>26081.999999999996</v>
      </c>
      <c r="H27" s="238"/>
      <c r="I27" s="238">
        <f>G27*$C$27</f>
        <v>26994.869999999995</v>
      </c>
      <c r="J27" s="238"/>
      <c r="K27" s="238">
        <f>I27*$C$27</f>
        <v>27939.690449999995</v>
      </c>
      <c r="L27" s="238"/>
      <c r="M27" s="238">
        <f>K27*$C$27</f>
        <v>28917.579615749994</v>
      </c>
      <c r="N27" s="238"/>
      <c r="O27" s="238">
        <f>M27*$C$27</f>
        <v>29929.694902301242</v>
      </c>
      <c r="P27" s="238"/>
      <c r="Q27" s="238">
        <f>O27*$C$27</f>
        <v>30977.234223881784</v>
      </c>
      <c r="R27" s="238"/>
      <c r="S27" s="238">
        <f>Q27*$C$27</f>
        <v>32061.437421717645</v>
      </c>
      <c r="T27" s="238"/>
      <c r="U27" s="238">
        <f>S27*$C$27</f>
        <v>33183.587731477761</v>
      </c>
      <c r="V27" s="238"/>
      <c r="W27" s="238">
        <f>U27*$C$27</f>
        <v>34345.013302079482</v>
      </c>
      <c r="X27" s="238"/>
      <c r="Y27" s="238">
        <f>W27*$C$27</f>
        <v>35547.088767652262</v>
      </c>
      <c r="Z27" s="238"/>
      <c r="AA27" s="238">
        <f>Y27*$C$27</f>
        <v>36791.236874520087</v>
      </c>
      <c r="AB27" s="238"/>
      <c r="AC27" s="238">
        <f>AA27*$C$27</f>
        <v>38078.930165128288</v>
      </c>
      <c r="AD27" s="238"/>
      <c r="AE27" s="238">
        <f>AC27*$C$27</f>
        <v>39411.692720907777</v>
      </c>
      <c r="AF27" s="238"/>
      <c r="AG27" s="238">
        <f>AE27*$C$27</f>
        <v>40791.101966139548</v>
      </c>
    </row>
    <row r="28" spans="1:33" s="225" customFormat="1" ht="14.25">
      <c r="A28" s="225" t="s">
        <v>874</v>
      </c>
      <c r="C28" s="253"/>
      <c r="E28" s="238">
        <f>Application!AC873</f>
        <v>50400</v>
      </c>
      <c r="F28" s="238"/>
      <c r="G28" s="238">
        <f>$E$28</f>
        <v>50400</v>
      </c>
      <c r="H28" s="238"/>
      <c r="I28" s="238">
        <f>$E$28</f>
        <v>50400</v>
      </c>
      <c r="J28" s="238"/>
      <c r="K28" s="238">
        <f>$E$28</f>
        <v>50400</v>
      </c>
      <c r="L28" s="238"/>
      <c r="M28" s="238">
        <f>$E$28</f>
        <v>50400</v>
      </c>
      <c r="N28" s="238"/>
      <c r="O28" s="238">
        <f>$E$28</f>
        <v>50400</v>
      </c>
      <c r="P28" s="238"/>
      <c r="Q28" s="238">
        <f>$E$28</f>
        <v>50400</v>
      </c>
      <c r="R28" s="238"/>
      <c r="S28" s="238">
        <f>$E$28</f>
        <v>50400</v>
      </c>
      <c r="T28" s="238"/>
      <c r="U28" s="238">
        <f>$E$28</f>
        <v>50400</v>
      </c>
      <c r="V28" s="238"/>
      <c r="W28" s="238">
        <f>$E$28</f>
        <v>50400</v>
      </c>
      <c r="X28" s="238"/>
      <c r="Y28" s="238">
        <f>$E$28</f>
        <v>50400</v>
      </c>
      <c r="Z28" s="238"/>
      <c r="AA28" s="238">
        <f>$E$28</f>
        <v>50400</v>
      </c>
      <c r="AB28" s="238"/>
      <c r="AC28" s="238">
        <f>$E$28</f>
        <v>50400</v>
      </c>
      <c r="AD28" s="238"/>
      <c r="AE28" s="238">
        <f>$E$28</f>
        <v>50400</v>
      </c>
      <c r="AF28" s="238"/>
      <c r="AG28" s="238">
        <f>$E$28</f>
        <v>50400</v>
      </c>
    </row>
    <row r="29" spans="1:33" s="225" customFormat="1" ht="14.25">
      <c r="A29" s="225" t="s">
        <v>1939</v>
      </c>
      <c r="C29" s="253"/>
      <c r="E29" s="238">
        <f>Application!AC874</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872</v>
      </c>
      <c r="C30" s="253">
        <v>1.02</v>
      </c>
      <c r="E30" s="238">
        <f>Application!AC875</f>
        <v>17136</v>
      </c>
      <c r="F30" s="238"/>
      <c r="G30" s="238">
        <f>E30*$C$30</f>
        <v>17478.72</v>
      </c>
      <c r="H30" s="238"/>
      <c r="I30" s="238">
        <f>G30*$C$30</f>
        <v>17828.294400000002</v>
      </c>
      <c r="J30" s="238"/>
      <c r="K30" s="238">
        <f>I30*$C$30</f>
        <v>18184.860288000003</v>
      </c>
      <c r="L30" s="238"/>
      <c r="M30" s="238">
        <f>K30*$C$30</f>
        <v>18548.557493760003</v>
      </c>
      <c r="N30" s="238"/>
      <c r="O30" s="238">
        <f>M30*$C$30</f>
        <v>18919.528643635203</v>
      </c>
      <c r="P30" s="238"/>
      <c r="Q30" s="238">
        <f>O30*$C$30</f>
        <v>19297.919216507908</v>
      </c>
      <c r="R30" s="238"/>
      <c r="S30" s="238">
        <f>Q30*$C$30</f>
        <v>19683.877600838066</v>
      </c>
      <c r="T30" s="238"/>
      <c r="U30" s="238">
        <f>S30*$C$30</f>
        <v>20077.555152854828</v>
      </c>
      <c r="V30" s="238"/>
      <c r="W30" s="238">
        <f>U30*$C$30</f>
        <v>20479.106255911924</v>
      </c>
      <c r="X30" s="238"/>
      <c r="Y30" s="238">
        <f>W30*$C$30</f>
        <v>20888.688381030162</v>
      </c>
      <c r="Z30" s="238"/>
      <c r="AA30" s="238">
        <f>Y30*$C$30</f>
        <v>21306.462148650768</v>
      </c>
      <c r="AB30" s="238"/>
      <c r="AC30" s="238">
        <f>AA30*$C$30</f>
        <v>21732.591391623784</v>
      </c>
      <c r="AD30" s="238"/>
      <c r="AE30" s="238">
        <f>AC30*$C$30</f>
        <v>22167.243219456261</v>
      </c>
      <c r="AF30" s="238"/>
      <c r="AG30" s="238">
        <f>AE30*$C$30</f>
        <v>22610.588083845385</v>
      </c>
    </row>
    <row r="31" spans="1:33" s="225" customFormat="1" ht="14.25">
      <c r="A31" s="225" t="s">
        <v>1940</v>
      </c>
      <c r="C31" s="253">
        <v>1.02</v>
      </c>
      <c r="E31" s="238">
        <f>Application!AC876</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Application!C877</f>
        <v>Other (Specify):</v>
      </c>
      <c r="C32" s="340">
        <v>1.0349999999999999</v>
      </c>
      <c r="E32" s="238">
        <f>Application!AC877</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Application!C878</f>
        <v>Other (Specify):</v>
      </c>
      <c r="C33" s="340">
        <v>1.0349999999999999</v>
      </c>
      <c r="E33" s="238">
        <f>Application!AC878</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926606</v>
      </c>
      <c r="G35" s="239">
        <f>SUM(G22:G33)</f>
        <v>957016.17</v>
      </c>
      <c r="I35" s="239">
        <f>SUM(I22:I33)</f>
        <v>988485.55515000003</v>
      </c>
      <c r="K35" s="239">
        <f>SUM(K22:K33)</f>
        <v>1021051.1251642499</v>
      </c>
      <c r="M35" s="239">
        <f>SUM(M22:M33)</f>
        <v>1054751.1416406783</v>
      </c>
      <c r="O35" s="239">
        <f>SUM(O22:O33)</f>
        <v>1089625.2032356956</v>
      </c>
      <c r="Q35" s="239">
        <f>SUM(Q22:Q33)</f>
        <v>1125714.2924192904</v>
      </c>
      <c r="S35" s="239">
        <f>SUM(S22:S33)</f>
        <v>1163060.8238657177</v>
      </c>
      <c r="U35" s="239">
        <f>SUM(U22:U33)</f>
        <v>1201708.6945370056</v>
      </c>
      <c r="W35" s="239">
        <f>SUM(W22:W33)</f>
        <v>1241703.3355185078</v>
      </c>
      <c r="Y35" s="239">
        <f>SUM(Y22:Y33)</f>
        <v>1283091.7656678166</v>
      </c>
      <c r="AA35" s="239">
        <f>SUM(AA22:AA33)</f>
        <v>1325922.6471404748</v>
      </c>
      <c r="AC35" s="239">
        <f>SUM(AC22:AC33)</f>
        <v>1370246.3428581613</v>
      </c>
      <c r="AE35" s="239">
        <f>SUM(AE22:AE33)</f>
        <v>1416114.9759873224</v>
      </c>
      <c r="AG35" s="239">
        <f>SUM(AG22:AG33)</f>
        <v>1463582.491498587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875</v>
      </c>
      <c r="C37" s="240"/>
      <c r="E37" s="239">
        <f>E11-E35</f>
        <v>1717122.4</v>
      </c>
      <c r="G37" s="239">
        <f>G11-G35</f>
        <v>1752805.44</v>
      </c>
      <c r="I37" s="239">
        <f>I11-I35</f>
        <v>1789081.5951</v>
      </c>
      <c r="K37" s="239">
        <f>K11-K35</f>
        <v>1825955.2038419996</v>
      </c>
      <c r="M37" s="239">
        <f>M11-M35</f>
        <v>1863430.3455907267</v>
      </c>
      <c r="O37" s="239">
        <f>O11-O35</f>
        <v>1901510.821176494</v>
      </c>
      <c r="Q37" s="239">
        <f>Q11-Q35</f>
        <v>1940200.1326032036</v>
      </c>
      <c r="S37" s="239">
        <f>S11-S35</f>
        <v>1979501.4617823386</v>
      </c>
      <c r="U37" s="239">
        <f>U11-U35</f>
        <v>2019417.6482522523</v>
      </c>
      <c r="W37" s="239">
        <f>W11-W35</f>
        <v>2059951.1658404809</v>
      </c>
      <c r="Y37" s="239">
        <f>Y11-Y35</f>
        <v>2101104.098225147</v>
      </c>
      <c r="AA37" s="239">
        <f>AA11-AA35</f>
        <v>2142878.113349813</v>
      </c>
      <c r="AC37" s="239">
        <f>AC11-AC35</f>
        <v>2185274.4366443823</v>
      </c>
      <c r="AE37" s="239">
        <f>AE11-AE35</f>
        <v>2228293.8230027845</v>
      </c>
      <c r="AG37" s="239">
        <f>AG11-AG35</f>
        <v>2271936.5274662729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888</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Application!C623</f>
        <v>Citibank, N.A.</v>
      </c>
      <c r="B40" s="242"/>
      <c r="C40" s="236"/>
      <c r="E40" s="238">
        <f>Application!AF623</f>
        <v>1483782</v>
      </c>
      <c r="F40" s="238"/>
      <c r="G40" s="238">
        <f>$E$40</f>
        <v>1483782</v>
      </c>
      <c r="H40" s="238"/>
      <c r="I40" s="238">
        <f>$E$40</f>
        <v>1483782</v>
      </c>
      <c r="J40" s="238"/>
      <c r="K40" s="238">
        <f>$E$40</f>
        <v>1483782</v>
      </c>
      <c r="L40" s="238"/>
      <c r="M40" s="238">
        <f>$E$40</f>
        <v>1483782</v>
      </c>
      <c r="N40" s="238"/>
      <c r="O40" s="238">
        <f>$E$40</f>
        <v>1483782</v>
      </c>
      <c r="P40" s="238"/>
      <c r="Q40" s="238">
        <f>$E$40</f>
        <v>1483782</v>
      </c>
      <c r="R40" s="238"/>
      <c r="S40" s="238">
        <f>$E$40</f>
        <v>1483782</v>
      </c>
      <c r="T40" s="238"/>
      <c r="U40" s="238">
        <f>$E$40</f>
        <v>1483782</v>
      </c>
      <c r="V40" s="238"/>
      <c r="W40" s="238">
        <f>$E$40</f>
        <v>1483782</v>
      </c>
      <c r="X40" s="238"/>
      <c r="Y40" s="238">
        <f>$E$40</f>
        <v>1483782</v>
      </c>
      <c r="Z40" s="238"/>
      <c r="AA40" s="238">
        <f>$E$40</f>
        <v>1483782</v>
      </c>
      <c r="AB40" s="238"/>
      <c r="AC40" s="238">
        <f>$E$40</f>
        <v>1483782</v>
      </c>
      <c r="AD40" s="238"/>
      <c r="AE40" s="238">
        <f>$E$40</f>
        <v>1483782</v>
      </c>
      <c r="AF40" s="238"/>
      <c r="AG40" s="238">
        <f>$E$40</f>
        <v>1483782</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876</v>
      </c>
      <c r="C43" s="240"/>
      <c r="E43" s="239">
        <f>SUM(E40:E42)</f>
        <v>1483782</v>
      </c>
      <c r="G43" s="239">
        <f>SUM(G40:G42)</f>
        <v>1483782</v>
      </c>
      <c r="I43" s="239">
        <f>SUM(I40:I42)</f>
        <v>1483782</v>
      </c>
      <c r="K43" s="239">
        <f>SUM(K40:K42)</f>
        <v>1483782</v>
      </c>
      <c r="M43" s="239">
        <f>SUM(M40:M42)</f>
        <v>1483782</v>
      </c>
      <c r="O43" s="239">
        <f>SUM(O40:O42)</f>
        <v>1483782</v>
      </c>
      <c r="Q43" s="239">
        <f>SUM(Q40:Q42)</f>
        <v>1483782</v>
      </c>
      <c r="S43" s="239">
        <f>SUM(S40:S42)</f>
        <v>1483782</v>
      </c>
      <c r="U43" s="239">
        <f>SUM(U40:U42)</f>
        <v>1483782</v>
      </c>
      <c r="W43" s="239">
        <f>SUM(W40:W42)</f>
        <v>1483782</v>
      </c>
      <c r="Y43" s="239">
        <f>SUM(Y40:Y42)</f>
        <v>1483782</v>
      </c>
      <c r="AA43" s="239">
        <f>SUM(AA40:AA42)</f>
        <v>1483782</v>
      </c>
      <c r="AC43" s="239">
        <f>SUM(AC40:AC42)</f>
        <v>1483782</v>
      </c>
      <c r="AE43" s="239">
        <f>SUM(AE40:AE42)</f>
        <v>1483782</v>
      </c>
      <c r="AG43" s="239">
        <f>SUM(AG40:AG42)</f>
        <v>1483782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877</v>
      </c>
      <c r="C45" s="240"/>
      <c r="E45" s="239">
        <f>E37-E43</f>
        <v>233340.39999999991</v>
      </c>
      <c r="G45" s="239">
        <f>G37-G43</f>
        <v>269023.43999999994</v>
      </c>
      <c r="I45" s="239">
        <f>I37-I43</f>
        <v>305299.59510000004</v>
      </c>
      <c r="K45" s="239">
        <f>K37-K43</f>
        <v>342173.20384199964</v>
      </c>
      <c r="M45" s="239">
        <f>M37-M43</f>
        <v>379648.34559072671</v>
      </c>
      <c r="O45" s="239">
        <f>O37-O43</f>
        <v>417728.82117649401</v>
      </c>
      <c r="Q45" s="239">
        <f>Q37-Q43</f>
        <v>456418.13260320364</v>
      </c>
      <c r="S45" s="239">
        <f>S37-S43</f>
        <v>495719.46178233856</v>
      </c>
      <c r="U45" s="239">
        <f>U37-U43</f>
        <v>535635.64825225226</v>
      </c>
      <c r="W45" s="239">
        <f>W37-W43</f>
        <v>576169.16584048094</v>
      </c>
      <c r="Y45" s="239">
        <f>Y37-Y43</f>
        <v>617322.098225147</v>
      </c>
      <c r="AA45" s="239">
        <f>AA37-AA43</f>
        <v>659096.11334981304</v>
      </c>
      <c r="AC45" s="239">
        <f>AC37-AC43</f>
        <v>701492.43664438231</v>
      </c>
      <c r="AE45" s="239">
        <f>AE37-AE43</f>
        <v>744511.82300278451</v>
      </c>
      <c r="AG45" s="239">
        <f>AG37-AG43</f>
        <v>788154.52746627294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879</v>
      </c>
      <c r="C47" s="236"/>
      <c r="E47" s="243">
        <f>E45/(E4+E6+E8)</f>
        <v>8.3848772059943788E-2</v>
      </c>
      <c r="G47" s="243">
        <f>G45/(G4+G6+G8)</f>
        <v>9.4313318285184078E-2</v>
      </c>
      <c r="I47" s="243">
        <f>I45/(I4+I6+I8)</f>
        <v>0.10442037929448257</v>
      </c>
      <c r="K47" s="243">
        <f>K45/(K4+K6+K8)</f>
        <v>0.11417766807823142</v>
      </c>
      <c r="M47" s="243">
        <f>M45/(M4+M6+M8)</f>
        <v>0.1235926997307383</v>
      </c>
      <c r="O47" s="243">
        <f>O45/(O4+O6+O8)</f>
        <v>0.13267279618139591</v>
      </c>
      <c r="Q47" s="243">
        <f>Q45/(Q4+Q6+Q8)</f>
        <v>0.1414250908095265</v>
      </c>
      <c r="S47" s="243">
        <f>S45/(S4+S6+S8)</f>
        <v>0.14985653294572843</v>
      </c>
      <c r="U47" s="243">
        <f>U45/(U4+U6+U8)</f>
        <v>0.15797389226248412</v>
      </c>
      <c r="W47" s="243">
        <f>W45/(W4+W6+W8)</f>
        <v>0.1657837630567216</v>
      </c>
      <c r="Y47" s="243">
        <f>Y45/(Y4+Y6+Y8)</f>
        <v>0.17329256842695506</v>
      </c>
      <c r="AA47" s="243">
        <f>AA45/(AA4+AA6+AA8)</f>
        <v>0.18050656434756499</v>
      </c>
      <c r="AC47" s="243">
        <f>AC45/(AC4+AC6+AC8)</f>
        <v>0.18743184364272014</v>
      </c>
      <c r="AE47" s="243">
        <f>AE45/(AE4+AE6+AE8)</f>
        <v>0.19407433986237757</v>
      </c>
      <c r="AG47" s="243">
        <f>AG45/(AG4+AG6+AG8)</f>
        <v>0.20043983106273747</v>
      </c>
    </row>
    <row r="48" spans="1:33" s="243" customFormat="1" ht="14.25">
      <c r="A48" s="243" t="s">
        <v>880</v>
      </c>
      <c r="C48" s="236"/>
      <c r="E48" s="243">
        <f>E45/E43</f>
        <v>0.15726056792709434</v>
      </c>
      <c r="G48" s="243">
        <f>G45/G43</f>
        <v>0.18130927589093274</v>
      </c>
      <c r="I48" s="243">
        <f>I45/I43</f>
        <v>0.20575771582348354</v>
      </c>
      <c r="K48" s="243">
        <f>K45/K43</f>
        <v>0.23060881170010125</v>
      </c>
      <c r="M48" s="243">
        <f>M45/M43</f>
        <v>0.25586531282272373</v>
      </c>
      <c r="O48" s="243">
        <f>O45/O43</f>
        <v>0.28152978077405844</v>
      </c>
      <c r="Q48" s="243">
        <f>Q45/Q43</f>
        <v>0.30760457574172195</v>
      </c>
      <c r="S48" s="243">
        <f>S45/S43</f>
        <v>0.33409184218594007</v>
      </c>
      <c r="U48" s="243">
        <f>U45/U43</f>
        <v>0.36099349382338664</v>
      </c>
      <c r="W48" s="243">
        <f>W45/W43</f>
        <v>0.38831119789866769</v>
      </c>
      <c r="Y48" s="243">
        <f>Y45/Y43</f>
        <v>0.41604635871384543</v>
      </c>
      <c r="AA48" s="243">
        <f>AA45/AA43</f>
        <v>0.4442001003852406</v>
      </c>
      <c r="AC48" s="243">
        <f>AC45/AC43</f>
        <v>0.47277324879556587</v>
      </c>
      <c r="AE48" s="243">
        <f>AE45/AE43</f>
        <v>0.50176631270819061</v>
      </c>
      <c r="AG48" s="243">
        <f>AG45/AG43</f>
        <v>0.53117946400904781</v>
      </c>
    </row>
    <row r="49" spans="1:35" s="244" customFormat="1" ht="14.25">
      <c r="A49" s="244" t="s">
        <v>878</v>
      </c>
      <c r="C49" s="245"/>
      <c r="E49" s="244">
        <f>E37/E43</f>
        <v>1.1572605679270944</v>
      </c>
      <c r="G49" s="244">
        <f>G37/G43</f>
        <v>1.1813092758909327</v>
      </c>
      <c r="I49" s="244">
        <f>I37/I43</f>
        <v>1.2057577158234836</v>
      </c>
      <c r="K49" s="244">
        <f>K37/K43</f>
        <v>1.2306088117001013</v>
      </c>
      <c r="M49" s="244">
        <f>M37/M43</f>
        <v>1.2558653128227237</v>
      </c>
      <c r="O49" s="244">
        <f>O37/O43</f>
        <v>1.2815297807740584</v>
      </c>
      <c r="Q49" s="244">
        <f>Q37/Q43</f>
        <v>1.3076045757417218</v>
      </c>
      <c r="S49" s="244">
        <f>S37/S43</f>
        <v>1.33409184218594</v>
      </c>
      <c r="U49" s="244">
        <f>U37/U43</f>
        <v>1.3609934938233865</v>
      </c>
      <c r="W49" s="244">
        <f>W37/W43</f>
        <v>1.3883111978986677</v>
      </c>
      <c r="Y49" s="244">
        <f>Y37/Y43</f>
        <v>1.4160463587138454</v>
      </c>
      <c r="AA49" s="244">
        <f>AA37/AA43</f>
        <v>1.4442001003852405</v>
      </c>
      <c r="AC49" s="244">
        <f>AC37/AC43</f>
        <v>1.4727732487955658</v>
      </c>
      <c r="AE49" s="244">
        <f>AE37/AE43</f>
        <v>1.5017663127081906</v>
      </c>
      <c r="AG49" s="244">
        <f>AG37/AG43</f>
        <v>1.5311794640090477</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890</v>
      </c>
      <c r="C51" s="998"/>
      <c r="E51" s="997"/>
      <c r="F51" s="997"/>
      <c r="G51" s="997"/>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c r="AE51" s="997"/>
      <c r="AF51" s="997"/>
      <c r="AG51" s="997"/>
    </row>
    <row r="52" spans="1:35" s="3" customFormat="1">
      <c r="A52" s="2532" t="s">
        <v>1327</v>
      </c>
      <c r="B52" s="2532"/>
      <c r="C52" s="2532"/>
      <c r="D52" s="997"/>
      <c r="E52" s="997"/>
      <c r="F52" s="997"/>
      <c r="G52" s="997"/>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c r="AE52" s="997"/>
      <c r="AF52" s="997"/>
      <c r="AG52" s="997"/>
    </row>
    <row r="53" spans="1:35" s="999" customFormat="1">
      <c r="A53" s="999" t="s">
        <v>882</v>
      </c>
      <c r="C53" s="1000"/>
      <c r="E53" s="1001"/>
      <c r="G53" s="997">
        <f>E53*$C$53</f>
        <v>0</v>
      </c>
      <c r="I53" s="997">
        <f>G53*$C$53</f>
        <v>0</v>
      </c>
      <c r="K53" s="997">
        <f>I53*$C$53</f>
        <v>0</v>
      </c>
      <c r="M53" s="997">
        <f>K53*$C$53</f>
        <v>0</v>
      </c>
      <c r="O53" s="997">
        <f>M53*$C$53</f>
        <v>0</v>
      </c>
      <c r="Q53" s="997">
        <f>O53*$C$53</f>
        <v>0</v>
      </c>
      <c r="S53" s="997">
        <f>Q53*$C$53</f>
        <v>0</v>
      </c>
      <c r="U53" s="997">
        <f>S53*$C$53</f>
        <v>0</v>
      </c>
      <c r="W53" s="997">
        <f>U53*$C$53</f>
        <v>0</v>
      </c>
      <c r="Y53" s="997">
        <f>W53*$C$53</f>
        <v>0</v>
      </c>
      <c r="AA53" s="997">
        <f>Y53*$C$53</f>
        <v>0</v>
      </c>
      <c r="AC53" s="997">
        <f>AA53*$C$53</f>
        <v>0</v>
      </c>
      <c r="AE53" s="997">
        <f>AC53*$C$53</f>
        <v>0</v>
      </c>
      <c r="AG53" s="997">
        <f>AE53*$C$53</f>
        <v>0</v>
      </c>
    </row>
    <row r="54" spans="1:35" s="3" customFormat="1">
      <c r="A54" s="3" t="s">
        <v>883</v>
      </c>
      <c r="C54" s="995"/>
      <c r="E54" s="1002"/>
      <c r="F54" s="997"/>
      <c r="G54" s="997">
        <f t="shared" ref="G54:AG57" si="1">E54*$C$53</f>
        <v>0</v>
      </c>
      <c r="H54" s="997"/>
      <c r="I54" s="997">
        <f t="shared" si="1"/>
        <v>0</v>
      </c>
      <c r="J54" s="997"/>
      <c r="K54" s="997">
        <f t="shared" si="1"/>
        <v>0</v>
      </c>
      <c r="L54" s="997"/>
      <c r="M54" s="997">
        <f t="shared" si="1"/>
        <v>0</v>
      </c>
      <c r="N54" s="997"/>
      <c r="O54" s="997">
        <f t="shared" si="1"/>
        <v>0</v>
      </c>
      <c r="P54" s="997"/>
      <c r="Q54" s="997">
        <f t="shared" si="1"/>
        <v>0</v>
      </c>
      <c r="R54" s="997"/>
      <c r="S54" s="997">
        <f t="shared" si="1"/>
        <v>0</v>
      </c>
      <c r="T54" s="997"/>
      <c r="U54" s="997">
        <f t="shared" si="1"/>
        <v>0</v>
      </c>
      <c r="V54" s="997"/>
      <c r="W54" s="997">
        <f t="shared" si="1"/>
        <v>0</v>
      </c>
      <c r="X54" s="997"/>
      <c r="Y54" s="997">
        <f t="shared" si="1"/>
        <v>0</v>
      </c>
      <c r="Z54" s="997"/>
      <c r="AA54" s="997">
        <f t="shared" si="1"/>
        <v>0</v>
      </c>
      <c r="AB54" s="997"/>
      <c r="AC54" s="997">
        <f t="shared" si="1"/>
        <v>0</v>
      </c>
      <c r="AD54" s="997"/>
      <c r="AE54" s="997">
        <f t="shared" si="1"/>
        <v>0</v>
      </c>
      <c r="AF54" s="997"/>
      <c r="AG54" s="997">
        <f t="shared" si="1"/>
        <v>0</v>
      </c>
      <c r="AH54" s="997"/>
      <c r="AI54" s="997"/>
    </row>
    <row r="55" spans="1:35" s="3" customFormat="1">
      <c r="A55" s="3" t="s">
        <v>884</v>
      </c>
      <c r="C55" s="995"/>
      <c r="E55" s="1002"/>
      <c r="F55" s="997"/>
      <c r="G55" s="997">
        <f t="shared" si="1"/>
        <v>0</v>
      </c>
      <c r="H55" s="997"/>
      <c r="I55" s="997">
        <f t="shared" si="1"/>
        <v>0</v>
      </c>
      <c r="J55" s="997"/>
      <c r="K55" s="997">
        <f t="shared" si="1"/>
        <v>0</v>
      </c>
      <c r="L55" s="997"/>
      <c r="M55" s="997">
        <f t="shared" si="1"/>
        <v>0</v>
      </c>
      <c r="N55" s="997"/>
      <c r="O55" s="997">
        <f t="shared" si="1"/>
        <v>0</v>
      </c>
      <c r="P55" s="997"/>
      <c r="Q55" s="997">
        <f t="shared" si="1"/>
        <v>0</v>
      </c>
      <c r="R55" s="997"/>
      <c r="S55" s="997">
        <f t="shared" si="1"/>
        <v>0</v>
      </c>
      <c r="T55" s="997"/>
      <c r="U55" s="997">
        <f t="shared" si="1"/>
        <v>0</v>
      </c>
      <c r="V55" s="997"/>
      <c r="W55" s="997">
        <f t="shared" si="1"/>
        <v>0</v>
      </c>
      <c r="X55" s="997"/>
      <c r="Y55" s="997">
        <f t="shared" si="1"/>
        <v>0</v>
      </c>
      <c r="Z55" s="997"/>
      <c r="AA55" s="997">
        <f t="shared" si="1"/>
        <v>0</v>
      </c>
      <c r="AB55" s="997"/>
      <c r="AC55" s="997">
        <f t="shared" si="1"/>
        <v>0</v>
      </c>
      <c r="AD55" s="997"/>
      <c r="AE55" s="997">
        <f t="shared" si="1"/>
        <v>0</v>
      </c>
      <c r="AF55" s="997"/>
      <c r="AG55" s="997">
        <f t="shared" si="1"/>
        <v>0</v>
      </c>
      <c r="AH55" s="997"/>
      <c r="AI55" s="997"/>
    </row>
    <row r="56" spans="1:35" s="3" customFormat="1">
      <c r="A56" s="1003"/>
      <c r="B56" s="1003"/>
      <c r="C56" s="995"/>
      <c r="E56" s="1002"/>
      <c r="F56" s="997"/>
      <c r="G56" s="997">
        <f t="shared" si="1"/>
        <v>0</v>
      </c>
      <c r="H56" s="997"/>
      <c r="I56" s="997">
        <f t="shared" si="1"/>
        <v>0</v>
      </c>
      <c r="J56" s="997"/>
      <c r="K56" s="997">
        <f t="shared" si="1"/>
        <v>0</v>
      </c>
      <c r="L56" s="997"/>
      <c r="M56" s="997">
        <f t="shared" si="1"/>
        <v>0</v>
      </c>
      <c r="N56" s="997"/>
      <c r="O56" s="997">
        <f t="shared" si="1"/>
        <v>0</v>
      </c>
      <c r="P56" s="997"/>
      <c r="Q56" s="997">
        <f t="shared" si="1"/>
        <v>0</v>
      </c>
      <c r="R56" s="997"/>
      <c r="S56" s="997">
        <f t="shared" si="1"/>
        <v>0</v>
      </c>
      <c r="T56" s="997"/>
      <c r="U56" s="997">
        <f t="shared" si="1"/>
        <v>0</v>
      </c>
      <c r="V56" s="997"/>
      <c r="W56" s="997">
        <f t="shared" si="1"/>
        <v>0</v>
      </c>
      <c r="X56" s="997"/>
      <c r="Y56" s="997">
        <f t="shared" si="1"/>
        <v>0</v>
      </c>
      <c r="Z56" s="997"/>
      <c r="AA56" s="997">
        <f t="shared" si="1"/>
        <v>0</v>
      </c>
      <c r="AB56" s="997"/>
      <c r="AC56" s="997">
        <f t="shared" si="1"/>
        <v>0</v>
      </c>
      <c r="AD56" s="997"/>
      <c r="AE56" s="997">
        <f t="shared" si="1"/>
        <v>0</v>
      </c>
      <c r="AF56" s="997"/>
      <c r="AG56" s="997">
        <f t="shared" si="1"/>
        <v>0</v>
      </c>
      <c r="AH56" s="997"/>
      <c r="AI56" s="997"/>
    </row>
    <row r="57" spans="1:35" s="3" customFormat="1">
      <c r="A57" s="1003"/>
      <c r="B57" s="1003"/>
      <c r="C57" s="995"/>
      <c r="E57" s="1004"/>
      <c r="F57" s="997"/>
      <c r="G57" s="1005">
        <f t="shared" si="1"/>
        <v>0</v>
      </c>
      <c r="H57" s="997"/>
      <c r="I57" s="1005">
        <f t="shared" si="1"/>
        <v>0</v>
      </c>
      <c r="J57" s="997"/>
      <c r="K57" s="1005">
        <f t="shared" si="1"/>
        <v>0</v>
      </c>
      <c r="L57" s="997"/>
      <c r="M57" s="1005">
        <f t="shared" si="1"/>
        <v>0</v>
      </c>
      <c r="N57" s="997"/>
      <c r="O57" s="1005">
        <f t="shared" si="1"/>
        <v>0</v>
      </c>
      <c r="P57" s="997"/>
      <c r="Q57" s="1005">
        <f t="shared" si="1"/>
        <v>0</v>
      </c>
      <c r="R57" s="997"/>
      <c r="S57" s="1005">
        <f t="shared" si="1"/>
        <v>0</v>
      </c>
      <c r="T57" s="997"/>
      <c r="U57" s="1005">
        <f t="shared" si="1"/>
        <v>0</v>
      </c>
      <c r="V57" s="997"/>
      <c r="W57" s="1005">
        <f t="shared" si="1"/>
        <v>0</v>
      </c>
      <c r="X57" s="997"/>
      <c r="Y57" s="1005">
        <f t="shared" si="1"/>
        <v>0</v>
      </c>
      <c r="Z57" s="997"/>
      <c r="AA57" s="1005">
        <f t="shared" si="1"/>
        <v>0</v>
      </c>
      <c r="AB57" s="997"/>
      <c r="AC57" s="1005">
        <f t="shared" si="1"/>
        <v>0</v>
      </c>
      <c r="AD57" s="997"/>
      <c r="AE57" s="1005">
        <f t="shared" si="1"/>
        <v>0</v>
      </c>
      <c r="AF57" s="997"/>
      <c r="AG57" s="1005">
        <f t="shared" si="1"/>
        <v>0</v>
      </c>
      <c r="AH57" s="997"/>
      <c r="AI57" s="997"/>
    </row>
    <row r="58" spans="1:35" s="3" customFormat="1">
      <c r="A58" s="999" t="s">
        <v>881</v>
      </c>
      <c r="C58" s="998"/>
      <c r="E58" s="997">
        <f>SUM(E53:E57)</f>
        <v>0</v>
      </c>
      <c r="F58" s="997"/>
      <c r="G58" s="997">
        <f>SUM(G53:G57)</f>
        <v>0</v>
      </c>
      <c r="H58" s="997"/>
      <c r="I58" s="997">
        <f>SUM(I53:I57)</f>
        <v>0</v>
      </c>
      <c r="J58" s="997"/>
      <c r="K58" s="997">
        <f>SUM(K53:K57)</f>
        <v>0</v>
      </c>
      <c r="L58" s="997"/>
      <c r="M58" s="997">
        <f>SUM(M53:M57)</f>
        <v>0</v>
      </c>
      <c r="N58" s="997"/>
      <c r="O58" s="997">
        <f>SUM(O53:O57)</f>
        <v>0</v>
      </c>
      <c r="P58" s="997"/>
      <c r="Q58" s="997">
        <f>SUM(Q53:Q57)</f>
        <v>0</v>
      </c>
      <c r="R58" s="997"/>
      <c r="S58" s="997">
        <f>SUM(S53:S57)</f>
        <v>0</v>
      </c>
      <c r="T58" s="997"/>
      <c r="U58" s="997">
        <f>SUM(U53:U57)</f>
        <v>0</v>
      </c>
      <c r="V58" s="997"/>
      <c r="W58" s="997">
        <f>SUM(W53:W57)</f>
        <v>0</v>
      </c>
      <c r="X58" s="997"/>
      <c r="Y58" s="997">
        <f>SUM(Y53:Y57)</f>
        <v>0</v>
      </c>
      <c r="Z58" s="997"/>
      <c r="AA58" s="997">
        <f>SUM(AA53:AA57)</f>
        <v>0</v>
      </c>
      <c r="AB58" s="997"/>
      <c r="AC58" s="997">
        <f>SUM(AC53:AC57)</f>
        <v>0</v>
      </c>
      <c r="AD58" s="997"/>
      <c r="AE58" s="997">
        <f>SUM(AE53:AE57)</f>
        <v>0</v>
      </c>
      <c r="AF58" s="997"/>
      <c r="AG58" s="997">
        <f>SUM(AG53:AG57)</f>
        <v>0</v>
      </c>
      <c r="AH58" s="997"/>
      <c r="AI58" s="997"/>
    </row>
    <row r="59" spans="1:35" s="3" customFormat="1" ht="12.75" customHeight="1">
      <c r="A59" s="999"/>
      <c r="C59" s="998"/>
      <c r="E59" s="997"/>
      <c r="F59" s="997"/>
      <c r="G59" s="997"/>
      <c r="H59" s="997"/>
      <c r="I59" s="997"/>
      <c r="J59" s="997"/>
      <c r="K59" s="997"/>
      <c r="L59" s="997"/>
      <c r="M59" s="997"/>
      <c r="N59" s="997"/>
      <c r="O59" s="997"/>
      <c r="P59" s="997"/>
      <c r="Q59" s="997"/>
      <c r="R59" s="997"/>
      <c r="S59" s="997"/>
      <c r="T59" s="997"/>
      <c r="U59" s="997"/>
      <c r="V59" s="997"/>
      <c r="W59" s="997"/>
      <c r="X59" s="997"/>
      <c r="Y59" s="997"/>
      <c r="Z59" s="997"/>
      <c r="AA59" s="997"/>
      <c r="AB59" s="997"/>
      <c r="AC59" s="997"/>
      <c r="AD59" s="997"/>
      <c r="AE59" s="997"/>
      <c r="AF59" s="997"/>
      <c r="AG59" s="997"/>
      <c r="AH59" s="997"/>
      <c r="AI59" s="997"/>
    </row>
    <row r="60" spans="1:35" s="999" customFormat="1">
      <c r="A60" s="999" t="s">
        <v>886</v>
      </c>
      <c r="C60" s="1006"/>
      <c r="E60" s="999">
        <f>E45-E58</f>
        <v>233340.39999999991</v>
      </c>
      <c r="G60" s="999">
        <f>G45-G58</f>
        <v>269023.43999999994</v>
      </c>
      <c r="I60" s="999">
        <f>I45-I58</f>
        <v>305299.59510000004</v>
      </c>
      <c r="K60" s="999">
        <f>K45-K58</f>
        <v>342173.20384199964</v>
      </c>
      <c r="M60" s="999">
        <f>M45-M58</f>
        <v>379648.34559072671</v>
      </c>
      <c r="O60" s="999">
        <f>O45-O58</f>
        <v>417728.82117649401</v>
      </c>
      <c r="Q60" s="999">
        <f>Q45-Q58</f>
        <v>456418.13260320364</v>
      </c>
      <c r="S60" s="999">
        <f>S45-S58</f>
        <v>495719.46178233856</v>
      </c>
      <c r="U60" s="999">
        <f>U45-U58</f>
        <v>535635.64825225226</v>
      </c>
      <c r="W60" s="999">
        <f>W45-W58</f>
        <v>576169.16584048094</v>
      </c>
      <c r="Y60" s="999">
        <f>Y45-Y58</f>
        <v>617322.098225147</v>
      </c>
      <c r="AA60" s="999">
        <f>AA45-AA58</f>
        <v>659096.11334981304</v>
      </c>
      <c r="AC60" s="999">
        <f>AC45-AC58</f>
        <v>701492.43664438231</v>
      </c>
      <c r="AE60" s="999">
        <f>AE45-AE58</f>
        <v>744511.82300278451</v>
      </c>
      <c r="AG60" s="999">
        <f>AG45-AG58</f>
        <v>788154.52746627294</v>
      </c>
    </row>
    <row r="61" spans="1:35" s="3" customFormat="1" ht="8.25" customHeight="1">
      <c r="C61" s="998"/>
      <c r="E61" s="997"/>
      <c r="F61" s="997"/>
      <c r="G61" s="997"/>
      <c r="H61" s="997"/>
      <c r="I61" s="997"/>
      <c r="J61" s="997"/>
      <c r="K61" s="997"/>
      <c r="L61" s="997"/>
      <c r="M61" s="997"/>
      <c r="N61" s="997"/>
      <c r="O61" s="997"/>
      <c r="P61" s="997"/>
      <c r="Q61" s="997"/>
      <c r="R61" s="997"/>
      <c r="S61" s="997"/>
      <c r="T61" s="997"/>
      <c r="U61" s="997"/>
      <c r="V61" s="997"/>
      <c r="W61" s="997"/>
      <c r="X61" s="997"/>
      <c r="Y61" s="997"/>
      <c r="Z61" s="997"/>
      <c r="AA61" s="997"/>
      <c r="AB61" s="997"/>
      <c r="AC61" s="997"/>
      <c r="AD61" s="997"/>
      <c r="AE61" s="997"/>
      <c r="AF61" s="997"/>
      <c r="AG61" s="997"/>
      <c r="AH61" s="997"/>
      <c r="AI61" s="997"/>
    </row>
    <row r="62" spans="1:35" s="999" customFormat="1">
      <c r="A62" s="999" t="s">
        <v>885</v>
      </c>
      <c r="C62" s="996">
        <v>0.5</v>
      </c>
      <c r="E62" s="1001">
        <f>E60*$C$62</f>
        <v>116670.19999999995</v>
      </c>
      <c r="G62" s="999">
        <f>G60*$C$62</f>
        <v>134511.71999999997</v>
      </c>
      <c r="I62" s="999">
        <f>I60*$C$62</f>
        <v>152649.79755000002</v>
      </c>
      <c r="K62" s="999">
        <f>K60*$C$62</f>
        <v>171086.60192099982</v>
      </c>
      <c r="M62" s="999">
        <f>M60*$C$62</f>
        <v>189824.17279536335</v>
      </c>
      <c r="O62" s="999">
        <f>O60*$C$62</f>
        <v>208864.410588247</v>
      </c>
      <c r="Q62" s="999">
        <f>Q60*$C$62</f>
        <v>228209.06630160182</v>
      </c>
      <c r="S62" s="999">
        <f>S60*$C$62</f>
        <v>247859.73089116928</v>
      </c>
      <c r="U62" s="999">
        <f>U60*$C$62</f>
        <v>267817.82412612613</v>
      </c>
      <c r="W62" s="999">
        <f>W60*$C$62</f>
        <v>288084.58292024047</v>
      </c>
      <c r="Y62" s="999">
        <f>Y60*$C$62</f>
        <v>308661.0491125735</v>
      </c>
      <c r="AA62" s="999">
        <f>AA60*$C$62</f>
        <v>329548.05667490652</v>
      </c>
      <c r="AC62" s="999">
        <f>AC60*$C$62</f>
        <v>350746.21832219115</v>
      </c>
      <c r="AE62" s="999">
        <f>AE60*$C$62</f>
        <v>372255.91150139226</v>
      </c>
      <c r="AG62" s="999">
        <f>AG60*$C$62</f>
        <v>394077.26373313647</v>
      </c>
    </row>
    <row r="63" spans="1:35" s="999" customFormat="1">
      <c r="A63" s="2532" t="s">
        <v>1327</v>
      </c>
      <c r="B63" s="2532"/>
      <c r="C63" s="2532"/>
    </row>
    <row r="64" spans="1:35" s="3" customFormat="1" ht="8.25" customHeight="1">
      <c r="C64" s="998"/>
      <c r="E64" s="997"/>
      <c r="F64" s="997"/>
      <c r="G64" s="997"/>
      <c r="H64" s="997"/>
      <c r="I64" s="997"/>
      <c r="J64" s="997"/>
      <c r="K64" s="997"/>
      <c r="L64" s="997"/>
      <c r="M64" s="997"/>
      <c r="N64" s="997"/>
      <c r="O64" s="997"/>
      <c r="P64" s="997"/>
      <c r="Q64" s="997"/>
      <c r="R64" s="997"/>
      <c r="S64" s="997"/>
      <c r="T64" s="997"/>
      <c r="U64" s="997"/>
      <c r="V64" s="997"/>
      <c r="W64" s="997"/>
      <c r="X64" s="997"/>
      <c r="Y64" s="997"/>
      <c r="Z64" s="997"/>
      <c r="AA64" s="997"/>
      <c r="AB64" s="997"/>
      <c r="AC64" s="997"/>
      <c r="AD64" s="997"/>
      <c r="AE64" s="997"/>
      <c r="AF64" s="997"/>
      <c r="AG64" s="997"/>
      <c r="AH64" s="997"/>
      <c r="AI64" s="997"/>
    </row>
    <row r="65" spans="1:35" s="3" customFormat="1">
      <c r="A65" s="3" t="s">
        <v>889</v>
      </c>
      <c r="C65" s="996">
        <v>0.25</v>
      </c>
      <c r="E65" s="997"/>
      <c r="F65" s="997"/>
      <c r="G65" s="997"/>
      <c r="H65" s="997"/>
      <c r="I65" s="997"/>
      <c r="J65" s="997"/>
      <c r="K65" s="997"/>
      <c r="L65" s="997"/>
      <c r="M65" s="997"/>
      <c r="N65" s="997"/>
      <c r="O65" s="997"/>
      <c r="P65" s="997"/>
      <c r="Q65" s="997"/>
      <c r="R65" s="997"/>
      <c r="S65" s="997"/>
      <c r="T65" s="997"/>
      <c r="U65" s="997"/>
      <c r="V65" s="997"/>
      <c r="W65" s="997"/>
      <c r="X65" s="997"/>
      <c r="Y65" s="997"/>
      <c r="Z65" s="997"/>
      <c r="AA65" s="997"/>
      <c r="AB65" s="997"/>
      <c r="AC65" s="997"/>
      <c r="AD65" s="997"/>
      <c r="AE65" s="997"/>
      <c r="AF65" s="997"/>
      <c r="AG65" s="997"/>
      <c r="AH65" s="997"/>
      <c r="AI65" s="997"/>
    </row>
    <row r="66" spans="1:35" s="999" customFormat="1">
      <c r="A66" s="1001"/>
      <c r="B66" s="1001"/>
      <c r="C66" s="1000"/>
      <c r="E66" s="1001">
        <f>$E60*$C$65</f>
        <v>58335.099999999977</v>
      </c>
      <c r="G66" s="997">
        <f>G60*$C$65</f>
        <v>67255.859999999986</v>
      </c>
      <c r="I66" s="997">
        <f>I60*$C$65</f>
        <v>76324.898775000009</v>
      </c>
      <c r="K66" s="997">
        <f>K60*$C$65</f>
        <v>85543.30096049991</v>
      </c>
      <c r="M66" s="997">
        <f>M60*$C$65</f>
        <v>94912.086397681676</v>
      </c>
      <c r="O66" s="997">
        <f>O60*$C$65</f>
        <v>104432.2052941235</v>
      </c>
      <c r="Q66" s="997">
        <f>Q60*$C$65</f>
        <v>114104.53315080091</v>
      </c>
      <c r="S66" s="997">
        <f>S60*$C$65</f>
        <v>123929.86544558464</v>
      </c>
      <c r="U66" s="997">
        <f>U60*$C$65</f>
        <v>133908.91206306306</v>
      </c>
      <c r="W66" s="997">
        <f>W60*$C$65</f>
        <v>144042.29146012024</v>
      </c>
      <c r="Y66" s="997">
        <f>Y60*$C$65</f>
        <v>154330.52455628675</v>
      </c>
      <c r="AA66" s="997">
        <f>AA60*$C$65</f>
        <v>164774.02833745326</v>
      </c>
      <c r="AC66" s="997">
        <f>AC60*$C$65</f>
        <v>175373.10916109558</v>
      </c>
      <c r="AE66" s="997">
        <f>AE60*$C$65</f>
        <v>186127.95575069613</v>
      </c>
      <c r="AG66" s="997">
        <f>AG60*$C$65</f>
        <v>197038.63186656823</v>
      </c>
    </row>
    <row r="67" spans="1:35" s="997" customFormat="1">
      <c r="A67" s="1002"/>
      <c r="B67" s="1002"/>
      <c r="C67" s="1007"/>
      <c r="E67" s="1001">
        <f>$E60*$C$65</f>
        <v>58335.099999999977</v>
      </c>
      <c r="G67" s="997">
        <f>G60*$C$65</f>
        <v>67255.859999999986</v>
      </c>
      <c r="I67" s="997">
        <f>I60*$C$65</f>
        <v>76324.898775000009</v>
      </c>
      <c r="K67" s="997">
        <f>K60*$C$65</f>
        <v>85543.30096049991</v>
      </c>
      <c r="M67" s="997">
        <f>M60*$C$65</f>
        <v>94912.086397681676</v>
      </c>
      <c r="O67" s="997">
        <f>O60*$C$65</f>
        <v>104432.2052941235</v>
      </c>
      <c r="Q67" s="997">
        <f>Q60*$C$65</f>
        <v>114104.53315080091</v>
      </c>
      <c r="S67" s="997">
        <f>S60*$C$65</f>
        <v>123929.86544558464</v>
      </c>
      <c r="U67" s="997">
        <f>U60*$C$65</f>
        <v>133908.91206306306</v>
      </c>
      <c r="W67" s="997">
        <f>W60*$C$65</f>
        <v>144042.29146012024</v>
      </c>
      <c r="Y67" s="997">
        <f>Y60*$C$65</f>
        <v>154330.52455628675</v>
      </c>
      <c r="AA67" s="997">
        <f>AA60*$C$65</f>
        <v>164774.02833745326</v>
      </c>
      <c r="AC67" s="997">
        <f>AC60*$C$65</f>
        <v>175373.10916109558</v>
      </c>
      <c r="AE67" s="997">
        <f>AE60*$C$65</f>
        <v>186127.95575069613</v>
      </c>
      <c r="AG67" s="997">
        <f>AG60*$C$65</f>
        <v>197038.63186656823</v>
      </c>
    </row>
    <row r="68" spans="1:35" s="997" customFormat="1">
      <c r="A68" s="1002"/>
      <c r="B68" s="1002"/>
      <c r="C68" s="1007"/>
      <c r="E68" s="1002"/>
      <c r="G68" s="997">
        <f t="shared" ref="G68:AG69" si="2">E68*$C$66</f>
        <v>0</v>
      </c>
      <c r="I68" s="997">
        <f t="shared" si="2"/>
        <v>0</v>
      </c>
      <c r="K68" s="997">
        <f t="shared" si="2"/>
        <v>0</v>
      </c>
      <c r="M68" s="997">
        <f t="shared" si="2"/>
        <v>0</v>
      </c>
      <c r="O68" s="997">
        <f t="shared" si="2"/>
        <v>0</v>
      </c>
      <c r="Q68" s="997">
        <f t="shared" si="2"/>
        <v>0</v>
      </c>
      <c r="S68" s="997">
        <f t="shared" si="2"/>
        <v>0</v>
      </c>
      <c r="U68" s="997">
        <f t="shared" si="2"/>
        <v>0</v>
      </c>
      <c r="W68" s="997">
        <f t="shared" si="2"/>
        <v>0</v>
      </c>
      <c r="Y68" s="997">
        <f t="shared" si="2"/>
        <v>0</v>
      </c>
      <c r="AA68" s="997">
        <f t="shared" si="2"/>
        <v>0</v>
      </c>
      <c r="AC68" s="997">
        <f t="shared" si="2"/>
        <v>0</v>
      </c>
      <c r="AE68" s="997">
        <f t="shared" si="2"/>
        <v>0</v>
      </c>
      <c r="AG68" s="997">
        <f t="shared" si="2"/>
        <v>0</v>
      </c>
    </row>
    <row r="69" spans="1:35" s="997" customFormat="1">
      <c r="A69" s="1002"/>
      <c r="B69" s="1002"/>
      <c r="C69" s="1007"/>
      <c r="E69" s="1004"/>
      <c r="G69" s="1005">
        <f t="shared" si="2"/>
        <v>0</v>
      </c>
      <c r="I69" s="1005">
        <f t="shared" si="2"/>
        <v>0</v>
      </c>
      <c r="K69" s="1005">
        <f t="shared" si="2"/>
        <v>0</v>
      </c>
      <c r="M69" s="1005">
        <f t="shared" si="2"/>
        <v>0</v>
      </c>
      <c r="O69" s="1005">
        <f t="shared" si="2"/>
        <v>0</v>
      </c>
      <c r="Q69" s="1005">
        <f t="shared" si="2"/>
        <v>0</v>
      </c>
      <c r="S69" s="1005">
        <f t="shared" si="2"/>
        <v>0</v>
      </c>
      <c r="U69" s="1005">
        <f t="shared" si="2"/>
        <v>0</v>
      </c>
      <c r="W69" s="1005">
        <f t="shared" si="2"/>
        <v>0</v>
      </c>
      <c r="Y69" s="1005">
        <f t="shared" si="2"/>
        <v>0</v>
      </c>
      <c r="AA69" s="1005">
        <f t="shared" si="2"/>
        <v>0</v>
      </c>
      <c r="AC69" s="1005">
        <f t="shared" si="2"/>
        <v>0</v>
      </c>
      <c r="AE69" s="1005">
        <f t="shared" si="2"/>
        <v>0</v>
      </c>
      <c r="AG69" s="1005">
        <f t="shared" si="2"/>
        <v>0</v>
      </c>
    </row>
    <row r="70" spans="1:35" s="997" customFormat="1">
      <c r="A70" s="999" t="s">
        <v>881</v>
      </c>
      <c r="C70" s="1007"/>
      <c r="E70" s="997">
        <f>SUM(E66:E69)</f>
        <v>116670.19999999995</v>
      </c>
      <c r="G70" s="997">
        <f>SUM(G66:G69)</f>
        <v>134511.71999999997</v>
      </c>
      <c r="I70" s="997">
        <f>SUM(I66:I69)</f>
        <v>152649.79755000002</v>
      </c>
      <c r="K70" s="997">
        <f>SUM(K66:K69)</f>
        <v>171086.60192099982</v>
      </c>
      <c r="M70" s="997">
        <f>SUM(M66:M69)</f>
        <v>189824.17279536335</v>
      </c>
      <c r="O70" s="997">
        <f>SUM(O66:O69)</f>
        <v>208864.410588247</v>
      </c>
      <c r="Q70" s="997">
        <f>SUM(Q66:Q69)</f>
        <v>228209.06630160182</v>
      </c>
      <c r="S70" s="997">
        <f>SUM(S66:S69)</f>
        <v>247859.73089116928</v>
      </c>
      <c r="U70" s="997">
        <f>SUM(U66:U69)</f>
        <v>267817.82412612613</v>
      </c>
      <c r="W70" s="997">
        <f>SUM(W66:W69)</f>
        <v>288084.58292024047</v>
      </c>
      <c r="Y70" s="997">
        <f>SUM(Y66:Y69)</f>
        <v>308661.0491125735</v>
      </c>
      <c r="AA70" s="997">
        <f>SUM(AA66:AA69)</f>
        <v>329548.05667490652</v>
      </c>
      <c r="AC70" s="997">
        <f>SUM(AC66:AC69)</f>
        <v>350746.21832219115</v>
      </c>
      <c r="AE70" s="997">
        <f>SUM(AE66:AE69)</f>
        <v>372255.91150139226</v>
      </c>
      <c r="AG70" s="997">
        <f>SUM(AG66:AG69)</f>
        <v>394077.26373313647</v>
      </c>
    </row>
    <row r="71" spans="1:35" s="997" customFormat="1">
      <c r="A71" s="999"/>
      <c r="C71" s="1007"/>
    </row>
    <row r="72" spans="1:35" s="997" customFormat="1">
      <c r="A72" s="999" t="s">
        <v>1983</v>
      </c>
      <c r="C72" s="1007"/>
      <c r="E72" s="999">
        <f>E60-E62-E70</f>
        <v>0</v>
      </c>
      <c r="G72" s="999">
        <f>G60-G62-G70</f>
        <v>0</v>
      </c>
      <c r="I72" s="999">
        <f>I60-I62-I70</f>
        <v>0</v>
      </c>
      <c r="K72" s="999">
        <f>K60-K62-K70</f>
        <v>0</v>
      </c>
      <c r="M72" s="999">
        <f>M60-M62-M70</f>
        <v>0</v>
      </c>
      <c r="O72" s="999">
        <f>O60-O62-O70</f>
        <v>0</v>
      </c>
      <c r="Q72" s="999">
        <f>Q60-Q62-Q70</f>
        <v>0</v>
      </c>
      <c r="S72" s="999">
        <f>S60-S62-S70</f>
        <v>0</v>
      </c>
      <c r="U72" s="999">
        <f>U60-U62-U70</f>
        <v>0</v>
      </c>
      <c r="W72" s="999">
        <f>W60-W62-W70</f>
        <v>0</v>
      </c>
      <c r="Y72" s="999">
        <f>Y60-Y62-Y70</f>
        <v>0</v>
      </c>
      <c r="AA72" s="999">
        <f>AA60-AA62-AA70</f>
        <v>0</v>
      </c>
      <c r="AC72" s="999">
        <f>AC60-AC62-AC70</f>
        <v>0</v>
      </c>
      <c r="AE72" s="999">
        <f>AE60-AE62-AE70</f>
        <v>0</v>
      </c>
      <c r="AG72" s="999">
        <f>AG60-AG62-AG70</f>
        <v>0</v>
      </c>
    </row>
    <row r="73" spans="1:35" s="997" customFormat="1">
      <c r="A73" s="564"/>
      <c r="C73" s="1007"/>
    </row>
    <row r="74" spans="1:35" s="233" customFormat="1">
      <c r="A74" s="564"/>
      <c r="C74" s="192"/>
    </row>
    <row r="75" spans="1:35" s="233" customFormat="1">
      <c r="A75" s="997" t="s">
        <v>1982</v>
      </c>
      <c r="C75" s="192"/>
    </row>
    <row r="76" spans="1:35" s="233" customFormat="1">
      <c r="C76" s="192"/>
    </row>
    <row r="77" spans="1:35" s="250" customFormat="1" ht="30" customHeight="1">
      <c r="A77" s="2530" t="s">
        <v>1981</v>
      </c>
      <c r="B77" s="2531"/>
      <c r="C77" s="2531"/>
      <c r="D77" s="2531"/>
      <c r="E77" s="2531"/>
      <c r="F77" s="2531"/>
      <c r="G77" s="2531"/>
      <c r="H77" s="2531"/>
      <c r="I77" s="2531"/>
      <c r="J77" s="2531"/>
      <c r="K77" s="2531"/>
      <c r="L77" s="2531"/>
      <c r="M77" s="2531"/>
      <c r="N77" s="2531"/>
      <c r="O77" s="2531"/>
      <c r="P77" s="2531"/>
      <c r="Q77" s="2531"/>
      <c r="R77" s="2531"/>
      <c r="S77" s="2531"/>
      <c r="T77" s="2531"/>
      <c r="U77" s="2531"/>
      <c r="V77" s="2531"/>
      <c r="W77" s="2531"/>
      <c r="X77" s="2531"/>
      <c r="Y77" s="2531"/>
      <c r="Z77" s="2531"/>
      <c r="AA77" s="2531"/>
      <c r="AB77" s="2531"/>
      <c r="AC77" s="2531"/>
      <c r="AD77" s="2531"/>
      <c r="AE77" s="2531"/>
      <c r="AF77" s="2531"/>
      <c r="AG77" s="253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zoomScaleNormal="100" zoomScaleSheetLayoutView="100" workbookViewId="0">
      <selection activeCell="A2" sqref="A2"/>
    </sheetView>
  </sheetViews>
  <sheetFormatPr defaultColWidth="0" defaultRowHeight="12.75" zeroHeight="1"/>
  <cols>
    <col min="1" max="1" width="161.7109375" customWidth="1"/>
    <col min="2" max="16384" width="8.85546875" hidden="1"/>
  </cols>
  <sheetData>
    <row r="1" spans="1:1" ht="47.25">
      <c r="A1" s="337" t="s">
        <v>1011</v>
      </c>
    </row>
    <row r="2" spans="1:1" ht="15.75">
      <c r="A2" s="338"/>
    </row>
    <row r="3" spans="1:1" ht="15.75">
      <c r="A3" s="339" t="s">
        <v>1006</v>
      </c>
    </row>
    <row r="4" spans="1:1" ht="15.75">
      <c r="A4" s="339" t="s">
        <v>1007</v>
      </c>
    </row>
    <row r="5" spans="1:1" ht="15.75">
      <c r="A5" s="339" t="s">
        <v>1008</v>
      </c>
    </row>
    <row r="6" spans="1:1" ht="15.75">
      <c r="A6" s="339" t="s">
        <v>1010</v>
      </c>
    </row>
    <row r="7" spans="1:1" ht="15.75">
      <c r="A7" s="339" t="s">
        <v>1009</v>
      </c>
    </row>
    <row r="8" spans="1:1" ht="15.75">
      <c r="A8" s="375" t="s">
        <v>1085</v>
      </c>
    </row>
    <row r="9" spans="1:1" ht="15.75">
      <c r="A9" s="339" t="s">
        <v>1086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S19920"/>
  <sheetViews>
    <sheetView zoomScaleNormal="100" zoomScaleSheetLayoutView="100" workbookViewId="0">
      <selection activeCell="E5" sqref="E5"/>
    </sheetView>
  </sheetViews>
  <sheetFormatPr defaultColWidth="0" defaultRowHeight="12.75" zeroHeight="1"/>
  <cols>
    <col min="1" max="1" width="35.7109375" style="218" customWidth="1"/>
    <col min="2" max="4" width="14.7109375" style="218" customWidth="1"/>
    <col min="5" max="5" width="50.7109375" style="218" customWidth="1"/>
    <col min="6" max="6" width="9.140625" style="218" customWidth="1"/>
    <col min="7" max="253" width="0" style="218" hidden="1" customWidth="1"/>
    <col min="254" max="16384" width="9.140625" style="218" hidden="1"/>
  </cols>
  <sheetData>
    <row r="1" spans="1:7" s="296" customFormat="1" ht="18" customHeight="1">
      <c r="A1" s="548" t="s">
        <v>1361</v>
      </c>
      <c r="D1" s="301"/>
    </row>
    <row r="2" spans="1:7" s="296" customFormat="1">
      <c r="A2" s="279" t="s">
        <v>921</v>
      </c>
      <c r="B2" s="281"/>
      <c r="C2" s="281"/>
      <c r="D2" s="278"/>
      <c r="E2" s="282"/>
      <c r="F2" s="281"/>
    </row>
    <row r="3" spans="1:7" s="380" customFormat="1" ht="80.25" customHeight="1">
      <c r="A3" s="298"/>
      <c r="B3" s="283" t="s">
        <v>922</v>
      </c>
      <c r="C3" s="283" t="s">
        <v>923</v>
      </c>
      <c r="D3" s="283" t="s">
        <v>924</v>
      </c>
      <c r="E3" s="280" t="s">
        <v>925</v>
      </c>
      <c r="F3" s="280"/>
      <c r="G3" s="383"/>
    </row>
    <row r="4" spans="1:7" s="381" customFormat="1">
      <c r="A4" s="284" t="s">
        <v>26</v>
      </c>
      <c r="B4" s="284"/>
      <c r="C4" s="284"/>
      <c r="D4" s="284"/>
      <c r="E4" s="303"/>
      <c r="F4" s="284"/>
      <c r="G4" s="384"/>
    </row>
    <row r="5" spans="1:7" s="381" customFormat="1">
      <c r="A5" s="396" t="s">
        <v>27</v>
      </c>
      <c r="B5" s="286">
        <f>'Sources and Uses Budget'!$C4</f>
        <v>1</v>
      </c>
      <c r="C5" s="286">
        <f>'Sources and Uses Budget'!$C4</f>
        <v>1</v>
      </c>
      <c r="D5" s="290">
        <f>C5-B5</f>
        <v>0</v>
      </c>
      <c r="E5" s="288"/>
      <c r="F5" s="287"/>
      <c r="G5" s="384"/>
    </row>
    <row r="6" spans="1:7" s="381" customFormat="1">
      <c r="A6" s="396" t="s">
        <v>28</v>
      </c>
      <c r="B6" s="286">
        <f>'Sources and Uses Budget'!$C5</f>
        <v>0</v>
      </c>
      <c r="C6" s="286">
        <f>'Sources and Uses Budget'!$C5</f>
        <v>0</v>
      </c>
      <c r="D6" s="290">
        <f t="shared" ref="D6:D77" si="0">C6-B6</f>
        <v>0</v>
      </c>
      <c r="E6" s="288"/>
      <c r="F6" s="287"/>
      <c r="G6" s="384"/>
    </row>
    <row r="7" spans="1:7" s="381" customFormat="1">
      <c r="A7" s="396" t="s">
        <v>29</v>
      </c>
      <c r="B7" s="286">
        <f>'Sources and Uses Budget'!$C6</f>
        <v>0</v>
      </c>
      <c r="C7" s="286">
        <f>'Sources and Uses Budget'!$C6</f>
        <v>0</v>
      </c>
      <c r="D7" s="290">
        <f t="shared" si="0"/>
        <v>0</v>
      </c>
      <c r="E7" s="288"/>
      <c r="F7" s="287"/>
      <c r="G7" s="384"/>
    </row>
    <row r="8" spans="1:7" s="381" customFormat="1">
      <c r="A8" s="396" t="s">
        <v>98</v>
      </c>
      <c r="B8" s="286">
        <f>'Sources and Uses Budget'!$C7</f>
        <v>0</v>
      </c>
      <c r="C8" s="286">
        <f>'Sources and Uses Budget'!$C7</f>
        <v>0</v>
      </c>
      <c r="D8" s="290">
        <f t="shared" si="0"/>
        <v>0</v>
      </c>
      <c r="E8" s="288"/>
      <c r="F8" s="287"/>
      <c r="G8" s="384"/>
    </row>
    <row r="9" spans="1:7" s="381" customFormat="1">
      <c r="A9" s="397" t="s">
        <v>602</v>
      </c>
      <c r="B9" s="290">
        <f>SUM(B5:B8)</f>
        <v>1</v>
      </c>
      <c r="C9" s="290">
        <f>SUM(C5:C8)</f>
        <v>1</v>
      </c>
      <c r="D9" s="290">
        <f t="shared" si="0"/>
        <v>0</v>
      </c>
      <c r="E9" s="288"/>
      <c r="F9" s="287"/>
      <c r="G9" s="384"/>
    </row>
    <row r="10" spans="1:7" s="381" customFormat="1">
      <c r="A10" s="396" t="s">
        <v>603</v>
      </c>
      <c r="B10" s="286">
        <f>'Sources and Uses Budget'!$C9</f>
        <v>0</v>
      </c>
      <c r="C10" s="286">
        <f>'Sources and Uses Budget'!$C9</f>
        <v>0</v>
      </c>
      <c r="D10" s="290">
        <f t="shared" si="0"/>
        <v>0</v>
      </c>
      <c r="E10" s="288"/>
      <c r="F10" s="287"/>
      <c r="G10" s="384"/>
    </row>
    <row r="11" spans="1:7" s="381" customFormat="1">
      <c r="A11" s="396" t="s">
        <v>604</v>
      </c>
      <c r="B11" s="286">
        <f>'Sources and Uses Budget'!$C10</f>
        <v>140614</v>
      </c>
      <c r="C11" s="286">
        <f>'Sources and Uses Budget'!$C10</f>
        <v>140614</v>
      </c>
      <c r="D11" s="290">
        <f t="shared" si="0"/>
        <v>0</v>
      </c>
      <c r="E11" s="288"/>
      <c r="F11" s="287"/>
      <c r="G11" s="384"/>
    </row>
    <row r="12" spans="1:7" s="381" customFormat="1">
      <c r="A12" s="397" t="s">
        <v>605</v>
      </c>
      <c r="B12" s="290">
        <f>SUM(B10:B11)</f>
        <v>140614</v>
      </c>
      <c r="C12" s="290">
        <f>SUM(C10:C11)</f>
        <v>140614</v>
      </c>
      <c r="D12" s="290">
        <f t="shared" si="0"/>
        <v>0</v>
      </c>
      <c r="E12" s="288"/>
      <c r="F12" s="287"/>
      <c r="G12" s="384"/>
    </row>
    <row r="13" spans="1:7" s="381" customFormat="1">
      <c r="A13" s="397" t="s">
        <v>85</v>
      </c>
      <c r="B13" s="290">
        <f>SUM(B9+B12)</f>
        <v>140615</v>
      </c>
      <c r="C13" s="290">
        <f>SUM(C9+C12)</f>
        <v>140615</v>
      </c>
      <c r="D13" s="290">
        <f t="shared" si="0"/>
        <v>0</v>
      </c>
      <c r="E13" s="288"/>
      <c r="F13" s="287"/>
      <c r="G13" s="384"/>
    </row>
    <row r="14" spans="1:7" s="381" customFormat="1">
      <c r="A14" s="398" t="s">
        <v>935</v>
      </c>
      <c r="B14" s="286">
        <f>'Sources and Uses Budget'!$C13</f>
        <v>0</v>
      </c>
      <c r="C14" s="286">
        <f>'Sources and Uses Budget'!$C13</f>
        <v>0</v>
      </c>
      <c r="D14" s="290">
        <f t="shared" si="0"/>
        <v>0</v>
      </c>
      <c r="E14" s="288"/>
      <c r="F14" s="287"/>
      <c r="G14" s="384"/>
    </row>
    <row r="15" spans="1:7" s="381" customFormat="1" ht="24">
      <c r="A15" s="396" t="s">
        <v>936</v>
      </c>
      <c r="B15" s="286">
        <f>'Sources and Uses Budget'!$C14</f>
        <v>0</v>
      </c>
      <c r="C15" s="286">
        <f>'Sources and Uses Budget'!$C14</f>
        <v>0</v>
      </c>
      <c r="D15" s="290">
        <f t="shared" si="0"/>
        <v>0</v>
      </c>
      <c r="E15" s="288"/>
      <c r="F15" s="287"/>
      <c r="G15" s="384"/>
    </row>
    <row r="16" spans="1:7" s="381" customFormat="1">
      <c r="A16" s="396" t="s">
        <v>1303</v>
      </c>
      <c r="B16" s="286">
        <f>'Sources and Uses Budget'!$C15</f>
        <v>0</v>
      </c>
      <c r="C16" s="286">
        <f>'Sources and Uses Budget'!$C15</f>
        <v>0</v>
      </c>
      <c r="D16" s="290">
        <f t="shared" si="0"/>
        <v>0</v>
      </c>
      <c r="E16" s="288"/>
      <c r="F16" s="287"/>
      <c r="G16" s="384"/>
    </row>
    <row r="17" spans="1:7" s="381" customFormat="1">
      <c r="A17" s="284" t="s">
        <v>606</v>
      </c>
      <c r="B17" s="284"/>
      <c r="C17" s="284"/>
      <c r="D17" s="284"/>
      <c r="E17" s="303"/>
      <c r="F17" s="284"/>
      <c r="G17" s="384"/>
    </row>
    <row r="18" spans="1:7" s="381" customFormat="1">
      <c r="A18" s="145" t="s">
        <v>607</v>
      </c>
      <c r="B18" s="286">
        <f>'Sources and Uses Budget'!$C17</f>
        <v>0</v>
      </c>
      <c r="C18" s="286">
        <f>'Sources and Uses Budget'!$C17</f>
        <v>0</v>
      </c>
      <c r="D18" s="290">
        <f t="shared" si="0"/>
        <v>0</v>
      </c>
      <c r="E18" s="288"/>
      <c r="F18" s="287"/>
      <c r="G18" s="384"/>
    </row>
    <row r="19" spans="1:7" s="381" customFormat="1">
      <c r="A19" s="145" t="s">
        <v>608</v>
      </c>
      <c r="B19" s="286">
        <f>'Sources and Uses Budget'!$C18</f>
        <v>0</v>
      </c>
      <c r="C19" s="286">
        <f>'Sources and Uses Budget'!$C18</f>
        <v>0</v>
      </c>
      <c r="D19" s="290">
        <f t="shared" si="0"/>
        <v>0</v>
      </c>
      <c r="E19" s="288"/>
      <c r="F19" s="287"/>
      <c r="G19" s="384"/>
    </row>
    <row r="20" spans="1:7" s="381" customFormat="1">
      <c r="A20" s="145" t="s">
        <v>609</v>
      </c>
      <c r="B20" s="286">
        <f>'Sources and Uses Budget'!$C19</f>
        <v>0</v>
      </c>
      <c r="C20" s="286">
        <f>'Sources and Uses Budget'!$C19</f>
        <v>0</v>
      </c>
      <c r="D20" s="290">
        <f t="shared" si="0"/>
        <v>0</v>
      </c>
      <c r="E20" s="288"/>
      <c r="F20" s="287"/>
      <c r="G20" s="384"/>
    </row>
    <row r="21" spans="1:7" s="381" customFormat="1">
      <c r="A21" s="145" t="s">
        <v>138</v>
      </c>
      <c r="B21" s="286">
        <f>'Sources and Uses Budget'!$C20</f>
        <v>0</v>
      </c>
      <c r="C21" s="286">
        <f>'Sources and Uses Budget'!$C20</f>
        <v>0</v>
      </c>
      <c r="D21" s="290">
        <f t="shared" si="0"/>
        <v>0</v>
      </c>
      <c r="E21" s="288"/>
      <c r="F21" s="287"/>
      <c r="G21" s="384"/>
    </row>
    <row r="22" spans="1:7" s="381" customFormat="1">
      <c r="A22" s="145" t="s">
        <v>139</v>
      </c>
      <c r="B22" s="286">
        <f>'Sources and Uses Budget'!$C21</f>
        <v>0</v>
      </c>
      <c r="C22" s="286">
        <f>'Sources and Uses Budget'!$C21</f>
        <v>0</v>
      </c>
      <c r="D22" s="290">
        <f t="shared" si="0"/>
        <v>0</v>
      </c>
      <c r="E22" s="288"/>
      <c r="F22" s="287"/>
      <c r="G22" s="384"/>
    </row>
    <row r="23" spans="1:7" s="381" customFormat="1">
      <c r="A23" s="145" t="s">
        <v>140</v>
      </c>
      <c r="B23" s="286">
        <f>'Sources and Uses Budget'!$C22</f>
        <v>0</v>
      </c>
      <c r="C23" s="286">
        <f>'Sources and Uses Budget'!$C22</f>
        <v>0</v>
      </c>
      <c r="D23" s="290">
        <f t="shared" si="0"/>
        <v>0</v>
      </c>
      <c r="E23" s="288"/>
      <c r="F23" s="287"/>
      <c r="G23" s="384"/>
    </row>
    <row r="24" spans="1:7" s="381" customFormat="1">
      <c r="A24" s="145" t="s">
        <v>141</v>
      </c>
      <c r="B24" s="286">
        <f>'Sources and Uses Budget'!$C23</f>
        <v>0</v>
      </c>
      <c r="C24" s="286">
        <f>'Sources and Uses Budget'!$C23</f>
        <v>0</v>
      </c>
      <c r="D24" s="290">
        <f t="shared" si="0"/>
        <v>0</v>
      </c>
      <c r="E24" s="288"/>
      <c r="F24" s="287"/>
      <c r="G24" s="384"/>
    </row>
    <row r="25" spans="1:7" s="381" customFormat="1">
      <c r="A25" s="543" t="s">
        <v>1820</v>
      </c>
      <c r="B25" s="286">
        <f>'Sources and Uses Budget'!$C24</f>
        <v>0</v>
      </c>
      <c r="C25" s="286">
        <f>'Sources and Uses Budget'!$C24</f>
        <v>0</v>
      </c>
      <c r="D25" s="290">
        <f t="shared" si="0"/>
        <v>0</v>
      </c>
      <c r="E25" s="288"/>
      <c r="F25" s="287"/>
      <c r="G25" s="384"/>
    </row>
    <row r="26" spans="1:7" s="381" customFormat="1">
      <c r="A26" s="155" t="str">
        <f>'Sources and Uses Budget'!A25</f>
        <v>Other: (Specify)</v>
      </c>
      <c r="B26" s="286">
        <f>'Sources and Uses Budget'!$C25</f>
        <v>0</v>
      </c>
      <c r="C26" s="286">
        <f>'Sources and Uses Budget'!$C25</f>
        <v>0</v>
      </c>
      <c r="D26" s="290">
        <f t="shared" si="0"/>
        <v>0</v>
      </c>
      <c r="E26" s="288"/>
      <c r="F26" s="287"/>
      <c r="G26" s="384"/>
    </row>
    <row r="27" spans="1:7" s="381" customFormat="1">
      <c r="A27" s="1055" t="s">
        <v>134</v>
      </c>
      <c r="B27" s="290">
        <f>SUM(B18:B26)</f>
        <v>0</v>
      </c>
      <c r="C27" s="290">
        <f>SUM(C18:C26)</f>
        <v>0</v>
      </c>
      <c r="D27" s="290">
        <f>SUM(D18:D26)</f>
        <v>0</v>
      </c>
      <c r="E27" s="288"/>
      <c r="F27" s="287"/>
      <c r="G27" s="384"/>
    </row>
    <row r="28" spans="1:7" s="381" customFormat="1">
      <c r="A28" s="291" t="s">
        <v>142</v>
      </c>
      <c r="B28" s="286">
        <f>'Sources and Uses Budget'!$C$27</f>
        <v>0</v>
      </c>
      <c r="C28" s="286">
        <f>'Sources and Uses Budget'!$C$27</f>
        <v>0</v>
      </c>
      <c r="D28" s="290">
        <f t="shared" si="0"/>
        <v>0</v>
      </c>
      <c r="E28" s="288"/>
      <c r="F28" s="287"/>
      <c r="G28" s="384"/>
    </row>
    <row r="29" spans="1:7" s="381" customFormat="1">
      <c r="A29" s="284" t="s">
        <v>143</v>
      </c>
      <c r="B29" s="284"/>
      <c r="C29" s="284"/>
      <c r="D29" s="284"/>
      <c r="E29" s="303"/>
      <c r="F29" s="284"/>
      <c r="G29" s="384"/>
    </row>
    <row r="30" spans="1:7" s="381" customFormat="1">
      <c r="A30" s="145" t="s">
        <v>607</v>
      </c>
      <c r="B30" s="286">
        <f>'Sources and Uses Budget'!$C29</f>
        <v>4687119</v>
      </c>
      <c r="C30" s="286">
        <f>'Sources and Uses Budget'!$C29</f>
        <v>4687119</v>
      </c>
      <c r="D30" s="290">
        <f t="shared" si="0"/>
        <v>0</v>
      </c>
      <c r="E30" s="288"/>
      <c r="F30" s="287"/>
      <c r="G30" s="384"/>
    </row>
    <row r="31" spans="1:7" s="381" customFormat="1">
      <c r="A31" s="145" t="s">
        <v>608</v>
      </c>
      <c r="B31" s="286">
        <f>'Sources and Uses Budget'!$C30</f>
        <v>25879312</v>
      </c>
      <c r="C31" s="286">
        <f>'Sources and Uses Budget'!$C30</f>
        <v>25879312</v>
      </c>
      <c r="D31" s="290">
        <f t="shared" si="0"/>
        <v>0</v>
      </c>
      <c r="E31" s="288"/>
      <c r="F31" s="287"/>
      <c r="G31" s="384"/>
    </row>
    <row r="32" spans="1:7" s="381" customFormat="1">
      <c r="A32" s="145" t="s">
        <v>609</v>
      </c>
      <c r="B32" s="286">
        <f>'Sources and Uses Budget'!$C31</f>
        <v>1235000</v>
      </c>
      <c r="C32" s="286">
        <f>'Sources and Uses Budget'!$C31</f>
        <v>1235000</v>
      </c>
      <c r="D32" s="290">
        <f t="shared" si="0"/>
        <v>0</v>
      </c>
      <c r="E32" s="288"/>
      <c r="F32" s="287"/>
      <c r="G32" s="384"/>
    </row>
    <row r="33" spans="1:7" s="381" customFormat="1">
      <c r="A33" s="145" t="s">
        <v>138</v>
      </c>
      <c r="B33" s="286">
        <f>'Sources and Uses Budget'!$C32</f>
        <v>1593608</v>
      </c>
      <c r="C33" s="286">
        <f>'Sources and Uses Budget'!$C32</f>
        <v>1593608</v>
      </c>
      <c r="D33" s="290">
        <f t="shared" si="0"/>
        <v>0</v>
      </c>
      <c r="E33" s="288"/>
      <c r="F33" s="287"/>
      <c r="G33" s="384"/>
    </row>
    <row r="34" spans="1:7" s="381" customFormat="1">
      <c r="A34" s="145" t="s">
        <v>139</v>
      </c>
      <c r="B34" s="286">
        <f>'Sources and Uses Budget'!$C33</f>
        <v>1593608</v>
      </c>
      <c r="C34" s="286">
        <f>'Sources and Uses Budget'!$C33</f>
        <v>1593608</v>
      </c>
      <c r="D34" s="290">
        <f t="shared" si="0"/>
        <v>0</v>
      </c>
      <c r="E34" s="288"/>
      <c r="F34" s="287"/>
      <c r="G34" s="384"/>
    </row>
    <row r="35" spans="1:7" s="381" customFormat="1">
      <c r="A35" s="145" t="s">
        <v>140</v>
      </c>
      <c r="B35" s="286">
        <f>'Sources and Uses Budget'!$C34</f>
        <v>0</v>
      </c>
      <c r="C35" s="286">
        <f>'Sources and Uses Budget'!$C34</f>
        <v>0</v>
      </c>
      <c r="D35" s="290">
        <f t="shared" si="0"/>
        <v>0</v>
      </c>
      <c r="E35" s="288"/>
      <c r="F35" s="287"/>
      <c r="G35" s="384"/>
    </row>
    <row r="36" spans="1:7" s="381" customFormat="1">
      <c r="A36" s="145" t="s">
        <v>141</v>
      </c>
      <c r="B36" s="286">
        <f>'Sources and Uses Budget'!$C35</f>
        <v>927413</v>
      </c>
      <c r="C36" s="286">
        <f>'Sources and Uses Budget'!$C35</f>
        <v>927413</v>
      </c>
      <c r="D36" s="290">
        <f t="shared" si="0"/>
        <v>0</v>
      </c>
      <c r="E36" s="288"/>
      <c r="F36" s="287"/>
      <c r="G36" s="384"/>
    </row>
    <row r="37" spans="1:7" s="381" customFormat="1">
      <c r="A37" s="304" t="s">
        <v>1820</v>
      </c>
      <c r="B37" s="286">
        <f>'Sources and Uses Budget'!$C36</f>
        <v>0</v>
      </c>
      <c r="C37" s="286">
        <f>'Sources and Uses Budget'!$C36</f>
        <v>0</v>
      </c>
      <c r="D37" s="290"/>
      <c r="E37" s="288"/>
      <c r="F37" s="287"/>
      <c r="G37" s="384"/>
    </row>
    <row r="38" spans="1:7" s="381" customFormat="1">
      <c r="A38" s="155" t="str">
        <f>'Sources and Uses Budget'!A37</f>
        <v>Other: (Specify)</v>
      </c>
      <c r="B38" s="286">
        <f>'Sources and Uses Budget'!$C37</f>
        <v>0</v>
      </c>
      <c r="C38" s="286">
        <f>'Sources and Uses Budget'!$C37</f>
        <v>0</v>
      </c>
      <c r="D38" s="290">
        <f t="shared" si="0"/>
        <v>0</v>
      </c>
      <c r="E38" s="288"/>
      <c r="F38" s="287"/>
      <c r="G38" s="384"/>
    </row>
    <row r="39" spans="1:7" s="381" customFormat="1">
      <c r="A39" s="291" t="s">
        <v>144</v>
      </c>
      <c r="B39" s="290">
        <f>SUM(B30:B38)</f>
        <v>35916060</v>
      </c>
      <c r="C39" s="290">
        <f>SUM(C30:C38)</f>
        <v>35916060</v>
      </c>
      <c r="D39" s="290">
        <f t="shared" si="0"/>
        <v>0</v>
      </c>
      <c r="E39" s="288"/>
      <c r="F39" s="287"/>
      <c r="G39" s="384"/>
    </row>
    <row r="40" spans="1:7" s="381" customFormat="1">
      <c r="A40" s="284" t="s">
        <v>145</v>
      </c>
      <c r="B40" s="284"/>
      <c r="C40" s="284"/>
      <c r="D40" s="284"/>
      <c r="E40" s="303"/>
      <c r="F40" s="284"/>
      <c r="G40" s="384"/>
    </row>
    <row r="41" spans="1:7" s="381" customFormat="1">
      <c r="A41" s="289" t="s">
        <v>146</v>
      </c>
      <c r="B41" s="286">
        <f>'Sources and Uses Budget'!$C40</f>
        <v>1310091</v>
      </c>
      <c r="C41" s="286">
        <f>'Sources and Uses Budget'!$C40</f>
        <v>1310091</v>
      </c>
      <c r="D41" s="290">
        <f t="shared" si="0"/>
        <v>0</v>
      </c>
      <c r="E41" s="288"/>
      <c r="F41" s="287"/>
      <c r="G41" s="384"/>
    </row>
    <row r="42" spans="1:7" s="381" customFormat="1">
      <c r="A42" s="289" t="s">
        <v>147</v>
      </c>
      <c r="B42" s="286">
        <f>'Sources and Uses Budget'!$C41</f>
        <v>0</v>
      </c>
      <c r="C42" s="286">
        <f>'Sources and Uses Budget'!$C41</f>
        <v>0</v>
      </c>
      <c r="D42" s="290">
        <f t="shared" si="0"/>
        <v>0</v>
      </c>
      <c r="E42" s="288"/>
      <c r="F42" s="287"/>
      <c r="G42" s="384"/>
    </row>
    <row r="43" spans="1:7" s="381" customFormat="1">
      <c r="A43" s="291" t="s">
        <v>148</v>
      </c>
      <c r="B43" s="290">
        <f>SUM(B41:B42)</f>
        <v>1310091</v>
      </c>
      <c r="C43" s="290">
        <f>SUM(C41:C42)</f>
        <v>1310091</v>
      </c>
      <c r="D43" s="290">
        <f t="shared" si="0"/>
        <v>0</v>
      </c>
      <c r="E43" s="288"/>
      <c r="F43" s="287"/>
      <c r="G43" s="384"/>
    </row>
    <row r="44" spans="1:7" s="381" customFormat="1">
      <c r="A44" s="291" t="s">
        <v>149</v>
      </c>
      <c r="B44" s="286">
        <f>'Sources and Uses Budget'!$C43</f>
        <v>269030</v>
      </c>
      <c r="C44" s="286">
        <f>'Sources and Uses Budget'!$C43</f>
        <v>269030</v>
      </c>
      <c r="D44" s="290">
        <f t="shared" si="0"/>
        <v>0</v>
      </c>
      <c r="E44" s="288"/>
      <c r="F44" s="287"/>
      <c r="G44" s="384"/>
    </row>
    <row r="45" spans="1:7" s="381" customFormat="1" ht="12" customHeight="1">
      <c r="A45" s="284" t="s">
        <v>150</v>
      </c>
      <c r="B45" s="284"/>
      <c r="C45" s="284"/>
      <c r="D45" s="284"/>
      <c r="E45" s="303"/>
      <c r="F45" s="284"/>
      <c r="G45" s="384"/>
    </row>
    <row r="46" spans="1:7" s="381" customFormat="1">
      <c r="A46" s="145" t="s">
        <v>151</v>
      </c>
      <c r="B46" s="286">
        <f>'Sources and Uses Budget'!$C45</f>
        <v>3001097</v>
      </c>
      <c r="C46" s="286">
        <f>'Sources and Uses Budget'!$C45</f>
        <v>3001097</v>
      </c>
      <c r="D46" s="290">
        <f t="shared" si="0"/>
        <v>0</v>
      </c>
      <c r="E46" s="288"/>
      <c r="F46" s="287"/>
      <c r="G46" s="384"/>
    </row>
    <row r="47" spans="1:7" s="381" customFormat="1">
      <c r="A47" s="145" t="s">
        <v>152</v>
      </c>
      <c r="B47" s="286">
        <f>'Sources and Uses Budget'!$C46</f>
        <v>96236</v>
      </c>
      <c r="C47" s="286">
        <f>'Sources and Uses Budget'!$C46</f>
        <v>96236</v>
      </c>
      <c r="D47" s="290">
        <f t="shared" si="0"/>
        <v>0</v>
      </c>
      <c r="E47" s="288"/>
      <c r="F47" s="287"/>
      <c r="G47" s="384"/>
    </row>
    <row r="48" spans="1:7" s="381" customFormat="1" ht="12" customHeight="1">
      <c r="A48" s="198" t="s">
        <v>153</v>
      </c>
      <c r="B48" s="286">
        <f>'Sources and Uses Budget'!$C47</f>
        <v>0</v>
      </c>
      <c r="C48" s="286">
        <f>'Sources and Uses Budget'!$C47</f>
        <v>0</v>
      </c>
      <c r="D48" s="290">
        <f t="shared" si="0"/>
        <v>0</v>
      </c>
      <c r="E48" s="288"/>
      <c r="F48" s="287"/>
      <c r="G48" s="384"/>
    </row>
    <row r="49" spans="1:7" s="381" customFormat="1">
      <c r="A49" s="145" t="s">
        <v>154</v>
      </c>
      <c r="B49" s="286">
        <f>'Sources and Uses Budget'!$C48</f>
        <v>0</v>
      </c>
      <c r="C49" s="286">
        <f>'Sources and Uses Budget'!$C48</f>
        <v>0</v>
      </c>
      <c r="D49" s="290">
        <f t="shared" si="0"/>
        <v>0</v>
      </c>
      <c r="E49" s="288"/>
      <c r="F49" s="287"/>
      <c r="G49" s="384"/>
    </row>
    <row r="50" spans="1:7" s="381" customFormat="1">
      <c r="A50" s="145" t="s">
        <v>57</v>
      </c>
      <c r="B50" s="286">
        <f>'Sources and Uses Budget'!$C49</f>
        <v>0</v>
      </c>
      <c r="C50" s="286">
        <f>'Sources and Uses Budget'!$C49</f>
        <v>0</v>
      </c>
      <c r="D50" s="290">
        <f t="shared" si="0"/>
        <v>0</v>
      </c>
      <c r="E50" s="288"/>
      <c r="F50" s="287"/>
      <c r="G50" s="384"/>
    </row>
    <row r="51" spans="1:7" s="381" customFormat="1">
      <c r="A51" s="145" t="s">
        <v>157</v>
      </c>
      <c r="B51" s="286">
        <f>'Sources and Uses Budget'!$C50</f>
        <v>110000</v>
      </c>
      <c r="C51" s="286">
        <f>'Sources and Uses Budget'!$C50</f>
        <v>110000</v>
      </c>
      <c r="D51" s="290">
        <f t="shared" si="0"/>
        <v>0</v>
      </c>
      <c r="E51" s="288"/>
      <c r="F51" s="287"/>
      <c r="G51" s="384"/>
    </row>
    <row r="52" spans="1:7" s="381" customFormat="1">
      <c r="A52" s="304" t="s">
        <v>155</v>
      </c>
      <c r="B52" s="286">
        <f>'Sources and Uses Budget'!$C51</f>
        <v>125874</v>
      </c>
      <c r="C52" s="286">
        <f>'Sources and Uses Budget'!$C51</f>
        <v>125874</v>
      </c>
      <c r="D52" s="290">
        <f t="shared" si="0"/>
        <v>0</v>
      </c>
      <c r="E52" s="288"/>
      <c r="F52" s="287"/>
      <c r="G52" s="384"/>
    </row>
    <row r="53" spans="1:7" s="381" customFormat="1">
      <c r="A53" s="145" t="s">
        <v>156</v>
      </c>
      <c r="B53" s="286">
        <f>'Sources and Uses Budget'!$C52</f>
        <v>0</v>
      </c>
      <c r="C53" s="286">
        <f>'Sources and Uses Budget'!$C52</f>
        <v>0</v>
      </c>
      <c r="D53" s="290">
        <f t="shared" si="0"/>
        <v>0</v>
      </c>
      <c r="E53" s="288"/>
      <c r="F53" s="287"/>
      <c r="G53" s="384"/>
    </row>
    <row r="54" spans="1:7" s="381" customFormat="1">
      <c r="A54" s="155" t="str">
        <f>'Sources and Uses Budget'!A53</f>
        <v>Construction Inspection Fees</v>
      </c>
      <c r="B54" s="286">
        <f>'Sources and Uses Budget'!$C53</f>
        <v>34200</v>
      </c>
      <c r="C54" s="286">
        <f>'Sources and Uses Budget'!$C53</f>
        <v>34200</v>
      </c>
      <c r="D54" s="290">
        <f t="shared" si="0"/>
        <v>0</v>
      </c>
      <c r="E54" s="288"/>
      <c r="F54" s="287"/>
      <c r="G54" s="384"/>
    </row>
    <row r="55" spans="1:7" s="382" customFormat="1">
      <c r="A55" s="291" t="s">
        <v>158</v>
      </c>
      <c r="B55" s="293">
        <f>SUM(B46:B54)</f>
        <v>3367407</v>
      </c>
      <c r="C55" s="293">
        <f>SUM(C46:C54)</f>
        <v>3367407</v>
      </c>
      <c r="D55" s="290">
        <f t="shared" si="0"/>
        <v>0</v>
      </c>
      <c r="E55" s="288"/>
      <c r="F55" s="287"/>
      <c r="G55" s="385"/>
    </row>
    <row r="56" spans="1:7" s="381" customFormat="1">
      <c r="A56" s="284" t="s">
        <v>419</v>
      </c>
      <c r="B56" s="284"/>
      <c r="C56" s="284"/>
      <c r="D56" s="284"/>
      <c r="E56" s="303"/>
      <c r="F56" s="284"/>
      <c r="G56" s="384"/>
    </row>
    <row r="57" spans="1:7" s="381" customFormat="1">
      <c r="A57" s="289" t="s">
        <v>159</v>
      </c>
      <c r="B57" s="286">
        <f>'Sources and Uses Budget'!$C56</f>
        <v>365427</v>
      </c>
      <c r="C57" s="286">
        <f>'Sources and Uses Budget'!$C56</f>
        <v>365427</v>
      </c>
      <c r="D57" s="290">
        <f t="shared" si="0"/>
        <v>0</v>
      </c>
      <c r="E57" s="288"/>
      <c r="F57" s="287"/>
      <c r="G57" s="384"/>
    </row>
    <row r="58" spans="1:7" s="381" customFormat="1" ht="12" customHeight="1">
      <c r="A58" s="289" t="s">
        <v>153</v>
      </c>
      <c r="B58" s="286">
        <f>'Sources and Uses Budget'!$C57</f>
        <v>213340</v>
      </c>
      <c r="C58" s="286">
        <f>'Sources and Uses Budget'!$C57</f>
        <v>213340</v>
      </c>
      <c r="D58" s="290">
        <f t="shared" si="0"/>
        <v>0</v>
      </c>
      <c r="E58" s="288"/>
      <c r="F58" s="287"/>
      <c r="G58" s="384"/>
    </row>
    <row r="59" spans="1:7" s="381" customFormat="1">
      <c r="A59" s="289" t="s">
        <v>157</v>
      </c>
      <c r="B59" s="286">
        <f>'Sources and Uses Budget'!$C58</f>
        <v>0</v>
      </c>
      <c r="C59" s="286">
        <f>'Sources and Uses Budget'!$C58</f>
        <v>0</v>
      </c>
      <c r="D59" s="290">
        <f t="shared" si="0"/>
        <v>0</v>
      </c>
      <c r="E59" s="288"/>
      <c r="F59" s="287"/>
      <c r="G59" s="384"/>
    </row>
    <row r="60" spans="1:7" s="381" customFormat="1">
      <c r="A60" s="289" t="s">
        <v>155</v>
      </c>
      <c r="B60" s="286">
        <f>'Sources and Uses Budget'!$C59</f>
        <v>0</v>
      </c>
      <c r="C60" s="286">
        <f>'Sources and Uses Budget'!$C59</f>
        <v>0</v>
      </c>
      <c r="D60" s="290">
        <f t="shared" si="0"/>
        <v>0</v>
      </c>
      <c r="E60" s="288"/>
      <c r="F60" s="287"/>
      <c r="G60" s="384"/>
    </row>
    <row r="61" spans="1:7" s="381" customFormat="1">
      <c r="A61" s="289" t="s">
        <v>156</v>
      </c>
      <c r="B61" s="286">
        <f>'Sources and Uses Budget'!$C60</f>
        <v>0</v>
      </c>
      <c r="C61" s="286">
        <f>'Sources and Uses Budget'!$C60</f>
        <v>0</v>
      </c>
      <c r="D61" s="290">
        <f t="shared" si="0"/>
        <v>0</v>
      </c>
      <c r="E61" s="288"/>
      <c r="F61" s="287"/>
      <c r="G61" s="384"/>
    </row>
    <row r="62" spans="1:7" s="381" customFormat="1">
      <c r="A62" s="1056" t="str">
        <f>'Sources and Uses Budget'!A61</f>
        <v>Interest Prior to Conversion</v>
      </c>
      <c r="B62" s="286">
        <f>'Sources and Uses Budget'!$C61</f>
        <v>2893800</v>
      </c>
      <c r="C62" s="286">
        <f>'Sources and Uses Budget'!$C61</f>
        <v>2893800</v>
      </c>
      <c r="D62" s="290">
        <f t="shared" si="0"/>
        <v>0</v>
      </c>
      <c r="E62" s="288"/>
      <c r="F62" s="287"/>
      <c r="G62" s="384"/>
    </row>
    <row r="63" spans="1:7" s="381" customFormat="1" ht="13.7" customHeight="1">
      <c r="A63" s="291" t="s">
        <v>302</v>
      </c>
      <c r="B63" s="290">
        <f>SUM(B57:B62)</f>
        <v>3472567</v>
      </c>
      <c r="C63" s="290">
        <f>SUM(C57:C62)</f>
        <v>3472567</v>
      </c>
      <c r="D63" s="290">
        <f t="shared" si="0"/>
        <v>0</v>
      </c>
      <c r="E63" s="288"/>
      <c r="F63" s="287"/>
      <c r="G63" s="384"/>
    </row>
    <row r="64" spans="1:7" s="381" customFormat="1">
      <c r="A64" s="294" t="s">
        <v>303</v>
      </c>
      <c r="B64" s="290">
        <f>SUM(B9+B12+B14+B15+B17+B26+B28+B39+B43+B44+B55+B63)</f>
        <v>44475770</v>
      </c>
      <c r="C64" s="290">
        <f>SUM(C9+C12+C14+C15+C17+C26+C28+C39+C43+C44+C55+C63)</f>
        <v>44475770</v>
      </c>
      <c r="D64" s="290">
        <f t="shared" si="0"/>
        <v>0</v>
      </c>
      <c r="E64" s="288"/>
      <c r="F64" s="287"/>
      <c r="G64" s="384"/>
    </row>
    <row r="65" spans="1:7" s="381" customFormat="1" ht="24">
      <c r="A65" s="141" t="s">
        <v>1824</v>
      </c>
      <c r="B65" s="284"/>
      <c r="C65" s="284"/>
      <c r="D65" s="284"/>
      <c r="E65" s="303"/>
      <c r="F65" s="284"/>
      <c r="G65" s="384"/>
    </row>
    <row r="66" spans="1:7" s="381" customFormat="1">
      <c r="A66" s="145" t="s">
        <v>171</v>
      </c>
      <c r="B66" s="286">
        <f>'Sources and Uses Budget'!$C65</f>
        <v>85000</v>
      </c>
      <c r="C66" s="286">
        <f>'Sources and Uses Budget'!$C65</f>
        <v>85000</v>
      </c>
      <c r="D66" s="290">
        <f t="shared" si="0"/>
        <v>0</v>
      </c>
      <c r="E66" s="288"/>
      <c r="F66" s="287"/>
      <c r="G66" s="384"/>
    </row>
    <row r="67" spans="1:7" s="381" customFormat="1" ht="24">
      <c r="A67" s="304" t="s">
        <v>1821</v>
      </c>
      <c r="B67" s="286">
        <f>'Sources and Uses Budget'!$C66</f>
        <v>0</v>
      </c>
      <c r="C67" s="286">
        <f>'Sources and Uses Budget'!$C66</f>
        <v>0</v>
      </c>
      <c r="D67" s="290"/>
      <c r="E67" s="288"/>
      <c r="F67" s="287"/>
      <c r="G67" s="384"/>
    </row>
    <row r="68" spans="1:7" s="381" customFormat="1" ht="24">
      <c r="A68" s="304" t="s">
        <v>1822</v>
      </c>
      <c r="B68" s="286">
        <f>'Sources and Uses Budget'!$C67</f>
        <v>0</v>
      </c>
      <c r="C68" s="286">
        <f>'Sources and Uses Budget'!$C67</f>
        <v>0</v>
      </c>
      <c r="D68" s="290"/>
      <c r="E68" s="288"/>
      <c r="F68" s="287"/>
      <c r="G68" s="384"/>
    </row>
    <row r="69" spans="1:7" s="381" customFormat="1">
      <c r="A69" s="304" t="s">
        <v>1828</v>
      </c>
      <c r="B69" s="286">
        <f>'Sources and Uses Budget'!$C68</f>
        <v>0</v>
      </c>
      <c r="C69" s="286">
        <f>'Sources and Uses Budget'!$C68</f>
        <v>0</v>
      </c>
      <c r="D69" s="290"/>
      <c r="E69" s="288"/>
      <c r="F69" s="287"/>
      <c r="G69" s="384"/>
    </row>
    <row r="70" spans="1:7" s="381" customFormat="1">
      <c r="A70" s="155" t="str">
        <f>'Sources and Uses Budget'!A69</f>
        <v>Other: (Specify)</v>
      </c>
      <c r="B70" s="286">
        <f>'Sources and Uses Budget'!$C69</f>
        <v>0</v>
      </c>
      <c r="C70" s="286">
        <f>'Sources and Uses Budget'!$C69</f>
        <v>0</v>
      </c>
      <c r="D70" s="290">
        <f t="shared" si="0"/>
        <v>0</v>
      </c>
      <c r="E70" s="288"/>
      <c r="F70" s="287"/>
      <c r="G70" s="384"/>
    </row>
    <row r="71" spans="1:7" s="381" customFormat="1">
      <c r="A71" s="149" t="s">
        <v>1825</v>
      </c>
      <c r="B71" s="290">
        <f>SUM(B66:B70)</f>
        <v>85000</v>
      </c>
      <c r="C71" s="290">
        <f>SUM(C66:C70)</f>
        <v>85000</v>
      </c>
      <c r="D71" s="290">
        <f t="shared" si="0"/>
        <v>0</v>
      </c>
      <c r="E71" s="288"/>
      <c r="F71" s="287"/>
      <c r="G71" s="384"/>
    </row>
    <row r="72" spans="1:7" s="381" customFormat="1">
      <c r="A72" s="284" t="s">
        <v>611</v>
      </c>
      <c r="B72" s="284"/>
      <c r="C72" s="284"/>
      <c r="D72" s="284"/>
      <c r="E72" s="303"/>
      <c r="F72" s="284"/>
      <c r="G72" s="384"/>
    </row>
    <row r="73" spans="1:7" s="381" customFormat="1">
      <c r="A73" s="289" t="s">
        <v>612</v>
      </c>
      <c r="B73" s="286">
        <f>'Sources and Uses Budget'!$C72</f>
        <v>0</v>
      </c>
      <c r="C73" s="286">
        <f>'Sources and Uses Budget'!$C72</f>
        <v>0</v>
      </c>
      <c r="D73" s="290">
        <f t="shared" si="0"/>
        <v>0</v>
      </c>
      <c r="E73" s="288"/>
      <c r="F73" s="287"/>
      <c r="G73" s="384"/>
    </row>
    <row r="74" spans="1:7" s="381" customFormat="1">
      <c r="A74" s="289" t="s">
        <v>613</v>
      </c>
      <c r="B74" s="286">
        <f>'Sources and Uses Budget'!$C73</f>
        <v>0</v>
      </c>
      <c r="C74" s="286">
        <f>'Sources and Uses Budget'!$C73</f>
        <v>0</v>
      </c>
      <c r="D74" s="290">
        <f t="shared" si="0"/>
        <v>0</v>
      </c>
      <c r="E74" s="288"/>
      <c r="F74" s="287"/>
      <c r="G74" s="384"/>
    </row>
    <row r="75" spans="1:7" s="381" customFormat="1">
      <c r="A75" s="309" t="s">
        <v>1040</v>
      </c>
      <c r="B75" s="286">
        <f>'Sources and Uses Budget'!$C74</f>
        <v>0</v>
      </c>
      <c r="C75" s="286">
        <f>'Sources and Uses Budget'!$C74</f>
        <v>0</v>
      </c>
      <c r="D75" s="290">
        <f t="shared" si="0"/>
        <v>0</v>
      </c>
      <c r="E75" s="288"/>
      <c r="F75" s="287"/>
      <c r="G75" s="384"/>
    </row>
    <row r="76" spans="1:7" s="381" customFormat="1">
      <c r="A76" s="289" t="s">
        <v>614</v>
      </c>
      <c r="B76" s="286">
        <f>'Sources and Uses Budget'!$C75</f>
        <v>603843</v>
      </c>
      <c r="C76" s="286">
        <f>'Sources and Uses Budget'!$C75</f>
        <v>603843</v>
      </c>
      <c r="D76" s="290">
        <f t="shared" si="0"/>
        <v>0</v>
      </c>
      <c r="E76" s="288"/>
      <c r="F76" s="287"/>
      <c r="G76" s="384"/>
    </row>
    <row r="77" spans="1:7" s="381" customFormat="1">
      <c r="A77" s="292" t="s">
        <v>34</v>
      </c>
      <c r="B77" s="286">
        <f>'Sources and Uses Budget'!$C76</f>
        <v>0</v>
      </c>
      <c r="C77" s="286">
        <f>'Sources and Uses Budget'!$C76</f>
        <v>0</v>
      </c>
      <c r="D77" s="290">
        <f t="shared" si="0"/>
        <v>0</v>
      </c>
      <c r="E77" s="288"/>
      <c r="F77" s="287"/>
      <c r="G77" s="384"/>
    </row>
    <row r="78" spans="1:7" s="381" customFormat="1">
      <c r="A78" s="291" t="s">
        <v>615</v>
      </c>
      <c r="B78" s="290">
        <f>SUM(B73:B77)</f>
        <v>603843</v>
      </c>
      <c r="C78" s="290">
        <f>SUM(C73:C77)</f>
        <v>603843</v>
      </c>
      <c r="D78" s="290">
        <f t="shared" ref="D78:D106" si="1">C78-B78</f>
        <v>0</v>
      </c>
      <c r="E78" s="288"/>
      <c r="F78" s="287"/>
      <c r="G78" s="384"/>
    </row>
    <row r="79" spans="1:7" s="381" customFormat="1">
      <c r="A79" s="284" t="s">
        <v>1353</v>
      </c>
      <c r="B79" s="284"/>
      <c r="C79" s="284"/>
      <c r="D79" s="284"/>
      <c r="E79" s="303"/>
      <c r="F79" s="284"/>
      <c r="G79" s="384"/>
    </row>
    <row r="80" spans="1:7" s="381" customFormat="1">
      <c r="A80" s="545" t="s">
        <v>1355</v>
      </c>
      <c r="B80" s="286">
        <f>'Sources and Uses Budget'!$C79</f>
        <v>3512927</v>
      </c>
      <c r="C80" s="286">
        <f>'Sources and Uses Budget'!$C79</f>
        <v>3512927</v>
      </c>
      <c r="D80" s="290">
        <f t="shared" si="1"/>
        <v>0</v>
      </c>
      <c r="E80" s="288"/>
      <c r="F80" s="287"/>
      <c r="G80" s="384"/>
    </row>
    <row r="81" spans="1:7" s="381" customFormat="1">
      <c r="A81" s="545" t="s">
        <v>58</v>
      </c>
      <c r="B81" s="286">
        <f>'Sources and Uses Budget'!$C80</f>
        <v>580966</v>
      </c>
      <c r="C81" s="286">
        <f>'Sources and Uses Budget'!$C80</f>
        <v>580966</v>
      </c>
      <c r="D81" s="290">
        <f>C81-B81</f>
        <v>0</v>
      </c>
      <c r="E81" s="288"/>
      <c r="F81" s="287"/>
      <c r="G81" s="384"/>
    </row>
    <row r="82" spans="1:7" s="381" customFormat="1">
      <c r="A82" s="291" t="s">
        <v>1352</v>
      </c>
      <c r="B82" s="290">
        <f>SUM(B80:B81)</f>
        <v>4093893</v>
      </c>
      <c r="C82" s="290">
        <f>SUM(C80:C81)</f>
        <v>4093893</v>
      </c>
      <c r="D82" s="290">
        <f t="shared" si="1"/>
        <v>0</v>
      </c>
      <c r="E82" s="288"/>
      <c r="F82" s="287"/>
      <c r="G82" s="384"/>
    </row>
    <row r="83" spans="1:7" s="381" customFormat="1">
      <c r="A83" s="284" t="s">
        <v>789</v>
      </c>
      <c r="B83" s="284"/>
      <c r="C83" s="284"/>
      <c r="D83" s="284"/>
      <c r="E83" s="303"/>
      <c r="F83" s="284"/>
      <c r="G83" s="384"/>
    </row>
    <row r="84" spans="1:7" s="381" customFormat="1" ht="13.7" customHeight="1">
      <c r="A84" s="289" t="s">
        <v>790</v>
      </c>
      <c r="B84" s="286">
        <f>'Sources and Uses Budget'!$C83</f>
        <v>101729</v>
      </c>
      <c r="C84" s="286">
        <f>'Sources and Uses Budget'!$C83</f>
        <v>101729</v>
      </c>
      <c r="D84" s="290">
        <f t="shared" si="1"/>
        <v>0</v>
      </c>
      <c r="E84" s="288"/>
      <c r="F84" s="287"/>
      <c r="G84" s="384"/>
    </row>
    <row r="85" spans="1:7" s="381" customFormat="1">
      <c r="A85" s="289" t="s">
        <v>791</v>
      </c>
      <c r="B85" s="286">
        <f>'Sources and Uses Budget'!$C84</f>
        <v>0</v>
      </c>
      <c r="C85" s="286">
        <f>'Sources and Uses Budget'!$C84</f>
        <v>0</v>
      </c>
      <c r="D85" s="290">
        <f t="shared" si="1"/>
        <v>0</v>
      </c>
      <c r="E85" s="288"/>
      <c r="F85" s="287"/>
      <c r="G85" s="384"/>
    </row>
    <row r="86" spans="1:7" s="381" customFormat="1">
      <c r="A86" s="289" t="s">
        <v>792</v>
      </c>
      <c r="B86" s="286">
        <f>'Sources and Uses Budget'!$C85</f>
        <v>8225287</v>
      </c>
      <c r="C86" s="286">
        <f>'Sources and Uses Budget'!$C85</f>
        <v>8225287</v>
      </c>
      <c r="D86" s="290">
        <f t="shared" si="1"/>
        <v>0</v>
      </c>
      <c r="E86" s="288"/>
      <c r="F86" s="287"/>
      <c r="G86" s="384"/>
    </row>
    <row r="87" spans="1:7" s="381" customFormat="1">
      <c r="A87" s="289" t="s">
        <v>793</v>
      </c>
      <c r="B87" s="286">
        <f>'Sources and Uses Budget'!$C86</f>
        <v>774644</v>
      </c>
      <c r="C87" s="286">
        <f>'Sources and Uses Budget'!$C86</f>
        <v>774644</v>
      </c>
      <c r="D87" s="290">
        <f t="shared" si="1"/>
        <v>0</v>
      </c>
      <c r="E87" s="288"/>
      <c r="F87" s="287"/>
      <c r="G87" s="384"/>
    </row>
    <row r="88" spans="1:7" s="381" customFormat="1">
      <c r="A88" s="289" t="s">
        <v>794</v>
      </c>
      <c r="B88" s="286">
        <f>'Sources and Uses Budget'!$C87</f>
        <v>0</v>
      </c>
      <c r="C88" s="286">
        <f>'Sources and Uses Budget'!$C87</f>
        <v>0</v>
      </c>
      <c r="D88" s="290">
        <f t="shared" si="1"/>
        <v>0</v>
      </c>
      <c r="E88" s="288"/>
      <c r="F88" s="287"/>
      <c r="G88" s="384"/>
    </row>
    <row r="89" spans="1:7" s="381" customFormat="1">
      <c r="A89" s="289" t="s">
        <v>795</v>
      </c>
      <c r="B89" s="286">
        <f>'Sources and Uses Budget'!$C88</f>
        <v>152000</v>
      </c>
      <c r="C89" s="286">
        <f>'Sources and Uses Budget'!$C88</f>
        <v>152000</v>
      </c>
      <c r="D89" s="290">
        <f t="shared" si="1"/>
        <v>0</v>
      </c>
      <c r="E89" s="288"/>
      <c r="F89" s="287"/>
      <c r="G89" s="384"/>
    </row>
    <row r="90" spans="1:7" s="381" customFormat="1">
      <c r="A90" s="289" t="s">
        <v>796</v>
      </c>
      <c r="B90" s="286">
        <f>'Sources and Uses Budget'!$C89</f>
        <v>352525</v>
      </c>
      <c r="C90" s="286">
        <f>'Sources and Uses Budget'!$C89</f>
        <v>352525</v>
      </c>
      <c r="D90" s="290">
        <f t="shared" si="1"/>
        <v>0</v>
      </c>
      <c r="E90" s="288"/>
      <c r="F90" s="287"/>
      <c r="G90" s="384"/>
    </row>
    <row r="91" spans="1:7" s="381" customFormat="1">
      <c r="A91" s="289" t="s">
        <v>797</v>
      </c>
      <c r="B91" s="286">
        <f>'Sources and Uses Budget'!$C90</f>
        <v>7500</v>
      </c>
      <c r="C91" s="286">
        <f>'Sources and Uses Budget'!$C90</f>
        <v>7500</v>
      </c>
      <c r="D91" s="290">
        <f t="shared" si="1"/>
        <v>0</v>
      </c>
      <c r="E91" s="288"/>
      <c r="F91" s="287"/>
      <c r="G91" s="384"/>
    </row>
    <row r="92" spans="1:7" s="381" customFormat="1">
      <c r="A92" s="289" t="s">
        <v>373</v>
      </c>
      <c r="B92" s="286">
        <f>'Sources and Uses Budget'!$C91</f>
        <v>25000</v>
      </c>
      <c r="C92" s="286">
        <f>'Sources and Uses Budget'!$C91</f>
        <v>25000</v>
      </c>
      <c r="D92" s="290">
        <f t="shared" si="1"/>
        <v>0</v>
      </c>
      <c r="E92" s="288"/>
      <c r="F92" s="287"/>
      <c r="G92" s="384"/>
    </row>
    <row r="93" spans="1:7" s="381" customFormat="1">
      <c r="A93" s="545" t="s">
        <v>1354</v>
      </c>
      <c r="B93" s="286">
        <f>'Sources and Uses Budget'!$C92</f>
        <v>5000</v>
      </c>
      <c r="C93" s="286">
        <f>'Sources and Uses Budget'!$C92</f>
        <v>5000</v>
      </c>
      <c r="D93" s="290">
        <f t="shared" si="1"/>
        <v>0</v>
      </c>
      <c r="E93" s="288"/>
      <c r="F93" s="287"/>
      <c r="G93" s="384"/>
    </row>
    <row r="94" spans="1:7" s="381" customFormat="1">
      <c r="A94" s="292" t="s">
        <v>34</v>
      </c>
      <c r="B94" s="286">
        <f>'Sources and Uses Budget'!$C93</f>
        <v>143169</v>
      </c>
      <c r="C94" s="286">
        <f>'Sources and Uses Budget'!$C93</f>
        <v>143169</v>
      </c>
      <c r="D94" s="290">
        <f t="shared" si="1"/>
        <v>0</v>
      </c>
      <c r="E94" s="288"/>
      <c r="F94" s="287"/>
      <c r="G94" s="384"/>
    </row>
    <row r="95" spans="1:7" s="381" customFormat="1">
      <c r="A95" s="292" t="s">
        <v>34</v>
      </c>
      <c r="B95" s="286">
        <f>'Sources and Uses Budget'!$C94</f>
        <v>0</v>
      </c>
      <c r="C95" s="286">
        <f>'Sources and Uses Budget'!$C94</f>
        <v>0</v>
      </c>
      <c r="D95" s="290">
        <f t="shared" si="1"/>
        <v>0</v>
      </c>
      <c r="E95" s="288"/>
      <c r="F95" s="287"/>
      <c r="G95" s="384"/>
    </row>
    <row r="96" spans="1:7" s="381" customFormat="1">
      <c r="A96" s="292" t="s">
        <v>34</v>
      </c>
      <c r="B96" s="286">
        <f>'Sources and Uses Budget'!$C95</f>
        <v>0</v>
      </c>
      <c r="C96" s="286">
        <f>'Sources and Uses Budget'!$C95</f>
        <v>0</v>
      </c>
      <c r="D96" s="290">
        <f t="shared" si="1"/>
        <v>0</v>
      </c>
      <c r="E96" s="288"/>
      <c r="F96" s="287"/>
      <c r="G96" s="384"/>
    </row>
    <row r="97" spans="1:7" s="381" customFormat="1">
      <c r="A97" s="291" t="s">
        <v>798</v>
      </c>
      <c r="B97" s="290">
        <f>SUM(B84:B96)</f>
        <v>9786854</v>
      </c>
      <c r="C97" s="290">
        <f>SUM(C84:C96)</f>
        <v>9786854</v>
      </c>
      <c r="D97" s="290">
        <f t="shared" si="1"/>
        <v>0</v>
      </c>
      <c r="E97" s="288"/>
      <c r="F97" s="287"/>
      <c r="G97" s="384"/>
    </row>
    <row r="98" spans="1:7" s="381" customFormat="1">
      <c r="A98" s="291" t="s">
        <v>799</v>
      </c>
      <c r="B98" s="290">
        <f>SUM(B64+B71+B78+B82+B97)</f>
        <v>59045360</v>
      </c>
      <c r="C98" s="290">
        <f>SUM(C64+C71+C78+C82+C97)</f>
        <v>59045360</v>
      </c>
      <c r="D98" s="290">
        <f t="shared" si="1"/>
        <v>0</v>
      </c>
      <c r="E98" s="288"/>
      <c r="F98" s="287"/>
      <c r="G98" s="384"/>
    </row>
    <row r="99" spans="1:7" s="381" customFormat="1">
      <c r="A99" s="284" t="s">
        <v>800</v>
      </c>
      <c r="B99" s="284"/>
      <c r="C99" s="284"/>
      <c r="D99" s="284"/>
      <c r="E99" s="303"/>
      <c r="F99" s="284"/>
      <c r="G99" s="384"/>
    </row>
    <row r="100" spans="1:7" s="381" customFormat="1">
      <c r="A100" s="145" t="s">
        <v>801</v>
      </c>
      <c r="B100" s="286">
        <f>'Sources and Uses Budget'!$C99</f>
        <v>8194533</v>
      </c>
      <c r="C100" s="286">
        <f>'Sources and Uses Budget'!$C99</f>
        <v>8194533</v>
      </c>
      <c r="D100" s="290">
        <f t="shared" si="1"/>
        <v>0</v>
      </c>
      <c r="E100" s="288"/>
      <c r="F100" s="287"/>
      <c r="G100" s="384"/>
    </row>
    <row r="101" spans="1:7" s="381" customFormat="1">
      <c r="A101" s="304" t="s">
        <v>1826</v>
      </c>
      <c r="B101" s="286">
        <f>'Sources and Uses Budget'!$C100</f>
        <v>0</v>
      </c>
      <c r="C101" s="286">
        <f>'Sources and Uses Budget'!$C100</f>
        <v>0</v>
      </c>
      <c r="D101" s="290">
        <f t="shared" si="1"/>
        <v>0</v>
      </c>
      <c r="E101" s="288"/>
      <c r="F101" s="287"/>
      <c r="G101" s="384"/>
    </row>
    <row r="102" spans="1:7" s="381" customFormat="1">
      <c r="A102" s="145" t="s">
        <v>802</v>
      </c>
      <c r="B102" s="286">
        <f>'Sources and Uses Budget'!$C101</f>
        <v>0</v>
      </c>
      <c r="C102" s="286">
        <f>'Sources and Uses Budget'!$C101</f>
        <v>0</v>
      </c>
      <c r="D102" s="290">
        <f t="shared" si="1"/>
        <v>0</v>
      </c>
      <c r="E102" s="288"/>
      <c r="F102" s="287"/>
      <c r="G102" s="384"/>
    </row>
    <row r="103" spans="1:7" s="381" customFormat="1" ht="12" customHeight="1">
      <c r="A103" s="304" t="s">
        <v>1827</v>
      </c>
      <c r="B103" s="286">
        <f>'Sources and Uses Budget'!$C102</f>
        <v>0</v>
      </c>
      <c r="C103" s="286">
        <f>'Sources and Uses Budget'!$C102</f>
        <v>0</v>
      </c>
      <c r="D103" s="290">
        <f t="shared" si="1"/>
        <v>0</v>
      </c>
      <c r="E103" s="288"/>
      <c r="F103" s="287"/>
      <c r="G103" s="384"/>
    </row>
    <row r="104" spans="1:7" s="381" customFormat="1">
      <c r="A104" s="1056" t="str">
        <f>'Sources and Uses Budget'!A103</f>
        <v>Other: (Specify)</v>
      </c>
      <c r="B104" s="286">
        <f>'Sources and Uses Budget'!$C103</f>
        <v>0</v>
      </c>
      <c r="C104" s="286">
        <f>'Sources and Uses Budget'!$C103</f>
        <v>0</v>
      </c>
      <c r="D104" s="290">
        <f t="shared" si="1"/>
        <v>0</v>
      </c>
      <c r="E104" s="288"/>
      <c r="F104" s="287"/>
      <c r="G104" s="384"/>
    </row>
    <row r="105" spans="1:7" s="381" customFormat="1">
      <c r="A105" s="291" t="s">
        <v>803</v>
      </c>
      <c r="B105" s="290">
        <f>SUM(B100:B104)</f>
        <v>8194533</v>
      </c>
      <c r="C105" s="290">
        <f>SUM(C100:C104)</f>
        <v>8194533</v>
      </c>
      <c r="D105" s="290">
        <f t="shared" si="1"/>
        <v>0</v>
      </c>
      <c r="E105" s="288"/>
      <c r="F105" s="287"/>
      <c r="G105" s="384"/>
    </row>
    <row r="106" spans="1:7" s="381" customFormat="1">
      <c r="A106" s="291" t="s">
        <v>804</v>
      </c>
      <c r="B106" s="293">
        <f>SUM(B98+B105)</f>
        <v>67239893</v>
      </c>
      <c r="C106" s="293">
        <f>SUM(C98+C105)</f>
        <v>67239893</v>
      </c>
      <c r="D106" s="290">
        <f t="shared" si="1"/>
        <v>0</v>
      </c>
      <c r="E106" s="288"/>
      <c r="F106" s="287"/>
      <c r="G106" s="384"/>
    </row>
    <row r="107" spans="1:7" s="381" customFormat="1">
      <c r="A107" s="298" t="s">
        <v>805</v>
      </c>
      <c r="B107" s="299"/>
      <c r="C107" s="300"/>
      <c r="D107" s="302"/>
      <c r="E107" s="285"/>
      <c r="F107" s="297"/>
      <c r="G107" s="384"/>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showGridLines="0" zoomScaleNormal="100" zoomScaleSheetLayoutView="100"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296" t="s">
        <v>1105</v>
      </c>
      <c r="B2" s="1296"/>
      <c r="C2" s="1270"/>
      <c r="D2" s="1270"/>
      <c r="E2" s="1270"/>
      <c r="F2" s="1270"/>
      <c r="G2" s="1270"/>
    </row>
    <row r="3" spans="1:9" s="173" customFormat="1">
      <c r="A3" s="1296" t="s">
        <v>1042</v>
      </c>
      <c r="B3" s="1296"/>
      <c r="C3" s="1270"/>
      <c r="D3" s="1270"/>
      <c r="E3" s="1270"/>
      <c r="F3" s="1270"/>
      <c r="G3" s="1270"/>
      <c r="I3" t="s">
        <v>308</v>
      </c>
    </row>
    <row r="4" spans="1:9">
      <c r="I4" s="3" t="s">
        <v>1106</v>
      </c>
    </row>
    <row r="5" spans="1:9">
      <c r="A5" s="1298" t="s">
        <v>1043</v>
      </c>
      <c r="B5" s="1298"/>
      <c r="C5" s="1270"/>
      <c r="D5" s="1270"/>
      <c r="E5" s="1270"/>
      <c r="F5" s="1270"/>
      <c r="G5" s="1270"/>
      <c r="I5" s="3" t="s">
        <v>1107</v>
      </c>
    </row>
    <row r="6" spans="1:9">
      <c r="A6" s="1298" t="s">
        <v>845</v>
      </c>
      <c r="B6" s="1298"/>
      <c r="C6" s="1270"/>
      <c r="D6" s="1270"/>
      <c r="E6" s="1270"/>
      <c r="F6" s="1270"/>
      <c r="G6" s="1270"/>
      <c r="I6" t="s">
        <v>600</v>
      </c>
    </row>
    <row r="7" spans="1:9" ht="11.85" customHeight="1"/>
    <row r="8" spans="1:9">
      <c r="A8" s="1296" t="s">
        <v>1202</v>
      </c>
      <c r="B8" s="1296"/>
      <c r="C8" s="1297"/>
      <c r="D8" s="1297"/>
      <c r="E8" s="1297"/>
      <c r="F8" s="1297"/>
      <c r="G8" s="1297"/>
    </row>
    <row r="9" spans="1:9">
      <c r="A9" s="1296" t="s">
        <v>1203</v>
      </c>
      <c r="B9" s="1296"/>
      <c r="C9" s="1297"/>
      <c r="D9" s="1297"/>
      <c r="E9" s="1297"/>
      <c r="F9" s="1297"/>
      <c r="G9" s="1297"/>
    </row>
    <row r="10" spans="1:9">
      <c r="A10" s="174"/>
      <c r="B10" s="174"/>
      <c r="C10" s="172"/>
      <c r="D10" s="172"/>
      <c r="E10" s="172"/>
      <c r="F10" s="172"/>
    </row>
    <row r="11" spans="1:9">
      <c r="A11" s="1277" t="s">
        <v>1205</v>
      </c>
      <c r="B11" s="1277"/>
      <c r="C11" s="1277"/>
      <c r="D11" s="1277"/>
      <c r="E11" s="1277"/>
      <c r="F11" s="1277"/>
      <c r="G11" s="1277"/>
    </row>
    <row r="12" spans="1:9">
      <c r="A12" s="172"/>
      <c r="B12" s="172"/>
      <c r="E12" s="2"/>
    </row>
    <row r="13" spans="1:9" ht="13.15" customHeight="1">
      <c r="C13" s="172"/>
      <c r="D13" s="1310" t="s">
        <v>1204</v>
      </c>
      <c r="E13" s="1310"/>
      <c r="F13" s="1310"/>
    </row>
    <row r="14" spans="1:9">
      <c r="C14" s="172"/>
      <c r="D14" s="1310"/>
      <c r="E14" s="1310"/>
      <c r="F14" s="1310"/>
    </row>
    <row r="15" spans="1:9">
      <c r="A15" s="175"/>
      <c r="B15" s="175"/>
      <c r="C15" s="175"/>
      <c r="D15" s="1273" t="s">
        <v>1187</v>
      </c>
      <c r="E15" s="1273"/>
      <c r="F15" s="1273"/>
    </row>
    <row r="16" spans="1:9">
      <c r="A16" s="175"/>
      <c r="B16" s="175"/>
      <c r="C16" s="175"/>
      <c r="D16" s="218"/>
    </row>
    <row r="17" spans="1:6" ht="14.25">
      <c r="A17" s="176"/>
      <c r="B17" s="469" t="s">
        <v>308</v>
      </c>
      <c r="C17" s="175"/>
      <c r="D17" s="1262" t="s">
        <v>1188</v>
      </c>
      <c r="E17" s="1262"/>
      <c r="F17" s="1262"/>
    </row>
    <row r="18" spans="1:6">
      <c r="A18" s="175"/>
      <c r="B18" s="175"/>
      <c r="C18" s="175"/>
      <c r="D18" s="1262"/>
      <c r="E18" s="1262"/>
      <c r="F18" s="1262"/>
    </row>
    <row r="19" spans="1:6">
      <c r="A19" s="175"/>
      <c r="B19" s="175"/>
      <c r="C19" s="175"/>
      <c r="D19" s="1262"/>
      <c r="E19" s="1262"/>
      <c r="F19" s="1262"/>
    </row>
    <row r="20" spans="1:6">
      <c r="A20" s="175"/>
      <c r="B20" s="175"/>
      <c r="C20" s="175"/>
    </row>
    <row r="21" spans="1:6" ht="14.25">
      <c r="A21" s="176"/>
      <c r="B21" s="469" t="s">
        <v>308</v>
      </c>
      <c r="D21" s="1305" t="s">
        <v>1189</v>
      </c>
      <c r="E21" s="1305"/>
      <c r="F21" s="1305"/>
    </row>
    <row r="22" spans="1:6" ht="14.25">
      <c r="A22" s="176"/>
      <c r="B22" s="176"/>
      <c r="D22" s="35"/>
    </row>
    <row r="23" spans="1:6" ht="14.25">
      <c r="A23" s="176"/>
      <c r="B23" s="469" t="s">
        <v>308</v>
      </c>
      <c r="D23" s="1262" t="s">
        <v>1190</v>
      </c>
      <c r="E23" s="1262"/>
      <c r="F23" s="1262"/>
    </row>
    <row r="24" spans="1:6" ht="14.25">
      <c r="A24" s="176"/>
      <c r="B24" s="176"/>
      <c r="D24" s="1262"/>
      <c r="E24" s="1262"/>
      <c r="F24" s="1262"/>
    </row>
    <row r="25" spans="1:6"/>
    <row r="26" spans="1:6" ht="14.25">
      <c r="A26" s="176"/>
      <c r="B26" s="469" t="s">
        <v>308</v>
      </c>
      <c r="D26" s="1262" t="s">
        <v>1191</v>
      </c>
      <c r="E26" s="1262"/>
      <c r="F26" s="1262"/>
    </row>
    <row r="27" spans="1:6">
      <c r="D27" s="1262"/>
      <c r="E27" s="1262"/>
      <c r="F27" s="1262"/>
    </row>
    <row r="28" spans="1:6">
      <c r="D28" s="1262"/>
      <c r="E28" s="1262"/>
      <c r="F28" s="1262"/>
    </row>
    <row r="29" spans="1:6">
      <c r="D29" s="1262"/>
      <c r="E29" s="1262"/>
      <c r="F29" s="1262"/>
    </row>
    <row r="30" spans="1:6">
      <c r="D30" s="1262"/>
      <c r="E30" s="1262"/>
      <c r="F30" s="1262"/>
    </row>
    <row r="31" spans="1:6">
      <c r="D31" s="220"/>
    </row>
    <row r="32" spans="1:6">
      <c r="B32" s="469" t="s">
        <v>308</v>
      </c>
      <c r="D32" s="1262" t="s">
        <v>1192</v>
      </c>
      <c r="E32" s="1262"/>
      <c r="F32" s="1262"/>
    </row>
    <row r="33" spans="1:6">
      <c r="D33" s="1262"/>
      <c r="E33" s="1262"/>
      <c r="F33" s="1262"/>
    </row>
    <row r="34" spans="1:6" ht="14.25">
      <c r="A34" s="176"/>
      <c r="B34" s="176"/>
      <c r="D34" s="220"/>
    </row>
    <row r="35" spans="1:6" ht="14.45" customHeight="1">
      <c r="A35" s="176"/>
      <c r="B35" s="469" t="s">
        <v>308</v>
      </c>
      <c r="D35" s="1262" t="s">
        <v>1193</v>
      </c>
      <c r="E35" s="1262"/>
      <c r="F35" s="1262"/>
    </row>
    <row r="36" spans="1:6" ht="14.25">
      <c r="A36" s="176"/>
      <c r="B36" s="176"/>
      <c r="D36" s="1262"/>
      <c r="E36" s="1262"/>
      <c r="F36" s="1262"/>
    </row>
    <row r="37" spans="1:6" ht="14.25">
      <c r="A37" s="176"/>
      <c r="B37" s="176"/>
      <c r="D37" s="1262"/>
      <c r="E37" s="1262"/>
      <c r="F37" s="1262"/>
    </row>
    <row r="38" spans="1:6" ht="14.25">
      <c r="A38" s="176"/>
      <c r="B38" s="176"/>
      <c r="D38"/>
    </row>
    <row r="39" spans="1:6" ht="14.25">
      <c r="A39" s="176"/>
      <c r="B39" s="469" t="s">
        <v>308</v>
      </c>
      <c r="D39" s="1262" t="s">
        <v>1194</v>
      </c>
      <c r="E39" s="1262"/>
      <c r="F39" s="1262"/>
    </row>
    <row r="40" spans="1:6" ht="14.25">
      <c r="A40" s="176"/>
      <c r="B40" s="176"/>
      <c r="D40" s="1262"/>
      <c r="E40" s="1262"/>
      <c r="F40" s="1262"/>
    </row>
    <row r="41" spans="1:6" ht="14.25">
      <c r="A41" s="176"/>
      <c r="B41" s="176"/>
      <c r="D41" s="1262"/>
      <c r="E41" s="1262"/>
      <c r="F41" s="1262"/>
    </row>
    <row r="42" spans="1:6" ht="14.25">
      <c r="A42" s="176"/>
      <c r="B42" s="176"/>
      <c r="D42" s="1262"/>
      <c r="E42" s="1262"/>
      <c r="F42" s="1262"/>
    </row>
    <row r="43" spans="1:6" ht="14.25">
      <c r="A43" s="176"/>
      <c r="B43" s="176"/>
      <c r="D43" s="1262"/>
      <c r="E43" s="1262"/>
      <c r="F43" s="1262"/>
    </row>
    <row r="44" spans="1:6" ht="14.25">
      <c r="A44" s="176"/>
      <c r="B44" s="176"/>
      <c r="D44" s="475"/>
      <c r="E44" s="475"/>
      <c r="F44" s="475"/>
    </row>
    <row r="45" spans="1:6" ht="14.25">
      <c r="A45" s="176"/>
      <c r="B45" s="469" t="s">
        <v>308</v>
      </c>
      <c r="D45" s="1262" t="s">
        <v>1195</v>
      </c>
      <c r="E45" s="1262"/>
      <c r="F45" s="1262"/>
    </row>
    <row r="46" spans="1:6" ht="14.25">
      <c r="A46" s="176"/>
      <c r="B46" s="176"/>
      <c r="D46" s="1262"/>
      <c r="E46" s="1262"/>
      <c r="F46" s="1262"/>
    </row>
    <row r="47" spans="1:6" ht="14.25">
      <c r="A47" s="176"/>
      <c r="B47" s="176"/>
      <c r="D47" s="1262"/>
      <c r="E47" s="1262"/>
      <c r="F47" s="1262"/>
    </row>
    <row r="48" spans="1:6" ht="23.25" customHeight="1">
      <c r="A48" s="176"/>
      <c r="B48" s="176"/>
      <c r="D48" s="1262"/>
      <c r="E48" s="1262"/>
      <c r="F48" s="1262"/>
    </row>
    <row r="49" spans="1:7" ht="14.25">
      <c r="A49" s="176"/>
      <c r="B49" s="176"/>
      <c r="D49" s="35"/>
    </row>
    <row r="50" spans="1:7" ht="14.45" customHeight="1">
      <c r="A50" s="176"/>
      <c r="B50" s="469" t="s">
        <v>308</v>
      </c>
      <c r="D50" s="1262" t="s">
        <v>1196</v>
      </c>
      <c r="E50" s="1262"/>
      <c r="F50" s="1262"/>
    </row>
    <row r="51" spans="1:7" ht="14.25">
      <c r="A51" s="176"/>
      <c r="B51" s="176"/>
      <c r="D51" s="1262"/>
      <c r="E51" s="1262"/>
      <c r="F51" s="1262"/>
    </row>
    <row r="52" spans="1:7" ht="14.25">
      <c r="A52" s="176"/>
      <c r="B52" s="176"/>
      <c r="D52" s="1262"/>
      <c r="E52" s="1262"/>
      <c r="F52" s="1262"/>
    </row>
    <row r="53" spans="1:7" ht="14.25">
      <c r="A53" s="176"/>
      <c r="B53" s="176"/>
      <c r="C53" s="386"/>
      <c r="D53" s="3"/>
      <c r="E53" s="3"/>
      <c r="F53" s="3"/>
      <c r="G53" s="3"/>
    </row>
    <row r="54" spans="1:7" ht="14.25">
      <c r="A54" s="176"/>
      <c r="B54" s="469" t="s">
        <v>308</v>
      </c>
      <c r="C54" s="386"/>
      <c r="D54" s="1262" t="s">
        <v>1197</v>
      </c>
      <c r="E54" s="1262"/>
      <c r="F54" s="1262"/>
      <c r="G54" s="3"/>
    </row>
    <row r="55" spans="1:7" ht="14.25">
      <c r="A55" s="176"/>
      <c r="B55" s="176"/>
      <c r="C55" s="386"/>
      <c r="D55" s="1262"/>
      <c r="E55" s="1262"/>
      <c r="F55" s="1262"/>
      <c r="G55" s="3"/>
    </row>
    <row r="56" spans="1:7">
      <c r="D56" s="220"/>
    </row>
    <row r="57" spans="1:7" ht="14.25">
      <c r="A57" s="176"/>
      <c r="B57" s="469" t="s">
        <v>308</v>
      </c>
      <c r="D57" s="1262" t="s">
        <v>1198</v>
      </c>
      <c r="E57" s="1262"/>
      <c r="F57" s="1262"/>
    </row>
    <row r="58" spans="1:7">
      <c r="D58" s="1262"/>
      <c r="E58" s="1262"/>
      <c r="F58" s="1262"/>
    </row>
    <row r="59" spans="1:7">
      <c r="D59" s="1262"/>
      <c r="E59" s="1262"/>
      <c r="F59" s="1262"/>
    </row>
    <row r="60" spans="1:7">
      <c r="D60" s="3"/>
    </row>
    <row r="61" spans="1:7" ht="14.25">
      <c r="A61" s="176"/>
      <c r="B61" s="469" t="s">
        <v>308</v>
      </c>
      <c r="D61" s="1262" t="s">
        <v>1199</v>
      </c>
      <c r="E61" s="1262"/>
      <c r="F61" s="1262"/>
    </row>
    <row r="62" spans="1:7">
      <c r="D62" s="1262"/>
      <c r="E62" s="1262"/>
      <c r="F62" s="1262"/>
    </row>
    <row r="63" spans="1:7"/>
    <row r="64" spans="1:7" ht="14.25">
      <c r="A64" s="176"/>
      <c r="B64" s="469" t="s">
        <v>308</v>
      </c>
      <c r="D64" s="1262" t="s">
        <v>1200</v>
      </c>
      <c r="E64" s="1262"/>
      <c r="F64" s="1262"/>
    </row>
    <row r="65" spans="1:7">
      <c r="D65" s="1262"/>
      <c r="E65" s="1262"/>
      <c r="F65" s="1262"/>
    </row>
    <row r="66" spans="1:7">
      <c r="D66" s="1262"/>
      <c r="E66" s="1262"/>
      <c r="F66" s="1262"/>
    </row>
    <row r="67" spans="1:7">
      <c r="D67"/>
    </row>
    <row r="68" spans="1:7" ht="14.25">
      <c r="A68" s="176"/>
      <c r="B68" s="469" t="s">
        <v>308</v>
      </c>
      <c r="D68" s="1262" t="s">
        <v>1201</v>
      </c>
      <c r="E68" s="1262"/>
      <c r="F68" s="1262"/>
    </row>
    <row r="69" spans="1:7">
      <c r="D69" s="1262"/>
      <c r="E69" s="1262"/>
      <c r="F69" s="1262"/>
    </row>
    <row r="70" spans="1:7" ht="14.25">
      <c r="A70" s="176"/>
      <c r="B70" s="176"/>
      <c r="D70" s="35"/>
    </row>
    <row r="71" spans="1:7">
      <c r="A71" s="1277" t="s">
        <v>1108</v>
      </c>
      <c r="B71" s="1277"/>
      <c r="C71" s="1277"/>
      <c r="D71" s="1277"/>
      <c r="E71" s="1277"/>
      <c r="F71" s="1277"/>
      <c r="G71" s="1277"/>
    </row>
    <row r="72" spans="1:7"/>
    <row r="73" spans="1:7">
      <c r="C73" s="177"/>
      <c r="D73" s="1295" t="s">
        <v>1206</v>
      </c>
      <c r="E73" s="1295"/>
      <c r="F73" s="1295"/>
    </row>
    <row r="74" spans="1:7">
      <c r="A74" s="35"/>
      <c r="B74" s="35"/>
      <c r="D74" s="1262" t="s">
        <v>1233</v>
      </c>
      <c r="E74" s="1262"/>
      <c r="F74" s="1262"/>
    </row>
    <row r="75" spans="1:7">
      <c r="A75" s="35"/>
      <c r="B75" s="35"/>
    </row>
    <row r="76" spans="1:7" ht="14.25">
      <c r="A76" s="176"/>
      <c r="B76" s="469" t="s">
        <v>308</v>
      </c>
      <c r="D76" s="1262" t="s">
        <v>1207</v>
      </c>
      <c r="E76" s="1262"/>
      <c r="F76" s="1262"/>
    </row>
    <row r="77" spans="1:7" ht="14.25">
      <c r="A77" s="176"/>
      <c r="B77" s="176"/>
      <c r="D77" s="1262"/>
      <c r="E77" s="1262"/>
      <c r="F77" s="1262"/>
    </row>
    <row r="78" spans="1:7" ht="14.25">
      <c r="A78" s="176"/>
      <c r="B78" s="176"/>
      <c r="D78" s="1262"/>
      <c r="E78" s="1262"/>
      <c r="F78" s="1262"/>
    </row>
    <row r="79" spans="1:7" ht="14.25">
      <c r="A79" s="176"/>
      <c r="B79" s="176"/>
      <c r="D79" s="1262"/>
      <c r="E79" s="1262"/>
      <c r="F79" s="1262"/>
    </row>
    <row r="80" spans="1:7" ht="14.25">
      <c r="A80" s="176"/>
      <c r="B80" s="176"/>
      <c r="D80" s="1262"/>
      <c r="E80" s="1262"/>
      <c r="F80" s="1262"/>
    </row>
    <row r="81" spans="1:6" ht="14.25">
      <c r="A81" s="176"/>
      <c r="B81" s="176"/>
      <c r="D81" s="1262"/>
      <c r="E81" s="1262"/>
      <c r="F81" s="1262"/>
    </row>
    <row r="82" spans="1:6" ht="14.25">
      <c r="A82" s="176"/>
      <c r="B82" s="176"/>
      <c r="D82" s="475"/>
      <c r="E82" s="475"/>
      <c r="F82" s="475"/>
    </row>
    <row r="83" spans="1:6" ht="14.45" customHeight="1">
      <c r="A83" s="176"/>
      <c r="B83" s="469" t="s">
        <v>308</v>
      </c>
      <c r="D83" s="1271" t="s">
        <v>1306</v>
      </c>
      <c r="E83" s="1271"/>
      <c r="F83" s="1271"/>
    </row>
    <row r="84" spans="1:6" ht="14.25">
      <c r="A84" s="176"/>
      <c r="B84" s="176"/>
      <c r="D84" s="1271"/>
      <c r="E84" s="1271"/>
      <c r="F84" s="1271"/>
    </row>
    <row r="85" spans="1:6" ht="14.25">
      <c r="A85" s="176"/>
      <c r="B85" s="176"/>
      <c r="D85" s="1271"/>
      <c r="E85" s="1271"/>
      <c r="F85" s="1271"/>
    </row>
    <row r="86" spans="1:6" ht="14.25">
      <c r="A86" s="176"/>
      <c r="B86" s="176"/>
      <c r="D86" s="1271"/>
      <c r="E86" s="1271"/>
      <c r="F86" s="1271"/>
    </row>
    <row r="87" spans="1:6" ht="14.25">
      <c r="A87" s="176"/>
      <c r="B87" s="176"/>
      <c r="D87" s="1271"/>
      <c r="E87" s="1271"/>
      <c r="F87" s="1271"/>
    </row>
    <row r="88" spans="1:6" ht="14.25">
      <c r="A88" s="176"/>
      <c r="B88" s="176"/>
      <c r="D88" s="1271"/>
      <c r="E88" s="1271"/>
      <c r="F88" s="1271"/>
    </row>
    <row r="89" spans="1:6" ht="14.25">
      <c r="A89" s="176"/>
      <c r="B89" s="176"/>
      <c r="D89" s="1271"/>
      <c r="E89" s="1271"/>
      <c r="F89" s="1271"/>
    </row>
    <row r="90" spans="1:6" ht="14.25">
      <c r="A90" s="176"/>
      <c r="B90" s="176"/>
      <c r="D90" s="1271"/>
      <c r="E90" s="1271"/>
      <c r="F90" s="1271"/>
    </row>
    <row r="91" spans="1:6" ht="14.25">
      <c r="A91" s="176"/>
      <c r="B91" s="176"/>
      <c r="D91" s="1271"/>
      <c r="E91" s="1271"/>
      <c r="F91" s="1271"/>
    </row>
    <row r="92" spans="1:6" ht="14.25">
      <c r="A92" s="176"/>
      <c r="B92" s="176"/>
      <c r="D92" s="1271"/>
      <c r="E92" s="1271"/>
      <c r="F92" s="1271"/>
    </row>
    <row r="93" spans="1:6" ht="14.25">
      <c r="A93" s="176"/>
      <c r="B93" s="176"/>
      <c r="D93" s="1271"/>
      <c r="E93" s="1271"/>
      <c r="F93" s="1271"/>
    </row>
    <row r="94" spans="1:6" ht="14.25">
      <c r="A94" s="176"/>
      <c r="B94" s="176"/>
      <c r="D94" s="1271"/>
      <c r="E94" s="1271"/>
      <c r="F94" s="1271"/>
    </row>
    <row r="95" spans="1:6" ht="14.25">
      <c r="A95" s="176"/>
      <c r="B95" s="176"/>
      <c r="D95" s="1271"/>
      <c r="E95" s="1271"/>
      <c r="F95" s="1271"/>
    </row>
    <row r="96" spans="1:6" ht="14.25">
      <c r="A96" s="176"/>
      <c r="B96" s="176"/>
      <c r="D96" s="1271"/>
      <c r="E96" s="1271"/>
      <c r="F96" s="1271"/>
    </row>
    <row r="97" spans="1:11" ht="14.25">
      <c r="A97" s="176"/>
      <c r="B97" s="469" t="s">
        <v>308</v>
      </c>
      <c r="D97" s="1262" t="s">
        <v>1208</v>
      </c>
      <c r="E97" s="1262"/>
      <c r="F97" s="1262"/>
    </row>
    <row r="98" spans="1:11" ht="14.25">
      <c r="A98" s="176"/>
      <c r="B98" s="176"/>
      <c r="D98" s="1262"/>
      <c r="E98" s="1262"/>
      <c r="F98" s="1262"/>
    </row>
    <row r="99" spans="1:11" ht="14.25">
      <c r="A99" s="176"/>
      <c r="B99" s="176"/>
      <c r="D99" s="1262"/>
      <c r="E99" s="1262"/>
      <c r="F99" s="1262"/>
    </row>
    <row r="100" spans="1:11" ht="14.25">
      <c r="A100" s="176"/>
      <c r="B100" s="176"/>
      <c r="D100" s="1262"/>
      <c r="E100" s="1262"/>
      <c r="F100" s="1262"/>
    </row>
    <row r="101" spans="1:11" ht="14.25">
      <c r="A101" s="176"/>
      <c r="B101" s="176"/>
      <c r="D101" s="1262"/>
      <c r="E101" s="1262"/>
      <c r="F101" s="1262"/>
    </row>
    <row r="102" spans="1:11" ht="14.25">
      <c r="A102" s="176"/>
      <c r="B102" s="176"/>
      <c r="D102" s="1262"/>
      <c r="E102" s="1262"/>
      <c r="F102" s="1262"/>
    </row>
    <row r="103" spans="1:11" ht="14.25">
      <c r="A103" s="176"/>
      <c r="B103" s="176"/>
      <c r="D103" s="1262"/>
      <c r="E103" s="1262"/>
      <c r="F103" s="1262"/>
    </row>
    <row r="104" spans="1:11" ht="14.25">
      <c r="A104" s="176"/>
      <c r="B104" s="176"/>
      <c r="D104" s="1262"/>
      <c r="E104" s="1262"/>
      <c r="F104" s="1262"/>
    </row>
    <row r="105" spans="1:11" ht="14.25">
      <c r="A105" s="176"/>
      <c r="B105" s="176"/>
      <c r="D105" s="475"/>
      <c r="E105" s="475"/>
      <c r="F105" s="475"/>
    </row>
    <row r="106" spans="1:11" ht="14.25">
      <c r="A106" s="176"/>
      <c r="B106" s="469" t="s">
        <v>308</v>
      </c>
      <c r="C106" s="179"/>
      <c r="D106" s="1299" t="s">
        <v>1209</v>
      </c>
      <c r="E106" s="1299"/>
      <c r="F106" s="1299"/>
      <c r="G106" s="183"/>
      <c r="H106" s="181"/>
      <c r="I106" s="181"/>
      <c r="J106" s="181"/>
      <c r="K106" s="181"/>
    </row>
    <row r="107" spans="1:11" ht="14.25">
      <c r="A107" s="176"/>
      <c r="B107" s="176"/>
      <c r="C107" s="179"/>
      <c r="D107" s="1299"/>
      <c r="E107" s="1299"/>
      <c r="F107" s="1299"/>
      <c r="G107" s="183"/>
      <c r="H107" s="181"/>
      <c r="I107" s="181"/>
      <c r="J107" s="181"/>
      <c r="K107" s="181"/>
    </row>
    <row r="108" spans="1:11" ht="14.25">
      <c r="A108" s="176"/>
      <c r="B108" s="176"/>
      <c r="C108" s="179"/>
      <c r="D108" s="1299"/>
      <c r="E108" s="1299"/>
      <c r="F108" s="1299"/>
      <c r="G108" s="183"/>
      <c r="H108" s="181"/>
      <c r="I108" s="181"/>
      <c r="J108" s="181"/>
      <c r="K108" s="181"/>
    </row>
    <row r="109" spans="1:11" ht="14.25">
      <c r="A109" s="176"/>
      <c r="B109" s="176"/>
      <c r="C109" s="179"/>
      <c r="D109" s="1299"/>
      <c r="E109" s="1299"/>
      <c r="F109" s="1299"/>
      <c r="G109" s="183"/>
      <c r="H109" s="181"/>
      <c r="I109" s="181"/>
      <c r="J109" s="181"/>
      <c r="K109" s="181"/>
    </row>
    <row r="110" spans="1:11" ht="14.25">
      <c r="A110" s="176"/>
      <c r="B110" s="176"/>
      <c r="C110" s="179"/>
      <c r="D110" s="1299"/>
      <c r="E110" s="1299"/>
      <c r="F110" s="1299"/>
      <c r="G110" s="183"/>
      <c r="H110" s="181"/>
      <c r="I110" s="181"/>
      <c r="J110" s="181"/>
      <c r="K110" s="181"/>
    </row>
    <row r="111" spans="1:11">
      <c r="C111"/>
      <c r="D111" s="1299"/>
      <c r="E111" s="1299"/>
      <c r="F111" s="1299"/>
      <c r="G111"/>
    </row>
    <row r="112" spans="1:11">
      <c r="C112"/>
      <c r="D112" s="1299"/>
      <c r="E112" s="1299"/>
      <c r="F112" s="1299"/>
      <c r="G112"/>
    </row>
    <row r="113" spans="1:7">
      <c r="C113"/>
      <c r="D113" s="330"/>
      <c r="E113"/>
      <c r="F113"/>
      <c r="G113"/>
    </row>
    <row r="114" spans="1:7" ht="14.25">
      <c r="A114" s="176"/>
      <c r="B114" s="469" t="s">
        <v>308</v>
      </c>
      <c r="C114"/>
      <c r="D114" s="1300" t="s">
        <v>1210</v>
      </c>
      <c r="E114" s="1300"/>
      <c r="F114" s="1300"/>
      <c r="G114"/>
    </row>
    <row r="115" spans="1:7" ht="14.25">
      <c r="A115" s="176"/>
      <c r="B115" s="176"/>
      <c r="C115"/>
      <c r="D115" s="1300"/>
      <c r="E115" s="1300"/>
      <c r="F115" s="1300"/>
      <c r="G115"/>
    </row>
    <row r="116" spans="1:7"/>
    <row r="117" spans="1:7" ht="14.25">
      <c r="A117" s="176"/>
      <c r="B117" s="469" t="s">
        <v>308</v>
      </c>
      <c r="D117" s="1262" t="s">
        <v>1211</v>
      </c>
      <c r="E117" s="1262"/>
      <c r="F117" s="1262"/>
    </row>
    <row r="118" spans="1:7">
      <c r="D118" s="1262"/>
      <c r="E118" s="1262"/>
      <c r="F118" s="1262"/>
    </row>
    <row r="119" spans="1:7">
      <c r="D119" s="1262"/>
      <c r="E119" s="1262"/>
      <c r="F119" s="1262"/>
    </row>
    <row r="120" spans="1:7">
      <c r="D120" s="1262"/>
      <c r="E120" s="1262"/>
      <c r="F120" s="1262"/>
    </row>
    <row r="121" spans="1:7">
      <c r="D121" s="1262"/>
      <c r="E121" s="1262"/>
      <c r="F121" s="1262"/>
    </row>
    <row r="122" spans="1:7"/>
    <row r="123" spans="1:7" ht="14.25">
      <c r="A123" s="176"/>
      <c r="B123" s="469" t="s">
        <v>308</v>
      </c>
      <c r="D123" s="1262" t="s">
        <v>1212</v>
      </c>
      <c r="E123" s="1262"/>
      <c r="F123" s="1262"/>
    </row>
    <row r="124" spans="1:7" s="197" customFormat="1" ht="13.7" customHeight="1">
      <c r="A124" s="195"/>
      <c r="B124" s="195"/>
      <c r="C124" s="195"/>
      <c r="D124" s="1262"/>
      <c r="E124" s="1262"/>
      <c r="F124" s="1262"/>
      <c r="G124" s="196"/>
    </row>
    <row r="125" spans="1:7" ht="13.7" customHeight="1">
      <c r="D125" s="1262"/>
      <c r="E125" s="1262"/>
      <c r="F125" s="1262"/>
    </row>
    <row r="126" spans="1:7" ht="13.7" customHeight="1">
      <c r="D126" s="1262"/>
      <c r="E126" s="1262"/>
      <c r="F126" s="1262"/>
    </row>
    <row r="127" spans="1:7" ht="13.7" customHeight="1">
      <c r="D127" s="1262"/>
      <c r="E127" s="1262"/>
      <c r="F127" s="1262"/>
    </row>
    <row r="128" spans="1:7" ht="13.7" customHeight="1">
      <c r="A128" s="256"/>
      <c r="B128" s="256"/>
      <c r="D128" s="1262"/>
      <c r="E128" s="1262"/>
      <c r="F128" s="1262"/>
    </row>
    <row r="129" spans="2:6" ht="13.7" customHeight="1">
      <c r="D129" s="1262"/>
      <c r="E129" s="1262"/>
      <c r="F129" s="1262"/>
    </row>
    <row r="130" spans="2:6" ht="13.7" customHeight="1">
      <c r="D130" s="1262"/>
      <c r="E130" s="1262"/>
      <c r="F130" s="1262"/>
    </row>
    <row r="131" spans="2:6" ht="13.7" customHeight="1">
      <c r="D131" s="1262"/>
      <c r="E131" s="1262"/>
      <c r="F131" s="1262"/>
    </row>
    <row r="132" spans="2:6" ht="13.7" customHeight="1">
      <c r="D132" s="1262"/>
      <c r="E132" s="1262"/>
      <c r="F132" s="1262"/>
    </row>
    <row r="133" spans="2:6" ht="13.7" customHeight="1">
      <c r="D133" s="1262"/>
      <c r="E133" s="1262"/>
      <c r="F133" s="1262"/>
    </row>
    <row r="134" spans="2:6" ht="13.7" customHeight="1">
      <c r="D134" s="1262"/>
      <c r="E134" s="1262"/>
      <c r="F134" s="1262"/>
    </row>
    <row r="135" spans="2:6" ht="13.7" customHeight="1">
      <c r="D135" s="218"/>
      <c r="E135" s="35"/>
      <c r="F135" s="35"/>
    </row>
    <row r="136" spans="2:6" ht="13.7" customHeight="1">
      <c r="B136" s="469" t="s">
        <v>308</v>
      </c>
      <c r="D136" s="1262" t="s">
        <v>1320</v>
      </c>
      <c r="E136" s="1262"/>
      <c r="F136" s="1262"/>
    </row>
    <row r="137" spans="2:6" ht="13.7" customHeight="1">
      <c r="D137" s="1262"/>
      <c r="E137" s="1262"/>
      <c r="F137" s="1262"/>
    </row>
    <row r="138" spans="2:6" ht="13.7" customHeight="1">
      <c r="D138" s="1262"/>
      <c r="E138" s="1262"/>
      <c r="F138" s="1262"/>
    </row>
    <row r="139" spans="2:6" ht="13.7" customHeight="1">
      <c r="D139" s="1262"/>
      <c r="E139" s="1262"/>
      <c r="F139" s="1262"/>
    </row>
    <row r="140" spans="2:6" ht="13.7" customHeight="1">
      <c r="D140" s="1262"/>
      <c r="E140" s="1262"/>
      <c r="F140" s="1262"/>
    </row>
    <row r="141" spans="2:6" ht="13.7" customHeight="1">
      <c r="D141" s="1262"/>
      <c r="E141" s="1262"/>
      <c r="F141" s="1262"/>
    </row>
    <row r="142" spans="2:6" ht="13.7" customHeight="1">
      <c r="D142" s="1262"/>
      <c r="E142" s="1262"/>
      <c r="F142" s="1262"/>
    </row>
    <row r="143" spans="2:6" ht="13.7" customHeight="1">
      <c r="D143" s="1262"/>
      <c r="E143" s="1262"/>
      <c r="F143" s="1262"/>
    </row>
    <row r="144" spans="2:6" ht="13.7" customHeight="1">
      <c r="D144" s="1262"/>
      <c r="E144" s="1262"/>
      <c r="F144" s="1262"/>
    </row>
    <row r="145" spans="1:7" ht="13.7" customHeight="1">
      <c r="D145" s="1262"/>
      <c r="E145" s="1262"/>
      <c r="F145" s="1262"/>
    </row>
    <row r="146" spans="1:7" ht="13.7" customHeight="1">
      <c r="D146" s="1262"/>
      <c r="E146" s="1262"/>
      <c r="F146" s="1262"/>
    </row>
    <row r="147" spans="1:7" ht="13.7" customHeight="1">
      <c r="D147" s="1262"/>
      <c r="E147" s="1262"/>
      <c r="F147" s="1262"/>
    </row>
    <row r="148" spans="1:7" ht="13.7" customHeight="1">
      <c r="D148" s="1262"/>
      <c r="E148" s="1262"/>
      <c r="F148" s="1262"/>
    </row>
    <row r="149" spans="1:7" ht="13.7" customHeight="1">
      <c r="D149" s="1262"/>
      <c r="E149" s="1262"/>
      <c r="F149" s="1262"/>
    </row>
    <row r="150" spans="1:7" ht="13.7" customHeight="1">
      <c r="D150" s="1262"/>
      <c r="E150" s="1262"/>
      <c r="F150" s="1262"/>
    </row>
    <row r="151" spans="1:7" ht="13.7" customHeight="1">
      <c r="D151" s="1262"/>
      <c r="E151" s="1262"/>
      <c r="F151" s="1262"/>
    </row>
    <row r="152" spans="1:7" ht="13.7" customHeight="1">
      <c r="D152" s="1262"/>
      <c r="E152" s="1262"/>
      <c r="F152" s="1262"/>
    </row>
    <row r="153" spans="1:7" ht="13.7" customHeight="1">
      <c r="D153" s="1262"/>
      <c r="E153" s="1262"/>
      <c r="F153" s="1262"/>
    </row>
    <row r="154" spans="1:7" ht="13.7" customHeight="1">
      <c r="D154" s="1262"/>
      <c r="E154" s="1262"/>
      <c r="F154" s="1262"/>
    </row>
    <row r="155" spans="1:7" ht="13.7" customHeight="1">
      <c r="D155" s="218"/>
      <c r="E155" s="35"/>
      <c r="F155" s="35"/>
    </row>
    <row r="156" spans="1:7" ht="13.7" customHeight="1">
      <c r="A156" s="256"/>
      <c r="B156" s="469" t="s">
        <v>308</v>
      </c>
      <c r="C156" s="218"/>
      <c r="D156" s="1271" t="s">
        <v>1213</v>
      </c>
      <c r="E156" s="1271"/>
      <c r="F156" s="1271"/>
      <c r="G156" s="218"/>
    </row>
    <row r="157" spans="1:7" ht="13.7" customHeight="1">
      <c r="A157" s="256"/>
      <c r="B157" s="256"/>
      <c r="C157" s="218"/>
      <c r="D157" s="1271"/>
      <c r="E157" s="1271"/>
      <c r="F157" s="1271"/>
      <c r="G157" s="218"/>
    </row>
    <row r="158" spans="1:7" ht="13.7" customHeight="1">
      <c r="A158" s="256"/>
      <c r="B158" s="256"/>
      <c r="C158" s="218"/>
      <c r="D158" s="218"/>
      <c r="E158" s="218"/>
      <c r="F158" s="218"/>
      <c r="G158" s="218"/>
    </row>
    <row r="159" spans="1:7" ht="13.7" customHeight="1">
      <c r="A159" s="256"/>
      <c r="B159" s="469" t="s">
        <v>308</v>
      </c>
      <c r="C159" s="218"/>
      <c r="D159" s="1271" t="s">
        <v>1214</v>
      </c>
      <c r="E159" s="1271"/>
      <c r="F159" s="1271"/>
      <c r="G159" s="218"/>
    </row>
    <row r="160" spans="1:7" ht="13.7" customHeight="1">
      <c r="A160" s="256"/>
      <c r="B160" s="256"/>
      <c r="C160" s="218"/>
      <c r="D160" s="1271"/>
      <c r="E160" s="1271"/>
      <c r="F160" s="1271"/>
      <c r="G160" s="218"/>
    </row>
    <row r="161" spans="1:7" ht="13.7" customHeight="1">
      <c r="A161" s="256"/>
      <c r="B161" s="256"/>
      <c r="C161" s="218"/>
      <c r="D161" s="1271"/>
      <c r="E161" s="1271"/>
      <c r="F161" s="1271"/>
      <c r="G161" s="218"/>
    </row>
    <row r="162" spans="1:7" ht="13.7" customHeight="1">
      <c r="A162" s="256"/>
      <c r="B162" s="256"/>
      <c r="C162" s="218"/>
      <c r="D162" s="1271"/>
      <c r="E162" s="1271"/>
      <c r="F162" s="1271"/>
      <c r="G162" s="218"/>
    </row>
    <row r="163" spans="1:7" ht="13.7" customHeight="1">
      <c r="D163" s="35"/>
      <c r="E163" s="35"/>
      <c r="F163" s="35"/>
    </row>
    <row r="164" spans="1:7" ht="13.7" customHeight="1">
      <c r="B164" s="469" t="s">
        <v>308</v>
      </c>
      <c r="D164" s="1276" t="s">
        <v>1215</v>
      </c>
      <c r="E164" s="1276"/>
      <c r="F164" s="1276"/>
    </row>
    <row r="165" spans="1:7" ht="13.7" customHeight="1">
      <c r="D165" s="1276"/>
      <c r="E165" s="1276"/>
      <c r="F165" s="1276"/>
    </row>
    <row r="166" spans="1:7" ht="13.7" customHeight="1">
      <c r="D166" s="1276"/>
      <c r="E166" s="1276"/>
      <c r="F166" s="1276"/>
    </row>
    <row r="167" spans="1:7" ht="13.7" customHeight="1">
      <c r="A167" s="13"/>
      <c r="B167" s="13"/>
      <c r="E167" s="35"/>
      <c r="F167" s="35"/>
    </row>
    <row r="168" spans="1:7">
      <c r="A168" s="1277" t="s">
        <v>1109</v>
      </c>
      <c r="B168" s="1277"/>
      <c r="C168" s="1277"/>
      <c r="D168" s="1277"/>
      <c r="E168" s="1277"/>
      <c r="F168" s="1277"/>
      <c r="G168" s="1277"/>
    </row>
    <row r="169" spans="1:7" ht="12" customHeight="1">
      <c r="D169" s="35"/>
      <c r="E169" s="35"/>
      <c r="F169" s="35"/>
    </row>
    <row r="170" spans="1:7">
      <c r="B170" s="1294" t="s">
        <v>449</v>
      </c>
      <c r="C170" s="1294"/>
      <c r="D170" s="1294"/>
      <c r="E170" s="1294"/>
      <c r="F170" s="1294"/>
    </row>
    <row r="171" spans="1:7" ht="12" customHeight="1">
      <c r="A171" s="172"/>
      <c r="B171" s="172"/>
      <c r="C171" s="172"/>
    </row>
    <row r="172" spans="1:7">
      <c r="A172" s="1277" t="s">
        <v>1110</v>
      </c>
      <c r="B172" s="1277"/>
      <c r="C172" s="1277"/>
      <c r="D172" s="1277"/>
      <c r="E172" s="1277"/>
      <c r="F172" s="1277"/>
      <c r="G172" s="1277"/>
    </row>
    <row r="173" spans="1:7" ht="12" customHeight="1">
      <c r="A173" s="2"/>
      <c r="B173" s="2"/>
      <c r="E173" s="2"/>
    </row>
    <row r="174" spans="1:7" ht="13.15" customHeight="1">
      <c r="A174" s="2"/>
      <c r="B174" s="2"/>
      <c r="D174" s="1291" t="s">
        <v>1218</v>
      </c>
      <c r="E174" s="1291"/>
      <c r="F174" s="1291"/>
    </row>
    <row r="175" spans="1:7">
      <c r="A175" s="2"/>
      <c r="B175" s="2"/>
      <c r="D175" s="1291"/>
      <c r="E175" s="1291"/>
      <c r="F175" s="1291"/>
    </row>
    <row r="176" spans="1:7">
      <c r="A176" s="2"/>
      <c r="B176" s="2"/>
      <c r="D176" s="1292" t="s">
        <v>1219</v>
      </c>
      <c r="E176" s="1292"/>
      <c r="F176" s="1292"/>
    </row>
    <row r="177" spans="1:7" ht="12" customHeight="1">
      <c r="A177" s="2"/>
      <c r="B177" s="2"/>
      <c r="E177" s="2"/>
    </row>
    <row r="178" spans="1:7" ht="14.25">
      <c r="A178" s="176"/>
      <c r="B178" s="469" t="s">
        <v>308</v>
      </c>
      <c r="D178" s="1289" t="s">
        <v>1217</v>
      </c>
      <c r="E178" s="1289"/>
      <c r="F178" s="1289"/>
    </row>
    <row r="179" spans="1:7" ht="14.25">
      <c r="A179" s="176"/>
      <c r="B179" s="176"/>
      <c r="D179" s="1289"/>
      <c r="E179" s="1289"/>
      <c r="F179" s="1289"/>
    </row>
    <row r="180" spans="1:7" ht="14.25">
      <c r="A180" s="176"/>
      <c r="B180" s="176"/>
      <c r="D180" s="1289"/>
      <c r="E180" s="1289"/>
      <c r="F180" s="1289"/>
    </row>
    <row r="181" spans="1:7">
      <c r="D181" s="1289"/>
      <c r="E181" s="1289"/>
      <c r="F181" s="1289"/>
    </row>
    <row r="182" spans="1:7">
      <c r="D182" s="220"/>
    </row>
    <row r="183" spans="1:7">
      <c r="D183" s="1293" t="s">
        <v>1126</v>
      </c>
      <c r="E183" s="1293"/>
      <c r="F183" s="1293"/>
    </row>
    <row r="184" spans="1:7">
      <c r="D184" s="1293"/>
      <c r="E184" s="1293"/>
      <c r="F184" s="1293"/>
    </row>
    <row r="185" spans="1:7">
      <c r="D185" s="476"/>
      <c r="E185" s="476"/>
      <c r="F185" s="476"/>
    </row>
    <row r="186" spans="1:7" ht="14.25">
      <c r="A186" s="176"/>
      <c r="B186" s="469" t="s">
        <v>308</v>
      </c>
      <c r="C186" s="386"/>
      <c r="D186" s="1262" t="s">
        <v>1216</v>
      </c>
      <c r="E186" s="1262"/>
      <c r="F186" s="1262"/>
      <c r="G186" s="3"/>
    </row>
    <row r="187" spans="1:7" ht="14.45" customHeight="1">
      <c r="A187" s="176"/>
      <c r="B187"/>
      <c r="C187" s="386"/>
      <c r="D187" s="1262"/>
      <c r="E187" s="1262"/>
      <c r="F187" s="1262"/>
      <c r="G187" s="3"/>
    </row>
    <row r="188" spans="1:7" ht="14.25">
      <c r="A188" s="176"/>
      <c r="B188" s="386"/>
      <c r="C188" s="386"/>
      <c r="D188" s="1262"/>
      <c r="E188" s="1262"/>
      <c r="F188" s="1262"/>
      <c r="G188" s="3"/>
    </row>
    <row r="189" spans="1:7" ht="14.25">
      <c r="A189" s="176"/>
      <c r="B189" s="386"/>
      <c r="C189" s="386"/>
      <c r="D189" s="1262"/>
      <c r="E189" s="1262"/>
      <c r="F189" s="1262"/>
      <c r="G189" s="3"/>
    </row>
    <row r="190" spans="1:7">
      <c r="D190" s="476"/>
      <c r="E190" s="476"/>
      <c r="F190" s="476"/>
    </row>
    <row r="191" spans="1:7">
      <c r="A191" s="1277" t="s">
        <v>1111</v>
      </c>
      <c r="B191" s="1277"/>
      <c r="C191" s="1277"/>
      <c r="D191" s="1277"/>
      <c r="E191" s="1277"/>
      <c r="F191" s="1277"/>
      <c r="G191" s="1277"/>
    </row>
    <row r="192" spans="1:7" ht="12" customHeight="1">
      <c r="D192" s="35"/>
      <c r="E192" s="35"/>
      <c r="F192" s="35"/>
    </row>
    <row r="193" spans="1:6">
      <c r="C193" s="177"/>
      <c r="D193" s="1278" t="s">
        <v>209</v>
      </c>
      <c r="E193" s="1278"/>
      <c r="F193" s="1278"/>
    </row>
    <row r="194" spans="1:6">
      <c r="A194" s="172"/>
      <c r="B194" s="172"/>
      <c r="C194" s="172"/>
      <c r="D194" s="1273" t="s">
        <v>1240</v>
      </c>
      <c r="E194" s="1281"/>
      <c r="F194" s="1281"/>
    </row>
    <row r="195" spans="1:6" ht="12" customHeight="1">
      <c r="A195" s="13"/>
      <c r="B195" s="13"/>
      <c r="C195" s="13"/>
    </row>
    <row r="196" spans="1:6" ht="13.15" customHeight="1">
      <c r="A196" s="13"/>
      <c r="C196" s="13"/>
      <c r="D196" s="1278" t="s">
        <v>555</v>
      </c>
      <c r="E196" s="1278"/>
      <c r="F196" s="1278"/>
    </row>
    <row r="197" spans="1:6" ht="14.25">
      <c r="A197" s="176"/>
      <c r="B197" s="469" t="s">
        <v>308</v>
      </c>
      <c r="D197" s="1262" t="s">
        <v>1234</v>
      </c>
      <c r="E197" s="1262"/>
      <c r="F197" s="1262"/>
    </row>
    <row r="198" spans="1:6" ht="14.25">
      <c r="A198" s="176"/>
      <c r="B198" s="176"/>
      <c r="D198" s="1262"/>
      <c r="E198" s="1262"/>
      <c r="F198" s="1262"/>
    </row>
    <row r="199" spans="1:6"/>
    <row r="200" spans="1:6" ht="14.25">
      <c r="A200" s="176"/>
      <c r="B200" s="469" t="s">
        <v>308</v>
      </c>
      <c r="D200" s="1262" t="s">
        <v>1235</v>
      </c>
      <c r="E200" s="1262"/>
      <c r="F200" s="1262"/>
    </row>
    <row r="201" spans="1:6" ht="14.25">
      <c r="A201" s="176"/>
      <c r="B201" s="176"/>
      <c r="D201" s="1262"/>
      <c r="E201" s="1262"/>
      <c r="F201" s="1262"/>
    </row>
    <row r="202" spans="1:6" ht="14.25">
      <c r="A202" s="176"/>
      <c r="B202" s="176"/>
      <c r="D202" s="1262"/>
      <c r="E202" s="1262"/>
      <c r="F202" s="1262"/>
    </row>
    <row r="203" spans="1:6" ht="5.0999999999999996" customHeight="1">
      <c r="A203" s="176"/>
      <c r="B203" s="176"/>
      <c r="D203" s="35"/>
      <c r="E203" s="35"/>
      <c r="F203" s="35"/>
    </row>
    <row r="204" spans="1:6" ht="14.25">
      <c r="A204" s="176"/>
      <c r="B204" s="176"/>
      <c r="D204" s="1262" t="s">
        <v>1236</v>
      </c>
      <c r="E204" s="1262"/>
      <c r="F204" s="1262"/>
    </row>
    <row r="205" spans="1:6" ht="14.25">
      <c r="A205" s="176"/>
      <c r="B205" s="176"/>
      <c r="D205" s="1262"/>
      <c r="E205" s="1262"/>
      <c r="F205" s="1262"/>
    </row>
    <row r="206" spans="1:6" ht="14.25">
      <c r="A206" s="176"/>
      <c r="B206" s="176"/>
      <c r="D206" s="1262"/>
      <c r="E206" s="1262"/>
      <c r="F206" s="1262"/>
    </row>
    <row r="207" spans="1:6" ht="14.25">
      <c r="A207" s="176"/>
      <c r="B207" s="176"/>
      <c r="D207" s="1262"/>
      <c r="E207" s="1262"/>
      <c r="F207" s="1262"/>
    </row>
    <row r="208" spans="1:6" ht="14.25">
      <c r="A208" s="176"/>
      <c r="B208" s="176"/>
      <c r="D208" s="1262"/>
      <c r="E208" s="1262"/>
      <c r="F208" s="1262"/>
    </row>
    <row r="209" spans="1:7" ht="14.25">
      <c r="A209" s="176"/>
      <c r="B209" s="176"/>
      <c r="D209" s="35"/>
      <c r="E209" s="35"/>
      <c r="F209" s="35"/>
    </row>
    <row r="210" spans="1:7" ht="14.25">
      <c r="A210" s="176"/>
      <c r="B210" s="469" t="s">
        <v>308</v>
      </c>
      <c r="D210" s="1262" t="s">
        <v>1237</v>
      </c>
      <c r="E210" s="1262"/>
      <c r="F210" s="1262"/>
    </row>
    <row r="211" spans="1:7" ht="14.25">
      <c r="A211" s="176"/>
      <c r="B211" s="176"/>
      <c r="D211" s="1262"/>
      <c r="E211" s="1262"/>
      <c r="F211" s="1262"/>
    </row>
    <row r="212" spans="1:7" ht="14.25">
      <c r="A212" s="176"/>
      <c r="B212" s="176"/>
      <c r="D212" s="1294" t="s">
        <v>927</v>
      </c>
      <c r="E212" s="1294"/>
      <c r="F212" s="1294"/>
    </row>
    <row r="213" spans="1:7" ht="14.25">
      <c r="A213" s="176"/>
      <c r="B213" s="176"/>
      <c r="D213" s="35"/>
      <c r="E213" s="35"/>
      <c r="F213" s="35"/>
    </row>
    <row r="214" spans="1:7" ht="14.45" customHeight="1">
      <c r="A214" s="176"/>
      <c r="B214" s="469" t="s">
        <v>308</v>
      </c>
      <c r="D214" s="1262" t="s">
        <v>1239</v>
      </c>
      <c r="E214" s="1262"/>
      <c r="F214" s="1262"/>
    </row>
    <row r="215" spans="1:7" ht="14.25">
      <c r="A215" s="176"/>
      <c r="B215" s="176"/>
      <c r="D215" s="1262"/>
      <c r="E215" s="1262"/>
      <c r="F215" s="1262"/>
    </row>
    <row r="216" spans="1:7" ht="14.25">
      <c r="A216" s="176"/>
      <c r="B216" s="176"/>
      <c r="D216" s="1262"/>
      <c r="E216" s="1262"/>
      <c r="F216" s="1262"/>
    </row>
    <row r="217" spans="1:7" ht="14.25">
      <c r="A217" s="176"/>
      <c r="B217" s="176"/>
      <c r="D217" s="1262"/>
      <c r="E217" s="1262"/>
      <c r="F217" s="1262"/>
    </row>
    <row r="218" spans="1:7" ht="14.25">
      <c r="A218" s="176"/>
      <c r="B218" s="176"/>
      <c r="D218" s="1262"/>
      <c r="E218" s="1262"/>
      <c r="F218" s="1262"/>
    </row>
    <row r="219" spans="1:7">
      <c r="D219" s="35"/>
      <c r="E219" s="35"/>
      <c r="F219" s="35"/>
    </row>
    <row r="220" spans="1:7" ht="14.25">
      <c r="A220" s="176"/>
      <c r="B220" s="469" t="s">
        <v>308</v>
      </c>
      <c r="D220" s="1262" t="s">
        <v>1238</v>
      </c>
      <c r="E220" s="1262"/>
      <c r="F220" s="1262"/>
    </row>
    <row r="221" spans="1:7" ht="14.25">
      <c r="A221" s="176"/>
      <c r="B221" s="176"/>
      <c r="D221" s="1262"/>
      <c r="E221" s="1262"/>
      <c r="F221" s="1262"/>
    </row>
    <row r="222" spans="1:7">
      <c r="D222" s="19"/>
    </row>
    <row r="223" spans="1:7">
      <c r="A223" s="1277" t="s">
        <v>1112</v>
      </c>
      <c r="B223" s="1277"/>
      <c r="C223" s="1277"/>
      <c r="D223" s="1277"/>
      <c r="E223" s="1277"/>
      <c r="F223" s="1277"/>
      <c r="G223" s="1277"/>
    </row>
    <row r="224" spans="1:7">
      <c r="D224" s="19"/>
    </row>
    <row r="225" spans="1:6">
      <c r="C225" s="177"/>
      <c r="D225" s="1278" t="s">
        <v>1241</v>
      </c>
      <c r="E225" s="1278"/>
      <c r="F225" s="1278"/>
    </row>
    <row r="226" spans="1:6">
      <c r="A226" s="172"/>
      <c r="B226" s="172"/>
      <c r="C226" s="172"/>
      <c r="D226" s="35"/>
      <c r="E226" s="35"/>
      <c r="F226" s="35"/>
    </row>
    <row r="227" spans="1:6">
      <c r="A227" s="175"/>
      <c r="B227" s="175"/>
      <c r="C227" s="175"/>
      <c r="D227" s="1278" t="s">
        <v>270</v>
      </c>
      <c r="E227" s="1278"/>
      <c r="F227" s="1278"/>
    </row>
    <row r="228" spans="1:6" ht="14.25">
      <c r="A228" s="176"/>
      <c r="B228" s="469" t="s">
        <v>308</v>
      </c>
      <c r="D228" s="1280" t="s">
        <v>1242</v>
      </c>
      <c r="E228" s="1280"/>
      <c r="F228" s="1280"/>
    </row>
    <row r="229" spans="1:6" ht="14.25">
      <c r="A229" s="176"/>
      <c r="B229" s="176"/>
      <c r="D229" s="1280"/>
      <c r="E229" s="1280"/>
      <c r="F229" s="1280"/>
    </row>
    <row r="230" spans="1:6">
      <c r="D230" s="35"/>
      <c r="E230" s="35"/>
      <c r="F230" s="35"/>
    </row>
    <row r="231" spans="1:6" ht="14.45" customHeight="1">
      <c r="A231" s="176"/>
      <c r="B231" s="469" t="s">
        <v>308</v>
      </c>
      <c r="D231" s="1262" t="s">
        <v>1243</v>
      </c>
      <c r="E231" s="1262"/>
      <c r="F231" s="1262"/>
    </row>
    <row r="232" spans="1:6">
      <c r="D232" s="1262"/>
      <c r="E232" s="1262"/>
      <c r="F232" s="1262"/>
    </row>
    <row r="233" spans="1:6">
      <c r="D233" s="1281" t="s">
        <v>918</v>
      </c>
      <c r="E233" s="1281"/>
      <c r="F233" s="1281"/>
    </row>
    <row r="234" spans="1:6">
      <c r="D234" s="35"/>
      <c r="E234" s="35"/>
      <c r="F234" s="35"/>
    </row>
    <row r="235" spans="1:6" ht="14.45" customHeight="1">
      <c r="A235" s="176"/>
      <c r="B235" s="469" t="s">
        <v>308</v>
      </c>
      <c r="D235" s="1262" t="s">
        <v>1245</v>
      </c>
      <c r="E235" s="1262"/>
      <c r="F235" s="1262"/>
    </row>
    <row r="236" spans="1:6">
      <c r="D236" s="1262"/>
      <c r="E236" s="1262"/>
      <c r="F236" s="1262"/>
    </row>
    <row r="237" spans="1:6">
      <c r="D237" s="1262"/>
      <c r="E237" s="1262"/>
      <c r="F237" s="1262"/>
    </row>
    <row r="238" spans="1:6">
      <c r="D238" s="1262"/>
      <c r="E238" s="1262"/>
      <c r="F238" s="1262"/>
    </row>
    <row r="239" spans="1:6">
      <c r="D239" s="1262"/>
      <c r="E239" s="1262"/>
      <c r="F239" s="1262"/>
    </row>
    <row r="240" spans="1:6">
      <c r="D240" s="35"/>
      <c r="E240" s="35"/>
      <c r="F240" s="35"/>
    </row>
    <row r="241" spans="1:7" ht="14.25">
      <c r="A241" s="176"/>
      <c r="B241" s="469" t="s">
        <v>308</v>
      </c>
      <c r="D241" s="1262" t="s">
        <v>1244</v>
      </c>
      <c r="E241" s="1262"/>
      <c r="F241" s="1262"/>
    </row>
    <row r="242" spans="1:7">
      <c r="D242" s="1262"/>
      <c r="E242" s="1262"/>
      <c r="F242" s="1262"/>
    </row>
    <row r="243" spans="1:7">
      <c r="D243" s="1262"/>
      <c r="E243" s="1262"/>
      <c r="F243" s="1262"/>
    </row>
    <row r="244" spans="1:7">
      <c r="D244" s="178"/>
      <c r="E244" s="35"/>
      <c r="F244" s="35"/>
    </row>
    <row r="245" spans="1:7">
      <c r="A245" s="1277" t="s">
        <v>1113</v>
      </c>
      <c r="B245" s="1277"/>
      <c r="C245" s="1277"/>
      <c r="D245" s="1277"/>
      <c r="E245" s="1277"/>
      <c r="F245" s="1277"/>
      <c r="G245" s="1277"/>
    </row>
    <row r="246" spans="1:7">
      <c r="D246" s="178"/>
      <c r="E246" s="35"/>
      <c r="F246" s="35"/>
    </row>
    <row r="247" spans="1:7">
      <c r="C247" s="172"/>
      <c r="D247" s="1295" t="s">
        <v>1246</v>
      </c>
      <c r="E247" s="1295"/>
      <c r="F247" s="1295"/>
    </row>
    <row r="248" spans="1:7">
      <c r="C248" s="172"/>
      <c r="D248" s="1295"/>
      <c r="E248" s="1295"/>
      <c r="F248" s="1295"/>
    </row>
    <row r="249" spans="1:7">
      <c r="A249" s="175"/>
      <c r="B249" s="175"/>
      <c r="C249" s="175"/>
      <c r="D249" s="2"/>
      <c r="E249" s="3"/>
      <c r="F249" s="3"/>
    </row>
    <row r="250" spans="1:7">
      <c r="C250" s="175"/>
      <c r="D250" s="1278" t="s">
        <v>210</v>
      </c>
      <c r="E250" s="1278"/>
      <c r="F250" s="1278"/>
    </row>
    <row r="251" spans="1:7" ht="15.75" customHeight="1">
      <c r="A251" s="176"/>
      <c r="B251" s="176"/>
      <c r="D251" s="1284" t="s">
        <v>1247</v>
      </c>
      <c r="E251" s="1284"/>
      <c r="F251" s="1284"/>
    </row>
    <row r="252" spans="1:7">
      <c r="E252" s="35"/>
      <c r="F252" s="35"/>
    </row>
    <row r="253" spans="1:7" ht="14.25">
      <c r="A253" s="176"/>
      <c r="B253" s="469" t="s">
        <v>308</v>
      </c>
      <c r="D253" s="1262" t="s">
        <v>1248</v>
      </c>
      <c r="E253" s="1262"/>
      <c r="F253" s="1262"/>
    </row>
    <row r="254" spans="1:7" ht="14.25">
      <c r="A254" s="176"/>
      <c r="B254" s="176"/>
      <c r="D254" s="1262"/>
      <c r="E254" s="1262"/>
      <c r="F254" s="1262"/>
    </row>
    <row r="255" spans="1:7">
      <c r="D255" s="35"/>
      <c r="E255" s="35"/>
      <c r="F255" s="35"/>
    </row>
    <row r="256" spans="1:7" ht="14.25">
      <c r="A256" s="176"/>
      <c r="B256" s="469" t="s">
        <v>308</v>
      </c>
      <c r="D256" s="1262" t="s">
        <v>1249</v>
      </c>
      <c r="E256" s="1262"/>
      <c r="F256" s="1262"/>
    </row>
    <row r="257" spans="1:7" ht="14.25">
      <c r="A257" s="176"/>
      <c r="B257" s="176"/>
      <c r="D257" s="1262"/>
      <c r="E257" s="1262"/>
      <c r="F257" s="1262"/>
    </row>
    <row r="258" spans="1:7" ht="14.25">
      <c r="A258" s="176"/>
      <c r="B258" s="176"/>
      <c r="D258" s="1262"/>
      <c r="E258" s="1262"/>
      <c r="F258" s="1262"/>
    </row>
    <row r="259" spans="1:7">
      <c r="D259" s="35"/>
      <c r="E259" s="35"/>
      <c r="F259" s="35"/>
    </row>
    <row r="260" spans="1:7" ht="14.25">
      <c r="A260" s="176"/>
      <c r="B260" s="469" t="s">
        <v>308</v>
      </c>
      <c r="D260" s="1262" t="s">
        <v>1250</v>
      </c>
      <c r="E260" s="1262"/>
      <c r="F260" s="1262"/>
    </row>
    <row r="261" spans="1:7" ht="14.25">
      <c r="A261" s="176"/>
      <c r="B261" s="176"/>
      <c r="D261" s="1262"/>
      <c r="E261" s="1262"/>
      <c r="F261" s="1262"/>
    </row>
    <row r="262" spans="1:7">
      <c r="A262" s="13"/>
      <c r="B262" s="13"/>
      <c r="E262" s="35"/>
      <c r="F262" s="35"/>
    </row>
    <row r="263" spans="1:7">
      <c r="A263" s="1277" t="s">
        <v>1114</v>
      </c>
      <c r="B263" s="1277"/>
      <c r="C263" s="1277"/>
      <c r="D263" s="1277"/>
      <c r="E263" s="1277"/>
      <c r="F263" s="1277"/>
      <c r="G263" s="1277"/>
    </row>
    <row r="264" spans="1:7">
      <c r="A264" s="13"/>
      <c r="B264" s="13"/>
      <c r="D264" s="35"/>
      <c r="E264" s="35"/>
      <c r="F264" s="35"/>
    </row>
    <row r="265" spans="1:7">
      <c r="C265" s="13"/>
      <c r="D265" s="1278" t="s">
        <v>691</v>
      </c>
      <c r="E265" s="1278"/>
      <c r="F265" s="1278"/>
    </row>
    <row r="266" spans="1:7">
      <c r="C266" s="13"/>
      <c r="D266" s="1273" t="s">
        <v>1251</v>
      </c>
      <c r="E266" s="1273"/>
      <c r="F266" s="1273"/>
    </row>
    <row r="267" spans="1:7">
      <c r="C267" s="13"/>
      <c r="D267" s="173"/>
    </row>
    <row r="268" spans="1:7">
      <c r="B268" s="469" t="s">
        <v>308</v>
      </c>
      <c r="D268" s="1273" t="s">
        <v>1252</v>
      </c>
      <c r="E268" s="1273"/>
      <c r="F268" s="1273"/>
    </row>
    <row r="269" spans="1:7" ht="14.25">
      <c r="A269" s="176"/>
      <c r="B269" s="176"/>
      <c r="D269" s="342"/>
      <c r="E269" s="343"/>
      <c r="F269" s="343"/>
    </row>
    <row r="270" spans="1:7" ht="13.15" customHeight="1">
      <c r="B270" s="469" t="s">
        <v>308</v>
      </c>
      <c r="D270" s="1282" t="s">
        <v>1253</v>
      </c>
      <c r="E270" s="1282"/>
      <c r="F270" s="1282"/>
    </row>
    <row r="271" spans="1:7" ht="14.25">
      <c r="A271" s="176"/>
      <c r="B271" s="176"/>
      <c r="D271" s="1282"/>
      <c r="E271" s="1282"/>
      <c r="F271" s="1282"/>
    </row>
    <row r="272" spans="1:7" ht="14.25">
      <c r="A272" s="176"/>
      <c r="B272" s="176"/>
      <c r="D272" s="1282"/>
      <c r="E272" s="1282"/>
      <c r="F272" s="1282"/>
    </row>
    <row r="273" spans="1:6" ht="14.25">
      <c r="A273" s="176"/>
      <c r="B273" s="176"/>
      <c r="D273" s="1282"/>
      <c r="E273" s="1282"/>
      <c r="F273" s="1282"/>
    </row>
    <row r="274" spans="1:6" ht="14.25">
      <c r="A274" s="176"/>
      <c r="B274" s="176"/>
      <c r="D274" s="1282"/>
      <c r="E274" s="1282"/>
      <c r="F274" s="1282"/>
    </row>
    <row r="275" spans="1:6" ht="14.25">
      <c r="A275" s="176"/>
      <c r="B275" s="176"/>
      <c r="D275" s="342"/>
      <c r="E275" s="343"/>
      <c r="F275" s="343"/>
    </row>
    <row r="276" spans="1:6" ht="13.15" customHeight="1">
      <c r="B276" s="469" t="s">
        <v>308</v>
      </c>
      <c r="D276" s="1282" t="s">
        <v>1254</v>
      </c>
      <c r="E276" s="1282"/>
      <c r="F276" s="1282"/>
    </row>
    <row r="277" spans="1:6">
      <c r="D277" s="1282"/>
      <c r="E277" s="1282"/>
      <c r="F277" s="1282"/>
    </row>
    <row r="278" spans="1:6" ht="14.25">
      <c r="A278" s="176"/>
      <c r="B278" s="176"/>
      <c r="D278" s="342"/>
      <c r="E278" s="343"/>
      <c r="F278" s="343"/>
    </row>
    <row r="279" spans="1:6">
      <c r="B279" s="469" t="s">
        <v>308</v>
      </c>
      <c r="D279" s="1273" t="s">
        <v>1255</v>
      </c>
      <c r="E279" s="1273"/>
      <c r="F279" s="1273"/>
    </row>
    <row r="280" spans="1:6">
      <c r="E280" s="35"/>
      <c r="F280" s="35"/>
    </row>
    <row r="281" spans="1:6" ht="14.25">
      <c r="A281" s="176"/>
      <c r="B281" s="469" t="s">
        <v>308</v>
      </c>
      <c r="D281" s="1262" t="s">
        <v>1256</v>
      </c>
      <c r="E281" s="1262"/>
      <c r="F281" s="1262"/>
    </row>
    <row r="282" spans="1:6" ht="14.25">
      <c r="A282" s="176"/>
      <c r="B282" s="176"/>
      <c r="D282" s="1262"/>
      <c r="E282" s="1262"/>
      <c r="F282" s="1262"/>
    </row>
    <row r="283" spans="1:6" ht="14.25">
      <c r="A283" s="176"/>
      <c r="B283" s="176"/>
      <c r="D283" s="1262"/>
      <c r="E283" s="1262"/>
      <c r="F283" s="1262"/>
    </row>
    <row r="284" spans="1:6" ht="14.25">
      <c r="A284" s="176"/>
      <c r="B284" s="176"/>
      <c r="D284" s="1262"/>
      <c r="E284" s="1262"/>
      <c r="F284" s="1262"/>
    </row>
    <row r="285" spans="1:6" ht="14.25">
      <c r="A285" s="176"/>
      <c r="B285" s="176"/>
      <c r="D285" s="1262"/>
      <c r="E285" s="1262"/>
      <c r="F285" s="1262"/>
    </row>
    <row r="286" spans="1:6" ht="14.25">
      <c r="A286" s="176"/>
      <c r="B286" s="176"/>
      <c r="D286" s="1262"/>
      <c r="E286" s="1262"/>
      <c r="F286" s="1262"/>
    </row>
    <row r="287" spans="1:6" ht="14.25">
      <c r="A287" s="176"/>
      <c r="B287" s="176"/>
      <c r="D287" s="1262"/>
      <c r="E287" s="1262"/>
      <c r="F287" s="1262"/>
    </row>
    <row r="288" spans="1:6" ht="14.25">
      <c r="A288" s="176"/>
      <c r="B288" s="176"/>
      <c r="D288" s="1262"/>
      <c r="E288" s="1262"/>
      <c r="F288" s="1262"/>
    </row>
    <row r="289" spans="1:6" ht="14.25">
      <c r="A289" s="176"/>
      <c r="B289" s="176"/>
      <c r="D289" s="1262"/>
      <c r="E289" s="1262"/>
      <c r="F289" s="1262"/>
    </row>
    <row r="290" spans="1:6" ht="14.25">
      <c r="A290" s="176"/>
      <c r="B290" s="176"/>
      <c r="D290" s="1262"/>
      <c r="E290" s="1262"/>
      <c r="F290" s="1262"/>
    </row>
    <row r="291" spans="1:6" ht="14.25">
      <c r="A291" s="176"/>
      <c r="B291" s="176"/>
      <c r="D291" s="1262"/>
      <c r="E291" s="1262"/>
      <c r="F291" s="1262"/>
    </row>
    <row r="292" spans="1:6" ht="14.25">
      <c r="A292" s="176"/>
      <c r="B292" s="176"/>
      <c r="D292" s="1262"/>
      <c r="E292" s="1262"/>
      <c r="F292" s="1262"/>
    </row>
    <row r="293" spans="1:6" ht="14.25">
      <c r="A293" s="176"/>
      <c r="B293" s="176"/>
      <c r="D293" s="1262"/>
      <c r="E293" s="1262"/>
      <c r="F293" s="1262"/>
    </row>
    <row r="294" spans="1:6" ht="14.25">
      <c r="A294" s="176"/>
      <c r="B294" s="176"/>
      <c r="D294" s="1262"/>
      <c r="E294" s="1262"/>
      <c r="F294" s="1262"/>
    </row>
    <row r="295" spans="1:6" ht="14.25">
      <c r="A295" s="176"/>
      <c r="B295" s="176"/>
      <c r="D295" s="1262"/>
      <c r="E295" s="1262"/>
      <c r="F295" s="1262"/>
    </row>
    <row r="296" spans="1:6">
      <c r="D296" s="35"/>
      <c r="E296" s="35"/>
      <c r="F296" s="35"/>
    </row>
    <row r="297" spans="1:6" ht="14.25">
      <c r="A297" s="176"/>
      <c r="B297" s="469" t="s">
        <v>308</v>
      </c>
      <c r="D297" s="1262" t="s">
        <v>1257</v>
      </c>
      <c r="E297" s="1262"/>
      <c r="F297" s="1262"/>
    </row>
    <row r="298" spans="1:6">
      <c r="D298" s="1262"/>
      <c r="E298" s="1262"/>
      <c r="F298" s="1262"/>
    </row>
    <row r="299" spans="1:6">
      <c r="D299" s="1262"/>
      <c r="E299" s="1262"/>
      <c r="F299" s="1262"/>
    </row>
    <row r="300" spans="1:6">
      <c r="D300" s="1262"/>
      <c r="E300" s="1262"/>
      <c r="F300" s="1262"/>
    </row>
    <row r="301" spans="1:6">
      <c r="D301" s="1262"/>
      <c r="E301" s="1262"/>
      <c r="F301" s="1262"/>
    </row>
    <row r="302" spans="1:6">
      <c r="D302" s="1262"/>
      <c r="E302" s="1262"/>
      <c r="F302" s="1262"/>
    </row>
    <row r="303" spans="1:6">
      <c r="D303" s="1262"/>
      <c r="E303" s="1262"/>
      <c r="F303" s="1262"/>
    </row>
    <row r="304" spans="1:6">
      <c r="D304" s="1262"/>
      <c r="E304" s="1262"/>
      <c r="F304" s="1262"/>
    </row>
    <row r="305" spans="1:7">
      <c r="D305" s="1262"/>
      <c r="E305" s="1262"/>
      <c r="F305" s="1262"/>
    </row>
    <row r="306" spans="1:7">
      <c r="D306" s="35"/>
      <c r="E306" s="35"/>
      <c r="F306" s="35"/>
    </row>
    <row r="307" spans="1:7" ht="14.25">
      <c r="A307" s="176"/>
      <c r="B307" s="469" t="s">
        <v>308</v>
      </c>
      <c r="D307" s="1262" t="s">
        <v>1258</v>
      </c>
      <c r="E307" s="1262"/>
      <c r="F307" s="1262"/>
    </row>
    <row r="308" spans="1:7">
      <c r="D308" s="1262"/>
      <c r="E308" s="1262"/>
      <c r="F308" s="1262"/>
      <c r="G308"/>
    </row>
    <row r="309" spans="1:7">
      <c r="D309" s="1262"/>
      <c r="E309" s="1262"/>
      <c r="F309" s="1262"/>
      <c r="G309"/>
    </row>
    <row r="310" spans="1:7">
      <c r="D310" s="1262"/>
      <c r="E310" s="1262"/>
      <c r="F310" s="1262"/>
      <c r="G310"/>
    </row>
    <row r="311" spans="1:7">
      <c r="D311" s="1262"/>
      <c r="E311" s="1262"/>
      <c r="F311" s="1262"/>
      <c r="G311"/>
    </row>
    <row r="312" spans="1:7">
      <c r="D312" s="1262"/>
      <c r="E312" s="1262"/>
      <c r="F312" s="1262"/>
      <c r="G312"/>
    </row>
    <row r="313" spans="1:7">
      <c r="D313" s="475"/>
      <c r="E313" s="475"/>
      <c r="F313" s="475"/>
      <c r="G313"/>
    </row>
    <row r="314" spans="1:7" ht="13.5" thickBot="1">
      <c r="D314" s="1285" t="s">
        <v>1019</v>
      </c>
      <c r="E314" s="1285"/>
      <c r="F314" s="1285"/>
      <c r="G314"/>
    </row>
    <row r="315" spans="1:7" ht="13.5" thickTop="1">
      <c r="D315" s="1286" t="s">
        <v>1259</v>
      </c>
      <c r="E315" s="1286"/>
      <c r="F315" s="1286"/>
      <c r="G315"/>
    </row>
    <row r="316" spans="1:7">
      <c r="A316" s="218"/>
      <c r="B316" s="218"/>
      <c r="C316" s="218"/>
      <c r="D316" s="220"/>
      <c r="E316" s="220"/>
      <c r="F316" s="35"/>
      <c r="G316"/>
    </row>
    <row r="317" spans="1:7" ht="14.25">
      <c r="A317" s="176"/>
      <c r="B317" s="469" t="s">
        <v>308</v>
      </c>
      <c r="C317" s="218"/>
      <c r="D317" s="1275" t="s">
        <v>1260</v>
      </c>
      <c r="E317" s="1275"/>
      <c r="F317" s="1275"/>
      <c r="G317"/>
    </row>
    <row r="318" spans="1:7">
      <c r="A318" s="218"/>
      <c r="B318" s="218"/>
      <c r="C318" s="218"/>
      <c r="D318" s="220"/>
      <c r="E318" s="220"/>
      <c r="F318" s="35"/>
      <c r="G318"/>
    </row>
    <row r="319" spans="1:7">
      <c r="A319" s="218"/>
      <c r="B319" s="469" t="s">
        <v>308</v>
      </c>
      <c r="C319" s="218"/>
      <c r="D319" s="1271" t="s">
        <v>1261</v>
      </c>
      <c r="E319" s="1271"/>
      <c r="F319" s="1271"/>
      <c r="G319"/>
    </row>
    <row r="320" spans="1:7">
      <c r="A320" s="218"/>
      <c r="B320" s="218"/>
      <c r="C320" s="218"/>
      <c r="D320" s="1271"/>
      <c r="E320" s="1271"/>
      <c r="F320" s="1271"/>
      <c r="G320"/>
    </row>
    <row r="321" spans="1:7">
      <c r="A321" s="218"/>
      <c r="B321" s="218"/>
      <c r="C321" s="218"/>
      <c r="D321" s="1271"/>
      <c r="E321" s="1271"/>
      <c r="F321" s="1271"/>
      <c r="G321"/>
    </row>
    <row r="322" spans="1:7">
      <c r="A322" s="218"/>
      <c r="B322" s="218"/>
      <c r="C322" s="218"/>
      <c r="D322" s="1271"/>
      <c r="E322" s="1271"/>
      <c r="F322" s="1271"/>
      <c r="G322"/>
    </row>
    <row r="323" spans="1:7">
      <c r="A323" s="218"/>
      <c r="B323" s="218"/>
      <c r="C323" s="218"/>
      <c r="D323" s="1271"/>
      <c r="E323" s="1271"/>
      <c r="F323" s="1271"/>
      <c r="G323"/>
    </row>
    <row r="324" spans="1:7">
      <c r="A324" s="218"/>
      <c r="B324" s="218"/>
      <c r="C324" s="218"/>
      <c r="D324" s="1271"/>
      <c r="E324" s="1271"/>
      <c r="F324" s="1271"/>
      <c r="G324"/>
    </row>
    <row r="325" spans="1:7">
      <c r="A325" s="218"/>
      <c r="B325" s="218"/>
      <c r="C325" s="218"/>
      <c r="D325" s="1271"/>
      <c r="E325" s="1271"/>
      <c r="F325" s="1271"/>
      <c r="G325"/>
    </row>
    <row r="326" spans="1:7">
      <c r="A326" s="218"/>
      <c r="B326" s="218"/>
      <c r="C326" s="218"/>
      <c r="D326" s="1271"/>
      <c r="E326" s="1271"/>
      <c r="F326" s="1271"/>
      <c r="G326"/>
    </row>
    <row r="327" spans="1:7">
      <c r="A327" s="218"/>
      <c r="B327" s="218"/>
      <c r="C327" s="218"/>
      <c r="D327" s="1271"/>
      <c r="E327" s="1271"/>
      <c r="F327" s="1271"/>
      <c r="G327"/>
    </row>
    <row r="328" spans="1:7">
      <c r="A328" s="218"/>
      <c r="B328" s="218"/>
      <c r="C328" s="218"/>
      <c r="D328" s="1271"/>
      <c r="E328" s="1271"/>
      <c r="F328" s="1271"/>
      <c r="G328"/>
    </row>
    <row r="329" spans="1:7">
      <c r="A329" s="218"/>
      <c r="B329" s="218"/>
      <c r="C329" s="218"/>
      <c r="D329" s="1271"/>
      <c r="E329" s="1271"/>
      <c r="F329" s="1271"/>
      <c r="G329"/>
    </row>
    <row r="330" spans="1:7">
      <c r="A330" s="218"/>
      <c r="B330" s="218"/>
      <c r="C330" s="218"/>
      <c r="D330"/>
      <c r="E330" s="220"/>
      <c r="F330" s="35"/>
      <c r="G330"/>
    </row>
    <row r="331" spans="1:7" ht="14.25">
      <c r="A331" s="176"/>
      <c r="B331" s="469" t="s">
        <v>308</v>
      </c>
      <c r="C331" s="218"/>
      <c r="D331" s="1271" t="s">
        <v>1262</v>
      </c>
      <c r="E331" s="1271"/>
      <c r="F331" s="1271"/>
      <c r="G331"/>
    </row>
    <row r="332" spans="1:7">
      <c r="A332" s="218"/>
      <c r="B332" s="218"/>
      <c r="C332" s="218"/>
      <c r="D332" s="1271"/>
      <c r="E332" s="1271"/>
      <c r="F332" s="1271"/>
      <c r="G332"/>
    </row>
    <row r="333" spans="1:7">
      <c r="A333" s="218"/>
      <c r="B333" s="218"/>
      <c r="C333" s="218"/>
      <c r="D333" s="1271"/>
      <c r="E333" s="1271"/>
      <c r="F333" s="1271"/>
      <c r="G333"/>
    </row>
    <row r="334" spans="1:7">
      <c r="A334" s="218"/>
      <c r="B334" s="218"/>
      <c r="C334" s="218"/>
      <c r="D334" s="1271"/>
      <c r="E334" s="1271"/>
      <c r="F334" s="1271"/>
      <c r="G334"/>
    </row>
    <row r="335" spans="1:7">
      <c r="A335" s="218"/>
      <c r="B335" s="218"/>
      <c r="C335" s="218"/>
      <c r="D335" s="220"/>
      <c r="E335" s="220"/>
      <c r="F335" s="35"/>
      <c r="G335"/>
    </row>
    <row r="336" spans="1:7">
      <c r="A336" s="218"/>
      <c r="B336" s="218"/>
      <c r="C336" s="218"/>
      <c r="D336" s="1271" t="s">
        <v>1263</v>
      </c>
      <c r="E336" s="1271"/>
      <c r="F336" s="1271"/>
      <c r="G336"/>
    </row>
    <row r="337" spans="1:7">
      <c r="A337" s="218"/>
      <c r="B337" s="218"/>
      <c r="C337" s="218"/>
      <c r="D337" s="1271"/>
      <c r="E337" s="1271"/>
      <c r="F337" s="1271"/>
      <c r="G337"/>
    </row>
    <row r="338" spans="1:7">
      <c r="A338" s="218"/>
      <c r="B338" s="218"/>
      <c r="C338" s="218"/>
      <c r="D338" s="1271"/>
      <c r="E338" s="1271"/>
      <c r="F338" s="1271"/>
      <c r="G338"/>
    </row>
    <row r="339" spans="1:7">
      <c r="A339" s="218"/>
      <c r="B339" s="218"/>
      <c r="C339" s="218"/>
      <c r="D339" s="1271"/>
      <c r="E339" s="1271"/>
      <c r="F339" s="1271"/>
      <c r="G339"/>
    </row>
    <row r="340" spans="1:7" ht="18" customHeight="1">
      <c r="A340" s="218"/>
      <c r="B340" s="218"/>
      <c r="C340" s="218"/>
      <c r="D340" s="1271"/>
      <c r="E340" s="1271"/>
      <c r="F340" s="1271"/>
      <c r="G340"/>
    </row>
    <row r="341" spans="1:7">
      <c r="A341" s="218"/>
      <c r="B341" s="218"/>
      <c r="C341" s="218"/>
      <c r="D341" s="1271"/>
      <c r="E341" s="1271"/>
      <c r="F341" s="1271"/>
      <c r="G341"/>
    </row>
    <row r="342" spans="1:7">
      <c r="A342" s="218"/>
      <c r="B342" s="218"/>
      <c r="C342" s="218"/>
      <c r="D342" s="1271"/>
      <c r="E342" s="1271"/>
      <c r="F342" s="1271"/>
      <c r="G342"/>
    </row>
    <row r="343" spans="1:7">
      <c r="A343" s="218"/>
      <c r="B343" s="218"/>
      <c r="C343" s="218"/>
      <c r="D343" s="1271"/>
      <c r="E343" s="1271"/>
      <c r="F343" s="1271"/>
      <c r="G343"/>
    </row>
    <row r="344" spans="1:7" ht="8.25" customHeight="1">
      <c r="A344" s="218"/>
      <c r="B344" s="218"/>
      <c r="C344" s="218"/>
      <c r="D344" s="1271"/>
      <c r="E344" s="1271"/>
      <c r="F344" s="1271"/>
      <c r="G344"/>
    </row>
    <row r="345" spans="1:7" ht="13.15" customHeight="1">
      <c r="A345" s="218"/>
      <c r="B345" s="218"/>
      <c r="C345" s="218"/>
      <c r="D345" s="1271" t="s">
        <v>1264</v>
      </c>
      <c r="E345" s="1271"/>
      <c r="F345" s="1271"/>
      <c r="G345"/>
    </row>
    <row r="346" spans="1:7">
      <c r="A346" s="218"/>
      <c r="B346" s="218"/>
      <c r="C346" s="218"/>
      <c r="D346" s="1271"/>
      <c r="E346" s="1271"/>
      <c r="F346" s="1271"/>
      <c r="G346"/>
    </row>
    <row r="347" spans="1:7">
      <c r="A347" s="218"/>
      <c r="B347" s="218"/>
      <c r="C347" s="218"/>
      <c r="D347" s="1271"/>
      <c r="E347" s="1271"/>
      <c r="F347" s="1271"/>
      <c r="G347"/>
    </row>
    <row r="348" spans="1:7">
      <c r="A348" s="218"/>
      <c r="B348" s="218"/>
      <c r="C348" s="218"/>
      <c r="D348" s="1271"/>
      <c r="E348" s="1271"/>
      <c r="F348" s="1271"/>
      <c r="G348"/>
    </row>
    <row r="349" spans="1:7">
      <c r="A349" s="218"/>
      <c r="B349" s="218"/>
      <c r="C349" s="218"/>
      <c r="D349" s="1271"/>
      <c r="E349" s="1271"/>
      <c r="F349" s="1271"/>
      <c r="G349"/>
    </row>
    <row r="350" spans="1:7">
      <c r="A350" s="218"/>
      <c r="B350" s="218"/>
      <c r="C350" s="218"/>
      <c r="D350" s="1271"/>
      <c r="E350" s="1271"/>
      <c r="F350" s="1271"/>
      <c r="G350"/>
    </row>
    <row r="351" spans="1:7">
      <c r="A351" s="218"/>
      <c r="B351" s="218"/>
      <c r="C351" s="218"/>
      <c r="D351" s="1271"/>
      <c r="E351" s="1271"/>
      <c r="F351" s="1271"/>
      <c r="G351"/>
    </row>
    <row r="352" spans="1:7">
      <c r="A352" s="218"/>
      <c r="B352" s="218"/>
      <c r="C352" s="218"/>
      <c r="D352" s="1271"/>
      <c r="E352" s="1271"/>
      <c r="F352" s="1271"/>
      <c r="G352"/>
    </row>
    <row r="353" spans="1:7">
      <c r="A353" s="218"/>
      <c r="B353" s="218"/>
      <c r="C353" s="218"/>
      <c r="D353" s="1271"/>
      <c r="E353" s="1271"/>
      <c r="F353" s="1271"/>
      <c r="G353"/>
    </row>
    <row r="354" spans="1:7">
      <c r="A354" s="218"/>
      <c r="B354" s="218"/>
      <c r="C354" s="218"/>
      <c r="D354" s="1271"/>
      <c r="E354" s="1271"/>
      <c r="F354" s="1271"/>
      <c r="G354"/>
    </row>
    <row r="355" spans="1:7">
      <c r="A355" s="218"/>
      <c r="B355" s="218"/>
      <c r="C355" s="218"/>
      <c r="D355" s="1271"/>
      <c r="E355" s="1271"/>
      <c r="F355" s="1271"/>
      <c r="G355"/>
    </row>
    <row r="356" spans="1:7">
      <c r="A356" s="218"/>
      <c r="B356" s="218"/>
      <c r="C356" s="218"/>
      <c r="D356" s="1271"/>
      <c r="E356" s="1271"/>
      <c r="F356" s="1271"/>
      <c r="G356"/>
    </row>
    <row r="357" spans="1:7">
      <c r="A357" s="218"/>
      <c r="B357" s="218"/>
      <c r="C357" s="348"/>
      <c r="D357" s="1271"/>
      <c r="E357" s="1271"/>
      <c r="F357" s="1271"/>
      <c r="G357"/>
    </row>
    <row r="358" spans="1:7">
      <c r="A358" s="218"/>
      <c r="B358" s="218"/>
      <c r="C358" s="348"/>
      <c r="D358" s="1271"/>
      <c r="E358" s="1271"/>
      <c r="F358" s="1271"/>
      <c r="G358"/>
    </row>
    <row r="359" spans="1:7">
      <c r="A359" s="218"/>
      <c r="B359" s="218"/>
      <c r="C359" s="218"/>
      <c r="D359" s="1271"/>
      <c r="E359" s="1271"/>
      <c r="F359" s="1271"/>
      <c r="G359"/>
    </row>
    <row r="360" spans="1:7">
      <c r="A360" s="218"/>
      <c r="B360" s="218"/>
      <c r="C360" s="348"/>
      <c r="D360" s="1271"/>
      <c r="E360" s="1271"/>
      <c r="F360" s="1271"/>
      <c r="G360"/>
    </row>
    <row r="361" spans="1:7">
      <c r="A361" s="218"/>
      <c r="B361" s="218"/>
      <c r="C361" s="348"/>
      <c r="D361" s="1271"/>
      <c r="E361" s="1271"/>
      <c r="F361" s="1271"/>
      <c r="G361"/>
    </row>
    <row r="362" spans="1:7">
      <c r="A362" s="218"/>
      <c r="B362" s="218"/>
      <c r="C362" s="348"/>
      <c r="D362" s="1271"/>
      <c r="E362" s="1271"/>
      <c r="F362" s="1271"/>
      <c r="G362"/>
    </row>
    <row r="363" spans="1:7">
      <c r="A363" s="218"/>
      <c r="B363" s="218"/>
      <c r="C363" s="218"/>
      <c r="D363" s="220"/>
      <c r="E363" s="220"/>
      <c r="F363" s="35"/>
      <c r="G363"/>
    </row>
    <row r="364" spans="1:7">
      <c r="A364" s="218"/>
      <c r="B364" s="469" t="s">
        <v>308</v>
      </c>
      <c r="C364" s="218"/>
      <c r="D364" s="1271" t="s">
        <v>1265</v>
      </c>
      <c r="E364" s="1271"/>
      <c r="F364" s="1271"/>
      <c r="G364"/>
    </row>
    <row r="365" spans="1:7">
      <c r="A365" s="218"/>
      <c r="B365" s="218"/>
      <c r="C365" s="218"/>
      <c r="D365" s="1271"/>
      <c r="E365" s="1271"/>
      <c r="F365" s="1271"/>
      <c r="G365"/>
    </row>
    <row r="366" spans="1:7">
      <c r="A366" s="218"/>
      <c r="B366" s="218"/>
      <c r="C366" s="218"/>
      <c r="D366" s="220"/>
      <c r="E366" s="220"/>
      <c r="F366" s="35"/>
      <c r="G366"/>
    </row>
    <row r="367" spans="1:7" ht="14.25">
      <c r="A367" s="176"/>
      <c r="B367" s="469" t="s">
        <v>308</v>
      </c>
      <c r="C367" s="218"/>
      <c r="D367" s="1271" t="s">
        <v>1266</v>
      </c>
      <c r="E367" s="1271"/>
      <c r="F367" s="1271"/>
      <c r="G367"/>
    </row>
    <row r="368" spans="1:7" ht="14.25">
      <c r="A368" s="347"/>
      <c r="B368" s="347"/>
      <c r="C368" s="218"/>
      <c r="D368" s="1271"/>
      <c r="E368" s="1271"/>
      <c r="F368" s="1271"/>
      <c r="G368"/>
    </row>
    <row r="369" spans="1:7" ht="14.25">
      <c r="A369" s="347"/>
      <c r="B369" s="347"/>
      <c r="C369" s="218"/>
      <c r="D369" s="1271"/>
      <c r="E369" s="1271"/>
      <c r="F369" s="1271"/>
      <c r="G369"/>
    </row>
    <row r="370" spans="1:7" ht="14.25">
      <c r="A370" s="347"/>
      <c r="B370" s="347"/>
      <c r="C370" s="218"/>
      <c r="D370" s="1271"/>
      <c r="E370" s="1271"/>
      <c r="F370" s="1271"/>
      <c r="G370"/>
    </row>
    <row r="371" spans="1:7" ht="14.25">
      <c r="A371" s="347"/>
      <c r="B371" s="347"/>
      <c r="C371" s="218"/>
      <c r="D371" s="1271"/>
      <c r="E371" s="1271"/>
      <c r="F371" s="1271"/>
      <c r="G371"/>
    </row>
    <row r="372" spans="1:7">
      <c r="D372" s="35"/>
      <c r="E372" s="35"/>
      <c r="F372" s="35"/>
      <c r="G372"/>
    </row>
    <row r="373" spans="1:7" ht="14.25">
      <c r="A373" s="176"/>
      <c r="B373" s="469" t="s">
        <v>308</v>
      </c>
      <c r="C373" s="179"/>
      <c r="D373" s="1262" t="s">
        <v>1267</v>
      </c>
      <c r="E373" s="1262"/>
      <c r="F373" s="1262"/>
      <c r="G373"/>
    </row>
    <row r="374" spans="1:7" ht="14.25">
      <c r="A374" s="176"/>
      <c r="B374" s="176"/>
      <c r="D374" s="1262"/>
      <c r="E374" s="1262"/>
      <c r="F374" s="1262"/>
      <c r="G374"/>
    </row>
    <row r="375" spans="1:7">
      <c r="D375" s="1262"/>
      <c r="E375" s="1262"/>
      <c r="F375" s="1262"/>
      <c r="G375"/>
    </row>
    <row r="376" spans="1:7">
      <c r="D376" s="1262"/>
      <c r="E376" s="1262"/>
      <c r="F376" s="1262"/>
      <c r="G376"/>
    </row>
    <row r="377" spans="1:7">
      <c r="D377" s="1262"/>
      <c r="E377" s="1262"/>
      <c r="F377" s="1262"/>
      <c r="G377"/>
    </row>
    <row r="378" spans="1:7">
      <c r="D378" s="1262"/>
      <c r="E378" s="1262"/>
      <c r="F378" s="1262"/>
      <c r="G378"/>
    </row>
    <row r="379" spans="1:7">
      <c r="D379" s="1262"/>
      <c r="E379" s="1262"/>
      <c r="F379" s="1262"/>
      <c r="G379"/>
    </row>
    <row r="380" spans="1:7">
      <c r="D380" s="1262"/>
      <c r="E380" s="1262"/>
      <c r="F380" s="1262"/>
      <c r="G380"/>
    </row>
    <row r="381" spans="1:7">
      <c r="D381" s="1262"/>
      <c r="E381" s="1262"/>
      <c r="F381" s="1262"/>
      <c r="G381"/>
    </row>
    <row r="382" spans="1:7">
      <c r="D382" s="1262"/>
      <c r="E382" s="1262"/>
      <c r="F382" s="1262"/>
      <c r="G382"/>
    </row>
    <row r="383" spans="1:7">
      <c r="D383" s="1262"/>
      <c r="E383" s="1262"/>
      <c r="F383" s="1262"/>
      <c r="G383"/>
    </row>
    <row r="384" spans="1:7">
      <c r="D384" s="1262"/>
      <c r="E384" s="1262"/>
      <c r="F384" s="1262"/>
      <c r="G384"/>
    </row>
    <row r="385" spans="1:7">
      <c r="D385" s="1262"/>
      <c r="E385" s="1262"/>
      <c r="F385" s="1262"/>
      <c r="G385"/>
    </row>
    <row r="386" spans="1:7">
      <c r="A386"/>
      <c r="B386"/>
      <c r="C386"/>
      <c r="D386" s="1262"/>
      <c r="E386" s="1262"/>
      <c r="F386" s="1262"/>
      <c r="G386"/>
    </row>
    <row r="387" spans="1:7">
      <c r="A387"/>
      <c r="B387"/>
      <c r="C387"/>
      <c r="D387" s="1262"/>
      <c r="E387" s="1262"/>
      <c r="F387" s="1262"/>
      <c r="G387"/>
    </row>
    <row r="388" spans="1:7">
      <c r="A388"/>
      <c r="B388"/>
      <c r="C388"/>
      <c r="D388" s="1262"/>
      <c r="E388" s="1262"/>
      <c r="F388" s="1262"/>
      <c r="G388"/>
    </row>
    <row r="389" spans="1:7">
      <c r="A389"/>
      <c r="B389"/>
      <c r="C389"/>
      <c r="D389" s="1262"/>
      <c r="E389" s="1262"/>
      <c r="F389" s="1262"/>
      <c r="G389"/>
    </row>
    <row r="390" spans="1:7">
      <c r="A390"/>
      <c r="B390"/>
      <c r="C390"/>
      <c r="D390" s="1262"/>
      <c r="E390" s="1262"/>
      <c r="F390" s="1262"/>
      <c r="G390"/>
    </row>
    <row r="391" spans="1:7">
      <c r="A391"/>
      <c r="B391"/>
      <c r="C391"/>
      <c r="D391" s="1262"/>
      <c r="E391" s="1262"/>
      <c r="F391" s="1262"/>
      <c r="G391"/>
    </row>
    <row r="392" spans="1:7">
      <c r="A392"/>
      <c r="B392"/>
      <c r="C392"/>
      <c r="D392" s="1262"/>
      <c r="E392" s="1262"/>
      <c r="F392" s="1262"/>
      <c r="G392"/>
    </row>
    <row r="393" spans="1:7">
      <c r="A393"/>
      <c r="B393"/>
      <c r="C393"/>
      <c r="D393" s="1262"/>
      <c r="E393" s="1262"/>
      <c r="F393" s="1262"/>
      <c r="G393"/>
    </row>
    <row r="394" spans="1:7">
      <c r="A394"/>
      <c r="B394"/>
      <c r="C394"/>
      <c r="D394" s="1262"/>
      <c r="E394" s="1262"/>
      <c r="F394" s="1262"/>
      <c r="G394"/>
    </row>
    <row r="395" spans="1:7">
      <c r="A395"/>
      <c r="B395"/>
      <c r="C395"/>
      <c r="D395" s="1262"/>
      <c r="E395" s="1262"/>
      <c r="F395" s="1262"/>
      <c r="G395"/>
    </row>
    <row r="396" spans="1:7">
      <c r="A396"/>
      <c r="B396"/>
      <c r="C396"/>
      <c r="D396" s="1262"/>
      <c r="E396" s="1262"/>
      <c r="F396" s="1262"/>
      <c r="G396"/>
    </row>
    <row r="397" spans="1:7">
      <c r="A397"/>
      <c r="B397"/>
      <c r="C397"/>
      <c r="D397" s="1262"/>
      <c r="E397" s="1262"/>
      <c r="F397" s="1262"/>
      <c r="G397"/>
    </row>
    <row r="398" spans="1:7">
      <c r="A398"/>
      <c r="B398"/>
      <c r="C398"/>
      <c r="D398" s="1262"/>
      <c r="E398" s="1262"/>
      <c r="F398" s="1262"/>
      <c r="G398"/>
    </row>
    <row r="399" spans="1:7">
      <c r="A399"/>
      <c r="B399"/>
      <c r="C399"/>
      <c r="D399" s="1262"/>
      <c r="E399" s="1262"/>
      <c r="F399" s="1262"/>
      <c r="G399"/>
    </row>
    <row r="400" spans="1:7">
      <c r="A400"/>
      <c r="B400"/>
      <c r="C400"/>
      <c r="D400" s="1262"/>
      <c r="E400" s="1262"/>
      <c r="F400" s="1262"/>
      <c r="G400"/>
    </row>
    <row r="401" spans="1:7">
      <c r="A401"/>
      <c r="B401"/>
      <c r="C401"/>
      <c r="D401" s="1262"/>
      <c r="E401" s="1262"/>
      <c r="F401" s="1262"/>
      <c r="G401"/>
    </row>
    <row r="402" spans="1:7">
      <c r="D402" s="1262"/>
      <c r="E402" s="1262"/>
      <c r="F402" s="1262"/>
    </row>
    <row r="403" spans="1:7" ht="40.700000000000003" customHeight="1">
      <c r="D403" s="1262"/>
      <c r="E403" s="1262"/>
      <c r="F403" s="1262"/>
    </row>
    <row r="404" spans="1:7">
      <c r="D404" s="35"/>
      <c r="E404" s="35"/>
      <c r="F404" s="35"/>
    </row>
    <row r="405" spans="1:7" ht="14.25">
      <c r="A405" s="176"/>
      <c r="B405" s="469" t="s">
        <v>308</v>
      </c>
      <c r="C405" s="179"/>
      <c r="D405" s="1273" t="s">
        <v>1268</v>
      </c>
      <c r="E405" s="1273"/>
      <c r="F405" s="1273"/>
    </row>
    <row r="406" spans="1:7">
      <c r="D406" s="1283" t="s">
        <v>1039</v>
      </c>
      <c r="E406" s="1283"/>
      <c r="F406" s="1283"/>
    </row>
    <row r="407" spans="1:7">
      <c r="D407" s="1262" t="s">
        <v>1269</v>
      </c>
      <c r="E407" s="1262"/>
      <c r="F407" s="1262"/>
    </row>
    <row r="408" spans="1:7">
      <c r="D408" s="1262"/>
      <c r="E408" s="1262"/>
      <c r="F408" s="1262"/>
    </row>
    <row r="409" spans="1:7">
      <c r="D409" s="1262"/>
      <c r="E409" s="1262"/>
      <c r="F409" s="1262"/>
    </row>
    <row r="410" spans="1:7">
      <c r="D410" s="1262"/>
      <c r="E410" s="1262"/>
      <c r="F410" s="1262"/>
    </row>
    <row r="411" spans="1:7">
      <c r="D411" s="35"/>
      <c r="E411" s="35"/>
      <c r="F411" s="35"/>
      <c r="G411"/>
    </row>
    <row r="412" spans="1:7" ht="14.25">
      <c r="A412" s="176"/>
      <c r="B412" s="469" t="s">
        <v>308</v>
      </c>
      <c r="C412" s="179"/>
      <c r="D412" s="1262" t="s">
        <v>1270</v>
      </c>
      <c r="E412" s="1262"/>
      <c r="F412" s="1262"/>
      <c r="G412"/>
    </row>
    <row r="413" spans="1:7">
      <c r="D413" s="1262"/>
      <c r="E413" s="1262"/>
      <c r="F413" s="1262"/>
      <c r="G413"/>
    </row>
    <row r="414" spans="1:7">
      <c r="D414" s="1262"/>
      <c r="E414" s="1262"/>
      <c r="F414" s="1262"/>
      <c r="G414"/>
    </row>
    <row r="415" spans="1:7">
      <c r="D415" s="475"/>
      <c r="E415" s="475"/>
      <c r="F415" s="475"/>
      <c r="G415"/>
    </row>
    <row r="416" spans="1:7" ht="14.25">
      <c r="B416" s="469" t="s">
        <v>308</v>
      </c>
      <c r="C416" s="176"/>
      <c r="D416" s="1262" t="s">
        <v>1271</v>
      </c>
      <c r="E416" s="1262"/>
      <c r="F416" s="1262"/>
      <c r="G416"/>
    </row>
    <row r="417" spans="1:7">
      <c r="D417" s="1262"/>
      <c r="E417" s="1262"/>
      <c r="F417" s="1262"/>
      <c r="G417"/>
    </row>
    <row r="418" spans="1:7">
      <c r="D418" s="35"/>
      <c r="E418" s="35"/>
      <c r="F418" s="35"/>
      <c r="G418"/>
    </row>
    <row r="419" spans="1:7" ht="14.25">
      <c r="B419" s="469" t="s">
        <v>308</v>
      </c>
      <c r="C419" s="176"/>
      <c r="D419" s="1262" t="s">
        <v>1272</v>
      </c>
      <c r="E419" s="1262"/>
      <c r="F419" s="1262"/>
      <c r="G419"/>
    </row>
    <row r="420" spans="1:7">
      <c r="D420" s="1262"/>
      <c r="E420" s="1262"/>
      <c r="F420" s="1262"/>
      <c r="G420"/>
    </row>
    <row r="421" spans="1:7">
      <c r="D421" s="1262"/>
      <c r="E421" s="1262"/>
      <c r="F421" s="1262"/>
      <c r="G421"/>
    </row>
    <row r="422" spans="1:7">
      <c r="D422" s="1262"/>
      <c r="E422" s="1262"/>
      <c r="F422" s="1262"/>
      <c r="G422"/>
    </row>
    <row r="423" spans="1:7">
      <c r="B423" s="469" t="s">
        <v>308</v>
      </c>
      <c r="D423" s="1262"/>
      <c r="E423" s="1262"/>
      <c r="F423" s="1262"/>
      <c r="G423"/>
    </row>
    <row r="424" spans="1:7">
      <c r="A424"/>
      <c r="B424"/>
      <c r="C424"/>
      <c r="D424" s="1262"/>
      <c r="E424" s="1262"/>
      <c r="F424" s="1262"/>
      <c r="G424"/>
    </row>
    <row r="425" spans="1:7">
      <c r="A425"/>
      <c r="C425"/>
      <c r="D425" s="1262"/>
      <c r="E425" s="1262"/>
      <c r="F425" s="1262"/>
      <c r="G425"/>
    </row>
    <row r="426" spans="1:7">
      <c r="A426"/>
      <c r="B426" s="469" t="s">
        <v>308</v>
      </c>
      <c r="C426"/>
      <c r="D426" s="1262"/>
      <c r="E426" s="1262"/>
      <c r="F426" s="1262"/>
      <c r="G426"/>
    </row>
    <row r="427" spans="1:7">
      <c r="A427"/>
      <c r="B427"/>
      <c r="C427"/>
      <c r="D427" s="1262"/>
      <c r="E427" s="1262"/>
      <c r="F427" s="1262"/>
      <c r="G427"/>
    </row>
    <row r="428" spans="1:7">
      <c r="A428"/>
      <c r="C428"/>
      <c r="D428" s="1262"/>
      <c r="E428" s="1262"/>
      <c r="F428" s="1262"/>
      <c r="G428"/>
    </row>
    <row r="429" spans="1:7">
      <c r="A429"/>
      <c r="C429"/>
      <c r="D429" s="1262"/>
      <c r="E429" s="1262"/>
      <c r="F429" s="1262"/>
      <c r="G429"/>
    </row>
    <row r="430" spans="1:7">
      <c r="A430"/>
      <c r="B430" s="469" t="s">
        <v>308</v>
      </c>
      <c r="C430"/>
      <c r="D430" s="1262"/>
      <c r="E430" s="1262"/>
      <c r="F430" s="1262"/>
      <c r="G430"/>
    </row>
    <row r="431" spans="1:7">
      <c r="A431"/>
      <c r="B431"/>
      <c r="C431"/>
      <c r="D431" s="1262"/>
      <c r="E431" s="1262"/>
      <c r="F431" s="1262"/>
      <c r="G431"/>
    </row>
    <row r="432" spans="1:7">
      <c r="A432"/>
      <c r="B432" s="469" t="s">
        <v>308</v>
      </c>
      <c r="C432"/>
      <c r="D432" s="1262"/>
      <c r="E432" s="1262"/>
      <c r="F432" s="1262"/>
      <c r="G432"/>
    </row>
    <row r="433" spans="1:7">
      <c r="A433"/>
      <c r="B433"/>
      <c r="C433"/>
      <c r="D433" s="475"/>
      <c r="E433" s="475"/>
      <c r="F433" s="475"/>
      <c r="G433"/>
    </row>
    <row r="434" spans="1:7">
      <c r="A434"/>
      <c r="B434" s="469" t="s">
        <v>308</v>
      </c>
      <c r="C434"/>
      <c r="D434" s="1262" t="s">
        <v>1273</v>
      </c>
      <c r="E434" s="1262"/>
      <c r="F434" s="1262"/>
      <c r="G434"/>
    </row>
    <row r="435" spans="1:7">
      <c r="A435"/>
      <c r="B435"/>
      <c r="C435"/>
      <c r="D435" s="1262"/>
      <c r="E435" s="1262"/>
      <c r="F435" s="1262"/>
      <c r="G435"/>
    </row>
    <row r="436" spans="1:7">
      <c r="A436"/>
      <c r="B436"/>
      <c r="C436"/>
      <c r="D436" s="1262"/>
      <c r="E436" s="1262"/>
      <c r="F436" s="1262"/>
      <c r="G436"/>
    </row>
    <row r="437" spans="1:7">
      <c r="A437"/>
      <c r="B437"/>
      <c r="C437"/>
      <c r="D437" s="1262"/>
      <c r="E437" s="1262"/>
      <c r="F437" s="1262"/>
      <c r="G437"/>
    </row>
    <row r="438" spans="1:7">
      <c r="D438" s="1262"/>
      <c r="E438" s="1262"/>
      <c r="F438" s="1262"/>
    </row>
    <row r="439" spans="1:7">
      <c r="D439" s="35"/>
      <c r="E439" s="35"/>
      <c r="F439" s="35"/>
    </row>
    <row r="440" spans="1:7">
      <c r="B440" s="469" t="s">
        <v>308</v>
      </c>
      <c r="D440" s="1273" t="s">
        <v>1274</v>
      </c>
      <c r="E440" s="1273"/>
      <c r="F440" s="1273"/>
    </row>
    <row r="441" spans="1:7">
      <c r="A441" s="35"/>
      <c r="B441" s="35"/>
    </row>
    <row r="442" spans="1:7">
      <c r="A442" s="1277" t="s">
        <v>1115</v>
      </c>
      <c r="B442" s="1277"/>
      <c r="C442" s="1277"/>
      <c r="D442" s="1277"/>
      <c r="E442" s="1277"/>
      <c r="F442" s="1277"/>
      <c r="G442" s="1277"/>
    </row>
    <row r="443" spans="1:7">
      <c r="A443" s="35"/>
      <c r="B443" s="35"/>
    </row>
    <row r="444" spans="1:7">
      <c r="D444" s="1274" t="s">
        <v>912</v>
      </c>
      <c r="E444" s="1274"/>
      <c r="F444" s="1274"/>
    </row>
    <row r="445" spans="1:7" ht="14.25">
      <c r="A445" s="176"/>
      <c r="B445" s="176"/>
      <c r="D445" s="1275" t="s">
        <v>1275</v>
      </c>
      <c r="E445" s="1275"/>
      <c r="F445" s="1275"/>
    </row>
    <row r="446" spans="1:7" ht="14.25">
      <c r="A446" s="176"/>
      <c r="B446" s="176"/>
      <c r="D446" s="482"/>
      <c r="E446" s="3"/>
      <c r="F446" s="3"/>
    </row>
    <row r="447" spans="1:7" ht="14.25">
      <c r="A447" s="176"/>
      <c r="B447" s="469" t="s">
        <v>308</v>
      </c>
      <c r="D447" s="1271" t="s">
        <v>1276</v>
      </c>
      <c r="E447" s="1271"/>
      <c r="F447" s="1271"/>
    </row>
    <row r="448" spans="1:7" ht="14.25">
      <c r="A448" s="176"/>
      <c r="B448" s="176"/>
      <c r="D448" s="1271"/>
      <c r="E448" s="1271"/>
      <c r="F448" s="1271"/>
    </row>
    <row r="449" spans="1:7" ht="14.25">
      <c r="A449" s="176"/>
      <c r="B449" s="176"/>
      <c r="D449" s="118"/>
      <c r="E449" s="3"/>
      <c r="F449" s="3"/>
    </row>
    <row r="450" spans="1:7">
      <c r="B450" s="469" t="s">
        <v>308</v>
      </c>
      <c r="D450" s="1276" t="s">
        <v>1277</v>
      </c>
      <c r="E450" s="1276"/>
      <c r="F450" s="1276"/>
    </row>
    <row r="451" spans="1:7" ht="14.25">
      <c r="A451" s="176"/>
      <c r="D451" s="1276"/>
      <c r="E451" s="1276"/>
      <c r="F451" s="1276"/>
    </row>
    <row r="452" spans="1:7" ht="14.25">
      <c r="A452" s="176"/>
      <c r="B452" s="176"/>
      <c r="D452" s="1276"/>
      <c r="E452" s="1276"/>
      <c r="F452" s="1276"/>
    </row>
    <row r="453" spans="1:7" ht="14.25">
      <c r="A453" s="176"/>
      <c r="B453" s="176"/>
      <c r="D453" s="1276"/>
      <c r="E453" s="1276"/>
      <c r="F453" s="1276"/>
    </row>
    <row r="454" spans="1:7">
      <c r="D454" s="3"/>
      <c r="E454" s="3"/>
      <c r="F454" s="3"/>
      <c r="G454"/>
    </row>
    <row r="455" spans="1:7" ht="14.25">
      <c r="A455" s="176"/>
      <c r="B455" s="469" t="s">
        <v>308</v>
      </c>
      <c r="D455" s="1262" t="s">
        <v>1278</v>
      </c>
      <c r="E455" s="1262"/>
      <c r="F455" s="1262"/>
      <c r="G455"/>
    </row>
    <row r="456" spans="1:7" ht="14.25">
      <c r="A456" s="176"/>
      <c r="B456" s="176"/>
      <c r="D456" s="1262"/>
      <c r="E456" s="1262"/>
      <c r="F456" s="1262"/>
      <c r="G456"/>
    </row>
    <row r="457" spans="1:7" ht="14.25">
      <c r="A457" s="176"/>
      <c r="D457" s="1262"/>
      <c r="E457" s="1262"/>
      <c r="F457" s="1262"/>
      <c r="G457"/>
    </row>
    <row r="458" spans="1:7" ht="14.25">
      <c r="A458" s="176"/>
      <c r="B458" s="176"/>
      <c r="D458" s="3"/>
      <c r="E458" s="3"/>
      <c r="F458" s="3"/>
      <c r="G458"/>
    </row>
    <row r="459" spans="1:7" ht="14.25">
      <c r="A459" s="176"/>
      <c r="B459" s="469" t="s">
        <v>308</v>
      </c>
      <c r="D459" s="1273" t="s">
        <v>1279</v>
      </c>
      <c r="E459" s="1273"/>
      <c r="F459" s="1273"/>
      <c r="G459"/>
    </row>
    <row r="460" spans="1:7" ht="14.25">
      <c r="A460" s="176"/>
      <c r="B460" s="176"/>
      <c r="D460" s="118"/>
      <c r="E460" s="3"/>
      <c r="F460" s="3"/>
      <c r="G460"/>
    </row>
    <row r="461" spans="1:7" ht="14.25">
      <c r="A461" s="176"/>
      <c r="B461" s="469" t="s">
        <v>308</v>
      </c>
      <c r="D461" s="1262" t="s">
        <v>1280</v>
      </c>
      <c r="E461" s="1262"/>
      <c r="F461" s="1262"/>
      <c r="G461"/>
    </row>
    <row r="462" spans="1:7" ht="14.25">
      <c r="A462" s="176"/>
      <c r="D462" s="1262"/>
      <c r="E462" s="1262"/>
      <c r="F462" s="1262"/>
      <c r="G462"/>
    </row>
    <row r="463" spans="1:7">
      <c r="A463" s="13"/>
      <c r="B463" s="13"/>
      <c r="D463" s="482"/>
      <c r="E463" s="3"/>
      <c r="F463" s="3"/>
      <c r="G463"/>
    </row>
    <row r="464" spans="1:7">
      <c r="A464" s="13"/>
      <c r="B464" s="469" t="s">
        <v>308</v>
      </c>
      <c r="D464" s="1273" t="s">
        <v>1281</v>
      </c>
      <c r="E464" s="1273"/>
      <c r="F464" s="1273"/>
      <c r="G464"/>
    </row>
    <row r="465" spans="1:7" ht="14.25">
      <c r="A465" s="176"/>
      <c r="B465" s="176"/>
      <c r="D465" s="35"/>
    </row>
    <row r="466" spans="1:7">
      <c r="A466" s="1277" t="s">
        <v>1116</v>
      </c>
      <c r="B466" s="1277"/>
      <c r="C466" s="1277"/>
      <c r="D466" s="1277"/>
      <c r="E466" s="1277"/>
      <c r="F466" s="1277"/>
      <c r="G466" s="1277"/>
    </row>
    <row r="467" spans="1:7" ht="12" customHeight="1">
      <c r="A467" s="176"/>
      <c r="B467" s="176"/>
      <c r="D467" s="35"/>
    </row>
    <row r="468" spans="1:7">
      <c r="C468" s="172"/>
      <c r="D468" s="1278" t="s">
        <v>817</v>
      </c>
      <c r="E468" s="1278"/>
      <c r="F468" s="1278"/>
    </row>
    <row r="469" spans="1:7" ht="13.15" customHeight="1">
      <c r="A469" s="175"/>
      <c r="B469" s="175"/>
      <c r="C469" s="175"/>
      <c r="D469" s="1279" t="s">
        <v>1159</v>
      </c>
      <c r="E469" s="1279"/>
      <c r="F469" s="1279"/>
    </row>
    <row r="470" spans="1:7">
      <c r="A470" s="175"/>
      <c r="B470" s="175"/>
      <c r="C470" s="175"/>
      <c r="D470" s="1279"/>
      <c r="E470" s="1279"/>
      <c r="F470" s="1279"/>
    </row>
    <row r="471" spans="1:7">
      <c r="A471" s="175"/>
      <c r="B471" s="175"/>
      <c r="C471" s="175"/>
      <c r="D471" s="1279"/>
      <c r="E471" s="1279"/>
      <c r="F471" s="1279"/>
    </row>
    <row r="472" spans="1:7">
      <c r="A472" s="175"/>
      <c r="B472" s="175"/>
      <c r="C472" s="175"/>
      <c r="D472" s="1279"/>
      <c r="E472" s="1279"/>
      <c r="F472" s="1279"/>
    </row>
    <row r="473" spans="1:7">
      <c r="A473" s="175"/>
      <c r="B473" s="175"/>
      <c r="C473" s="175"/>
      <c r="D473" s="1279"/>
      <c r="E473" s="1279"/>
      <c r="F473" s="1279"/>
    </row>
    <row r="474" spans="1:7">
      <c r="A474" s="175"/>
      <c r="B474" s="175"/>
      <c r="C474" s="175"/>
      <c r="D474" s="326"/>
      <c r="F474" s="35"/>
    </row>
    <row r="475" spans="1:7" ht="14.45" customHeight="1">
      <c r="A475" s="176"/>
      <c r="B475" s="469" t="s">
        <v>308</v>
      </c>
      <c r="C475" s="175"/>
      <c r="D475" s="1293" t="s">
        <v>1150</v>
      </c>
      <c r="E475" s="1293"/>
      <c r="F475" s="1293"/>
    </row>
    <row r="476" spans="1:7">
      <c r="A476" s="175"/>
      <c r="B476" s="175"/>
      <c r="C476" s="175"/>
      <c r="D476" s="1293"/>
      <c r="E476" s="1293"/>
      <c r="F476" s="1293"/>
    </row>
    <row r="477" spans="1:7">
      <c r="A477" s="175"/>
      <c r="B477" s="175"/>
      <c r="C477" s="175"/>
      <c r="D477" s="1293"/>
      <c r="E477" s="1293"/>
      <c r="F477" s="1293"/>
    </row>
    <row r="478" spans="1:7">
      <c r="A478" s="175"/>
      <c r="B478" s="175"/>
      <c r="C478" s="175"/>
      <c r="D478" s="1293"/>
      <c r="E478" s="1293"/>
      <c r="F478" s="1293"/>
    </row>
    <row r="479" spans="1:7">
      <c r="A479" s="175"/>
      <c r="B479" s="175"/>
      <c r="C479" s="175"/>
      <c r="D479" s="1293"/>
      <c r="E479" s="1293"/>
      <c r="F479" s="1293"/>
    </row>
    <row r="480" spans="1:7">
      <c r="A480" s="175"/>
      <c r="B480" s="175"/>
      <c r="C480" s="175"/>
      <c r="D480" s="220"/>
      <c r="F480" s="35"/>
    </row>
    <row r="481" spans="1:6" ht="14.45" customHeight="1">
      <c r="A481" s="176"/>
      <c r="B481" s="469" t="s">
        <v>308</v>
      </c>
      <c r="C481" s="175"/>
      <c r="D481" s="1293" t="s">
        <v>1153</v>
      </c>
      <c r="E481" s="1293"/>
      <c r="F481" s="1293"/>
    </row>
    <row r="482" spans="1:6">
      <c r="A482" s="175"/>
      <c r="B482" s="175"/>
      <c r="C482" s="175"/>
      <c r="D482" s="1293"/>
      <c r="E482" s="1293"/>
      <c r="F482" s="1293"/>
    </row>
    <row r="483" spans="1:6">
      <c r="A483" s="175"/>
      <c r="B483" s="175"/>
      <c r="C483" s="175"/>
      <c r="D483" s="1293"/>
      <c r="E483" s="1293"/>
      <c r="F483" s="1293"/>
    </row>
    <row r="484" spans="1:6">
      <c r="A484" s="175"/>
      <c r="B484" s="175"/>
      <c r="C484" s="175"/>
      <c r="D484" s="1293"/>
      <c r="E484" s="1293"/>
      <c r="F484" s="1293"/>
    </row>
    <row r="485" spans="1:6" ht="9.9499999999999993" customHeight="1">
      <c r="A485" s="175"/>
      <c r="B485" s="175"/>
      <c r="C485" s="175"/>
      <c r="D485" s="220"/>
      <c r="F485" s="35"/>
    </row>
    <row r="486" spans="1:6" ht="14.45" customHeight="1">
      <c r="A486" s="176"/>
      <c r="B486" s="469" t="s">
        <v>308</v>
      </c>
      <c r="C486" s="175"/>
      <c r="D486" s="1293" t="s">
        <v>1151</v>
      </c>
      <c r="E486" s="1293"/>
      <c r="F486" s="1293"/>
    </row>
    <row r="487" spans="1:6">
      <c r="A487" s="175"/>
      <c r="B487" s="175"/>
      <c r="C487" s="175"/>
      <c r="D487" s="1293"/>
      <c r="E487" s="1293"/>
      <c r="F487" s="1293"/>
    </row>
    <row r="488" spans="1:6">
      <c r="A488" s="175"/>
      <c r="B488" s="175"/>
      <c r="C488" s="175"/>
      <c r="D488" s="1293"/>
      <c r="E488" s="1293"/>
      <c r="F488" s="1293"/>
    </row>
    <row r="489" spans="1:6">
      <c r="A489" s="175"/>
      <c r="B489" s="175"/>
      <c r="C489" s="175"/>
      <c r="D489" s="476"/>
      <c r="E489" s="476"/>
      <c r="F489" s="476"/>
    </row>
    <row r="490" spans="1:6" ht="14.45" customHeight="1">
      <c r="A490" s="176"/>
      <c r="B490" s="469" t="s">
        <v>308</v>
      </c>
      <c r="C490" s="175"/>
      <c r="D490" s="1293" t="s">
        <v>1152</v>
      </c>
      <c r="E490" s="1293"/>
      <c r="F490" s="1293"/>
    </row>
    <row r="491" spans="1:6">
      <c r="A491" s="175"/>
      <c r="B491" s="175"/>
      <c r="C491" s="175"/>
      <c r="D491" s="1293"/>
      <c r="E491" s="1293"/>
      <c r="F491" s="1293"/>
    </row>
    <row r="492" spans="1:6">
      <c r="A492" s="175"/>
      <c r="B492" s="175"/>
      <c r="C492" s="175"/>
      <c r="D492" s="1293"/>
      <c r="E492" s="1293"/>
      <c r="F492" s="1293"/>
    </row>
    <row r="493" spans="1:6">
      <c r="A493" s="175"/>
      <c r="B493" s="175"/>
      <c r="C493" s="175"/>
      <c r="D493" s="1293"/>
      <c r="E493" s="1293"/>
      <c r="F493" s="1293"/>
    </row>
    <row r="494" spans="1:6">
      <c r="A494" s="175"/>
      <c r="B494" s="175"/>
      <c r="C494" s="175"/>
      <c r="D494" s="1293"/>
      <c r="E494" s="1293"/>
      <c r="F494" s="1293"/>
    </row>
    <row r="495" spans="1:6">
      <c r="A495" s="175"/>
      <c r="B495" s="175"/>
      <c r="C495" s="175"/>
      <c r="D495" s="1293"/>
      <c r="E495" s="1293"/>
      <c r="F495" s="1293"/>
    </row>
    <row r="496" spans="1:6">
      <c r="A496" s="175"/>
      <c r="B496" s="175"/>
      <c r="C496" s="175"/>
      <c r="D496" s="1293"/>
      <c r="E496" s="1293"/>
      <c r="F496" s="1293"/>
    </row>
    <row r="497" spans="1:7">
      <c r="A497" s="175"/>
      <c r="B497" s="175"/>
      <c r="C497" s="175"/>
      <c r="D497" s="1293"/>
      <c r="E497" s="1293"/>
      <c r="F497" s="1293"/>
    </row>
    <row r="498" spans="1:7">
      <c r="A498" s="175"/>
      <c r="B498" s="175"/>
      <c r="C498" s="175"/>
      <c r="D498" s="1293"/>
      <c r="E498" s="1293"/>
      <c r="F498" s="1293"/>
    </row>
    <row r="499" spans="1:7">
      <c r="A499" s="175"/>
      <c r="B499" s="175"/>
      <c r="C499" s="175"/>
      <c r="D499" s="220"/>
      <c r="F499" s="35"/>
    </row>
    <row r="500" spans="1:7" ht="13.15" customHeight="1">
      <c r="A500" s="175"/>
      <c r="B500" s="469" t="s">
        <v>308</v>
      </c>
      <c r="C500" s="175"/>
      <c r="D500" s="1271" t="s">
        <v>1296</v>
      </c>
      <c r="E500" s="1271"/>
      <c r="F500" s="1271"/>
    </row>
    <row r="501" spans="1:7">
      <c r="A501" s="175"/>
      <c r="B501" s="175"/>
      <c r="C501" s="175"/>
      <c r="D501" s="1271"/>
      <c r="E501" s="1271"/>
      <c r="F501" s="1271"/>
    </row>
    <row r="502" spans="1:7">
      <c r="A502" s="175"/>
      <c r="B502" s="175"/>
      <c r="C502" s="175"/>
      <c r="D502" s="1271"/>
      <c r="E502" s="1271"/>
      <c r="F502" s="1271"/>
    </row>
    <row r="503" spans="1:7">
      <c r="A503" s="175"/>
      <c r="B503" s="175"/>
      <c r="C503" s="175"/>
      <c r="D503" s="1271"/>
      <c r="E503" s="1271"/>
      <c r="F503" s="1271"/>
    </row>
    <row r="504" spans="1:7">
      <c r="A504" s="175"/>
      <c r="B504" s="175"/>
      <c r="C504" s="175"/>
      <c r="D504" s="1271"/>
      <c r="E504" s="1271"/>
      <c r="F504" s="1271"/>
    </row>
    <row r="505" spans="1:7">
      <c r="A505" s="175"/>
      <c r="B505" s="175"/>
      <c r="C505" s="175"/>
      <c r="D505" s="486"/>
      <c r="E505" s="486"/>
      <c r="F505" s="486"/>
    </row>
    <row r="506" spans="1:7" ht="14.45" customHeight="1">
      <c r="A506" s="176"/>
      <c r="B506" s="469" t="s">
        <v>308</v>
      </c>
      <c r="D506" s="1293" t="s">
        <v>1154</v>
      </c>
      <c r="E506" s="1293"/>
      <c r="F506" s="1293"/>
    </row>
    <row r="507" spans="1:7">
      <c r="D507" s="1293"/>
      <c r="E507" s="1293"/>
      <c r="F507" s="1293"/>
    </row>
    <row r="508" spans="1:7">
      <c r="D508" s="1293"/>
      <c r="E508" s="1293"/>
      <c r="F508" s="1293"/>
    </row>
    <row r="509" spans="1:7" ht="12" customHeight="1">
      <c r="A509" s="35"/>
      <c r="B509" s="35"/>
      <c r="C509" s="179"/>
      <c r="D509" s="35"/>
      <c r="F509" s="57"/>
    </row>
    <row r="510" spans="1:7">
      <c r="A510" s="1277" t="s">
        <v>1117</v>
      </c>
      <c r="B510" s="1277"/>
      <c r="C510" s="1277"/>
      <c r="D510" s="1277"/>
      <c r="E510" s="1277"/>
      <c r="F510" s="1277"/>
      <c r="G510" s="1277"/>
    </row>
    <row r="511" spans="1:7">
      <c r="A511" s="35"/>
      <c r="B511" s="35"/>
      <c r="C511" s="179"/>
      <c r="F511" s="57"/>
    </row>
    <row r="512" spans="1:7">
      <c r="B512" s="1294" t="s">
        <v>449</v>
      </c>
      <c r="C512" s="1294"/>
      <c r="D512" s="1294"/>
      <c r="E512" s="1294"/>
      <c r="F512" s="1294"/>
    </row>
    <row r="513" spans="1:7">
      <c r="A513" s="35"/>
      <c r="B513" s="35"/>
      <c r="C513" s="179"/>
      <c r="D513" s="35"/>
      <c r="F513" s="35"/>
    </row>
    <row r="514" spans="1:7">
      <c r="A514" s="1308" t="s">
        <v>1118</v>
      </c>
      <c r="B514" s="1308"/>
      <c r="C514" s="1308"/>
      <c r="D514" s="1308"/>
      <c r="E514" s="1308"/>
      <c r="F514" s="1308"/>
      <c r="G514" s="1308"/>
    </row>
    <row r="515" spans="1:7">
      <c r="A515" s="35"/>
      <c r="B515" s="35"/>
      <c r="C515" s="179"/>
      <c r="D515" s="35"/>
      <c r="F515" s="35"/>
    </row>
    <row r="516" spans="1:7">
      <c r="C516" s="179"/>
      <c r="D516" s="1278" t="s">
        <v>692</v>
      </c>
      <c r="E516" s="1278"/>
      <c r="F516" s="1278"/>
    </row>
    <row r="517" spans="1:7">
      <c r="C517" s="179"/>
      <c r="D517" s="1273" t="s">
        <v>1175</v>
      </c>
      <c r="E517" s="1273"/>
      <c r="F517" s="1273"/>
    </row>
    <row r="518" spans="1:7">
      <c r="C518" s="179"/>
      <c r="D518" s="118"/>
      <c r="E518" s="118"/>
      <c r="F518" s="118"/>
    </row>
    <row r="519" spans="1:7" ht="13.15" customHeight="1">
      <c r="A519" s="176"/>
      <c r="B519" s="469" t="s">
        <v>308</v>
      </c>
      <c r="C519" s="179"/>
      <c r="D519" s="1273" t="s">
        <v>913</v>
      </c>
      <c r="E519" s="1273"/>
      <c r="F519" s="1273"/>
      <c r="G519"/>
    </row>
    <row r="520" spans="1:7" ht="13.15" customHeight="1">
      <c r="A520" s="179"/>
      <c r="B520" s="179"/>
      <c r="C520" s="179"/>
      <c r="D520" s="118"/>
      <c r="E520"/>
      <c r="F520"/>
      <c r="G520"/>
    </row>
    <row r="521" spans="1:7" ht="14.25">
      <c r="A521" s="176"/>
      <c r="B521" s="469" t="s">
        <v>308</v>
      </c>
      <c r="C521" s="179"/>
      <c r="D521" s="1262" t="s">
        <v>1176</v>
      </c>
      <c r="E521" s="1262"/>
      <c r="F521" s="1262"/>
      <c r="G521"/>
    </row>
    <row r="522" spans="1:7">
      <c r="A522" s="179"/>
      <c r="B522" s="179"/>
      <c r="C522" s="179"/>
      <c r="D522" s="1262"/>
      <c r="E522" s="1262"/>
      <c r="F522" s="1262"/>
      <c r="G522"/>
    </row>
    <row r="523" spans="1:7">
      <c r="A523" s="179"/>
      <c r="B523" s="179"/>
      <c r="C523" s="179"/>
      <c r="D523" s="35"/>
      <c r="E523" s="35"/>
      <c r="F523" s="35"/>
      <c r="G523"/>
    </row>
    <row r="524" spans="1:7" ht="14.25">
      <c r="A524" s="176"/>
      <c r="B524" s="469" t="s">
        <v>308</v>
      </c>
      <c r="C524" s="179"/>
      <c r="D524" s="1262" t="s">
        <v>1177</v>
      </c>
      <c r="E524" s="1262"/>
      <c r="F524" s="1262"/>
      <c r="G524"/>
    </row>
    <row r="525" spans="1:7">
      <c r="A525" s="179"/>
      <c r="B525" s="179"/>
      <c r="C525" s="179"/>
      <c r="D525" s="1262"/>
      <c r="E525" s="1262"/>
      <c r="F525" s="1262"/>
      <c r="G525"/>
    </row>
    <row r="526" spans="1:7">
      <c r="A526" s="179"/>
      <c r="B526" s="179"/>
      <c r="C526" s="179"/>
      <c r="D526" s="35"/>
      <c r="E526" s="35"/>
      <c r="F526" s="35"/>
      <c r="G526"/>
    </row>
    <row r="527" spans="1:7" ht="14.25">
      <c r="A527" s="176"/>
      <c r="B527" s="469" t="s">
        <v>308</v>
      </c>
      <c r="C527" s="179"/>
      <c r="D527" s="1262" t="s">
        <v>1178</v>
      </c>
      <c r="E527" s="1262"/>
      <c r="F527" s="1262"/>
      <c r="G527"/>
    </row>
    <row r="528" spans="1:7">
      <c r="A528" s="179"/>
      <c r="B528" s="179"/>
      <c r="C528" s="179"/>
      <c r="D528" s="1262"/>
      <c r="E528" s="1262"/>
      <c r="F528" s="1262"/>
      <c r="G528"/>
    </row>
    <row r="529" spans="1:7">
      <c r="A529" s="179"/>
      <c r="B529" s="179"/>
      <c r="C529" s="179"/>
      <c r="D529" s="35"/>
      <c r="E529" s="35"/>
      <c r="F529" s="35"/>
      <c r="G529"/>
    </row>
    <row r="530" spans="1:7" ht="14.25">
      <c r="A530" s="176"/>
      <c r="B530" s="469" t="s">
        <v>308</v>
      </c>
      <c r="C530" s="179"/>
      <c r="D530" s="1262" t="s">
        <v>1179</v>
      </c>
      <c r="E530" s="1262"/>
      <c r="F530" s="1262"/>
      <c r="G530"/>
    </row>
    <row r="531" spans="1:7">
      <c r="A531" s="179"/>
      <c r="B531" s="179"/>
      <c r="C531" s="179"/>
      <c r="D531" s="1262"/>
      <c r="E531" s="1262"/>
      <c r="F531" s="1262"/>
      <c r="G531"/>
    </row>
    <row r="532" spans="1:7">
      <c r="A532" s="179"/>
      <c r="B532" s="179"/>
      <c r="C532" s="179"/>
      <c r="D532" s="1262"/>
      <c r="E532" s="1262"/>
      <c r="F532" s="1262"/>
      <c r="G532"/>
    </row>
    <row r="533" spans="1:7">
      <c r="A533" s="179"/>
      <c r="B533" s="179"/>
      <c r="C533" s="179"/>
      <c r="D533" s="35"/>
      <c r="E533" s="35"/>
      <c r="F533" s="35"/>
    </row>
    <row r="534" spans="1:7" ht="14.25">
      <c r="A534" s="176"/>
      <c r="B534" s="469" t="s">
        <v>308</v>
      </c>
      <c r="C534" s="179"/>
      <c r="D534" s="1262" t="s">
        <v>1297</v>
      </c>
      <c r="E534" s="1262"/>
      <c r="F534" s="1262"/>
    </row>
    <row r="535" spans="1:7">
      <c r="A535" s="179"/>
      <c r="B535" s="179"/>
      <c r="C535" s="179"/>
      <c r="D535" s="1262"/>
      <c r="E535" s="1262"/>
      <c r="F535" s="1262"/>
    </row>
    <row r="536" spans="1:7">
      <c r="A536" s="179"/>
      <c r="B536" s="179"/>
      <c r="C536" s="179"/>
      <c r="D536" s="35"/>
      <c r="E536" s="35"/>
      <c r="F536" s="35"/>
    </row>
    <row r="537" spans="1:7" ht="14.25">
      <c r="A537" s="176"/>
      <c r="B537" s="469" t="s">
        <v>308</v>
      </c>
      <c r="C537" s="179"/>
      <c r="D537" s="1262" t="s">
        <v>1180</v>
      </c>
      <c r="E537" s="1262"/>
      <c r="F537" s="1262"/>
    </row>
    <row r="538" spans="1:7">
      <c r="A538" s="179"/>
      <c r="B538" s="179"/>
      <c r="C538" s="179"/>
      <c r="D538" s="1262"/>
      <c r="E538" s="1262"/>
      <c r="F538" s="1262"/>
    </row>
    <row r="539" spans="1:7">
      <c r="A539" s="179"/>
      <c r="B539" s="179"/>
      <c r="C539" s="179"/>
      <c r="D539" s="35"/>
      <c r="E539" s="35"/>
      <c r="F539" s="35"/>
    </row>
    <row r="540" spans="1:7" ht="14.25">
      <c r="A540" s="176"/>
      <c r="B540" s="469" t="s">
        <v>308</v>
      </c>
      <c r="C540" s="179"/>
      <c r="D540" s="1262" t="s">
        <v>1181</v>
      </c>
      <c r="E540" s="1262"/>
      <c r="F540" s="1262"/>
    </row>
    <row r="541" spans="1:7">
      <c r="A541" s="179"/>
      <c r="B541" s="179"/>
      <c r="C541" s="179"/>
      <c r="D541" s="1262"/>
      <c r="E541" s="1262"/>
      <c r="F541" s="1262"/>
    </row>
    <row r="542" spans="1:7">
      <c r="A542" s="179"/>
      <c r="B542" s="179"/>
      <c r="C542" s="179"/>
      <c r="D542" s="35"/>
      <c r="E542" s="35"/>
      <c r="F542" s="35"/>
    </row>
    <row r="543" spans="1:7" ht="14.25">
      <c r="A543" s="176"/>
      <c r="B543" s="469" t="s">
        <v>308</v>
      </c>
      <c r="C543" s="179"/>
      <c r="D543" s="1273" t="s">
        <v>1182</v>
      </c>
      <c r="E543" s="1273"/>
      <c r="F543" s="1273"/>
    </row>
    <row r="544" spans="1:7">
      <c r="A544" s="13"/>
      <c r="B544" s="13"/>
      <c r="C544" s="179"/>
      <c r="D544" s="1273" t="s">
        <v>846</v>
      </c>
      <c r="E544" s="1273"/>
      <c r="F544" s="1273"/>
    </row>
    <row r="545" spans="1:7">
      <c r="A545" s="13"/>
      <c r="B545" s="13"/>
      <c r="C545" s="179"/>
      <c r="D545" s="3"/>
      <c r="E545" s="1284" t="s">
        <v>1183</v>
      </c>
      <c r="F545" s="1284"/>
    </row>
    <row r="546" spans="1:7" ht="14.25">
      <c r="A546" s="176"/>
      <c r="B546" s="176"/>
      <c r="C546" s="179"/>
      <c r="E546" s="35"/>
      <c r="F546" s="35"/>
    </row>
    <row r="547" spans="1:7" ht="14.25">
      <c r="A547" s="176"/>
      <c r="B547" s="469" t="s">
        <v>308</v>
      </c>
      <c r="C547" s="179"/>
      <c r="D547" s="1273" t="s">
        <v>1184</v>
      </c>
      <c r="E547" s="1273"/>
      <c r="F547" s="1273"/>
    </row>
    <row r="548" spans="1:7">
      <c r="C548" s="179"/>
      <c r="D548" s="1262" t="s">
        <v>1185</v>
      </c>
      <c r="E548" s="1262"/>
      <c r="F548" s="1262"/>
    </row>
    <row r="549" spans="1:7">
      <c r="A549" s="179"/>
      <c r="B549" s="179"/>
      <c r="C549" s="179"/>
      <c r="D549" s="1262"/>
      <c r="E549" s="1262"/>
      <c r="F549" s="1262"/>
    </row>
    <row r="550" spans="1:7">
      <c r="A550" s="179"/>
      <c r="B550" s="179"/>
      <c r="C550" s="179"/>
      <c r="D550" s="1262"/>
      <c r="E550" s="1262"/>
      <c r="F550" s="1262"/>
    </row>
    <row r="551" spans="1:7">
      <c r="A551" s="179"/>
      <c r="B551" s="179"/>
      <c r="C551" s="179"/>
      <c r="D551" s="35"/>
      <c r="E551" s="35"/>
      <c r="F551" s="35"/>
    </row>
    <row r="552" spans="1:7" ht="14.25">
      <c r="A552" s="176"/>
      <c r="B552" s="469" t="s">
        <v>308</v>
      </c>
      <c r="C552" s="179"/>
      <c r="D552" s="1262" t="s">
        <v>1186</v>
      </c>
      <c r="E552" s="1262"/>
      <c r="F552" s="1262"/>
    </row>
    <row r="553" spans="1:7" ht="14.25">
      <c r="A553" s="176"/>
      <c r="B553" s="176"/>
      <c r="C553" s="179"/>
      <c r="D553" s="1262"/>
      <c r="E553" s="1262"/>
      <c r="F553" s="1262"/>
    </row>
    <row r="554" spans="1:7" ht="14.25">
      <c r="A554" s="176"/>
      <c r="B554" s="176"/>
      <c r="C554" s="179"/>
      <c r="D554" s="1262"/>
      <c r="E554" s="1262"/>
      <c r="F554" s="1262"/>
    </row>
    <row r="555" spans="1:7" ht="14.25">
      <c r="A555" s="176"/>
      <c r="B555" s="176"/>
      <c r="C555" s="179"/>
      <c r="D555" s="1262"/>
      <c r="E555" s="1262"/>
      <c r="F555" s="1262"/>
    </row>
    <row r="556" spans="1:7" ht="14.25">
      <c r="A556" s="176"/>
      <c r="B556" s="176"/>
      <c r="C556" s="179"/>
      <c r="D556" s="35"/>
      <c r="E556" s="35"/>
      <c r="F556" s="35"/>
    </row>
    <row r="557" spans="1:7">
      <c r="A557" s="1277" t="s">
        <v>1119</v>
      </c>
      <c r="B557" s="1277"/>
      <c r="C557" s="1277"/>
      <c r="D557" s="1277"/>
      <c r="E557" s="1277"/>
      <c r="F557" s="1277"/>
      <c r="G557" s="1277"/>
    </row>
    <row r="558" spans="1:7">
      <c r="A558" s="179"/>
      <c r="B558" s="179"/>
      <c r="C558" s="179"/>
      <c r="E558" s="35"/>
      <c r="F558" s="35"/>
    </row>
    <row r="559" spans="1:7" ht="12.75" customHeight="1">
      <c r="C559" s="172"/>
      <c r="D559" s="1295" t="s">
        <v>211</v>
      </c>
      <c r="E559" s="1295"/>
      <c r="F559" s="1295"/>
    </row>
    <row r="560" spans="1:7">
      <c r="A560" s="175"/>
      <c r="B560" s="175"/>
      <c r="C560" s="175"/>
      <c r="D560" s="1276" t="s">
        <v>1135</v>
      </c>
      <c r="E560" s="1276"/>
      <c r="F560" s="1276"/>
    </row>
    <row r="561" spans="1:6">
      <c r="A561"/>
      <c r="B561"/>
      <c r="C561" s="175"/>
      <c r="D561" s="255"/>
    </row>
    <row r="562" spans="1:6">
      <c r="A562" s="175"/>
      <c r="B562" s="469" t="s">
        <v>308</v>
      </c>
      <c r="D562" s="1276" t="s">
        <v>919</v>
      </c>
      <c r="E562" s="1276"/>
      <c r="F562" s="1276"/>
    </row>
    <row r="563" spans="1:6">
      <c r="A563" s="13"/>
      <c r="B563" s="13"/>
      <c r="D563" s="218"/>
    </row>
    <row r="564" spans="1:6">
      <c r="A564" s="13"/>
      <c r="B564" s="469" t="s">
        <v>308</v>
      </c>
      <c r="D564" s="1276" t="s">
        <v>1136</v>
      </c>
      <c r="E564" s="1276"/>
      <c r="F564" s="1276"/>
    </row>
    <row r="565" spans="1:6">
      <c r="A565" s="13"/>
      <c r="B565" s="13"/>
      <c r="D565" s="1276"/>
      <c r="E565" s="1276"/>
      <c r="F565" s="1276"/>
    </row>
    <row r="566" spans="1:6">
      <c r="A566" s="13"/>
      <c r="B566" s="13"/>
      <c r="D566" s="1276"/>
      <c r="E566" s="1276"/>
      <c r="F566" s="1276"/>
    </row>
    <row r="567" spans="1:6">
      <c r="A567" s="13"/>
      <c r="B567" s="13"/>
      <c r="D567" s="255"/>
    </row>
    <row r="568" spans="1:6">
      <c r="A568" s="13"/>
      <c r="B568" s="469" t="s">
        <v>308</v>
      </c>
      <c r="D568" s="1276" t="s">
        <v>1137</v>
      </c>
      <c r="E568" s="1276"/>
      <c r="F568" s="1276"/>
    </row>
    <row r="569" spans="1:6">
      <c r="A569" s="13"/>
      <c r="B569" s="13"/>
      <c r="D569" s="1276"/>
      <c r="E569" s="1276"/>
      <c r="F569" s="1276"/>
    </row>
    <row r="570" spans="1:6">
      <c r="A570" s="13"/>
      <c r="B570" s="13"/>
      <c r="D570" s="1276"/>
      <c r="E570" s="1276"/>
      <c r="F570" s="1276"/>
    </row>
    <row r="571" spans="1:6">
      <c r="A571" s="13"/>
      <c r="B571" s="13"/>
      <c r="D571" s="1276"/>
      <c r="E571" s="1276"/>
      <c r="F571" s="1276"/>
    </row>
    <row r="572" spans="1:6">
      <c r="A572" s="13"/>
      <c r="B572" s="13"/>
      <c r="D572" s="474"/>
      <c r="E572" s="474"/>
      <c r="F572" s="474"/>
    </row>
    <row r="573" spans="1:6">
      <c r="A573" s="13"/>
      <c r="B573" s="469" t="s">
        <v>308</v>
      </c>
      <c r="D573" s="1276" t="s">
        <v>1138</v>
      </c>
      <c r="E573" s="1276"/>
      <c r="F573" s="1276"/>
    </row>
    <row r="574" spans="1:6">
      <c r="A574" s="13"/>
      <c r="B574" s="13"/>
      <c r="D574" s="1276"/>
      <c r="E574" s="1276"/>
      <c r="F574" s="1276"/>
    </row>
    <row r="575" spans="1:6">
      <c r="A575" s="13"/>
      <c r="B575" s="13"/>
      <c r="D575" s="255"/>
    </row>
    <row r="576" spans="1:6">
      <c r="A576" s="13"/>
      <c r="B576" s="469" t="s">
        <v>308</v>
      </c>
      <c r="D576" s="1276" t="s">
        <v>1139</v>
      </c>
      <c r="E576" s="1276"/>
      <c r="F576" s="1276"/>
    </row>
    <row r="577" spans="1:7">
      <c r="A577" s="13"/>
      <c r="B577" s="13"/>
      <c r="D577" s="1276"/>
      <c r="E577" s="1276"/>
      <c r="F577" s="1276"/>
    </row>
    <row r="578" spans="1:7">
      <c r="A578" s="13"/>
      <c r="B578" s="13"/>
      <c r="D578" s="255"/>
    </row>
    <row r="579" spans="1:7" ht="14.25">
      <c r="A579" s="176"/>
      <c r="B579" s="469" t="s">
        <v>308</v>
      </c>
      <c r="D579" s="1276" t="s">
        <v>914</v>
      </c>
      <c r="E579" s="1276"/>
      <c r="F579" s="1276"/>
    </row>
    <row r="580" spans="1:7" ht="14.25">
      <c r="A580" s="176"/>
      <c r="B580" s="176"/>
      <c r="D580" s="255"/>
    </row>
    <row r="581" spans="1:7" ht="14.25">
      <c r="A581" s="176"/>
      <c r="B581" s="469" t="s">
        <v>308</v>
      </c>
      <c r="D581" s="1276" t="s">
        <v>1140</v>
      </c>
      <c r="E581" s="1276"/>
      <c r="F581" s="1276"/>
    </row>
    <row r="582" spans="1:7" ht="14.25">
      <c r="A582" s="176"/>
      <c r="B582" s="176"/>
      <c r="D582" s="1276"/>
      <c r="E582" s="1276"/>
      <c r="F582" s="1276"/>
    </row>
    <row r="583" spans="1:7">
      <c r="D583" s="1276"/>
      <c r="E583" s="1276"/>
      <c r="F583" s="1276"/>
    </row>
    <row r="584" spans="1:7">
      <c r="D584" s="1276"/>
      <c r="E584" s="1276"/>
      <c r="F584" s="1276"/>
    </row>
    <row r="585" spans="1:7">
      <c r="D585" s="1276"/>
      <c r="E585" s="1276"/>
      <c r="F585" s="1276"/>
    </row>
    <row r="586" spans="1:7">
      <c r="D586" s="1276"/>
      <c r="E586" s="1276"/>
      <c r="F586" s="1276"/>
    </row>
    <row r="587" spans="1:7"/>
    <row r="588" spans="1:7">
      <c r="A588" s="1277" t="s">
        <v>1120</v>
      </c>
      <c r="B588" s="1277"/>
      <c r="C588" s="1277"/>
      <c r="D588" s="1277"/>
      <c r="E588" s="1277"/>
      <c r="F588" s="1277"/>
      <c r="G588" s="1277"/>
    </row>
    <row r="589" spans="1:7"/>
    <row r="590" spans="1:7">
      <c r="D590" s="1288" t="s">
        <v>1220</v>
      </c>
      <c r="E590" s="1288"/>
      <c r="F590" s="1288"/>
    </row>
    <row r="591" spans="1:7">
      <c r="D591" s="1311" t="s">
        <v>1221</v>
      </c>
      <c r="E591" s="1311"/>
      <c r="F591" s="1311"/>
    </row>
    <row r="592" spans="1:7">
      <c r="D592" s="479"/>
      <c r="E592" s="434"/>
      <c r="F592" s="434"/>
    </row>
    <row r="593" spans="1:7" ht="14.25">
      <c r="A593" s="176"/>
      <c r="B593" s="469" t="s">
        <v>308</v>
      </c>
      <c r="D593" s="1289" t="s">
        <v>1222</v>
      </c>
      <c r="E593" s="1289"/>
      <c r="F593" s="1289"/>
    </row>
    <row r="594" spans="1:7">
      <c r="D594" s="1289"/>
      <c r="E594" s="1289"/>
      <c r="F594" s="1289"/>
    </row>
    <row r="595" spans="1:7">
      <c r="D595" s="1289"/>
      <c r="E595" s="1289"/>
      <c r="F595" s="1289"/>
    </row>
    <row r="596" spans="1:7"/>
    <row r="597" spans="1:7">
      <c r="A597" s="1277" t="s">
        <v>1121</v>
      </c>
      <c r="B597" s="1277"/>
      <c r="C597" s="1277"/>
      <c r="D597" s="1277"/>
      <c r="E597" s="1277"/>
      <c r="F597" s="1277"/>
      <c r="G597" s="1277"/>
    </row>
    <row r="598" spans="1:7">
      <c r="A598" s="35"/>
      <c r="B598" s="35"/>
    </row>
    <row r="599" spans="1:7">
      <c r="A599" s="172"/>
      <c r="B599" s="172"/>
      <c r="C599" s="172"/>
      <c r="D599" s="1312" t="s">
        <v>1223</v>
      </c>
      <c r="E599" s="1312"/>
      <c r="F599" s="1312"/>
    </row>
    <row r="600" spans="1:7">
      <c r="A600" s="172"/>
      <c r="B600" s="172"/>
      <c r="C600" s="172"/>
      <c r="D600" s="1312"/>
      <c r="E600" s="1312"/>
      <c r="F600" s="1312"/>
    </row>
    <row r="601" spans="1:7">
      <c r="C601" s="175"/>
      <c r="D601" s="1311" t="s">
        <v>1224</v>
      </c>
      <c r="E601" s="1311"/>
      <c r="F601" s="1311"/>
    </row>
    <row r="602" spans="1:7">
      <c r="C602" s="175"/>
      <c r="D602" s="479"/>
      <c r="E602" s="479"/>
      <c r="F602" s="479"/>
    </row>
    <row r="603" spans="1:7">
      <c r="A603" s="13"/>
      <c r="B603" s="469" t="s">
        <v>308</v>
      </c>
      <c r="D603" s="1311" t="s">
        <v>433</v>
      </c>
      <c r="E603" s="1311"/>
      <c r="F603" s="1311"/>
    </row>
    <row r="604" spans="1:7">
      <c r="C604" s="180"/>
      <c r="E604"/>
    </row>
    <row r="605" spans="1:7">
      <c r="A605" s="13"/>
      <c r="B605" s="469" t="s">
        <v>308</v>
      </c>
      <c r="D605" s="1287" t="s">
        <v>1225</v>
      </c>
      <c r="E605" s="1287"/>
      <c r="F605" s="1287"/>
    </row>
    <row r="606" spans="1:7">
      <c r="D606" s="1287"/>
      <c r="E606" s="1287"/>
      <c r="F606" s="1287"/>
    </row>
    <row r="607" spans="1:7">
      <c r="D607"/>
    </row>
    <row r="608" spans="1:7">
      <c r="B608" s="469" t="s">
        <v>308</v>
      </c>
      <c r="D608" s="1287" t="s">
        <v>1226</v>
      </c>
      <c r="E608" s="1287"/>
      <c r="F608" s="1287"/>
    </row>
    <row r="609" spans="1:7">
      <c r="C609" s="180"/>
      <c r="D609" s="1287"/>
      <c r="E609" s="1287"/>
      <c r="F609" s="1287"/>
    </row>
    <row r="610" spans="1:7">
      <c r="C610" s="180"/>
    </row>
    <row r="611" spans="1:7">
      <c r="B611" s="469" t="s">
        <v>308</v>
      </c>
      <c r="C611" s="180"/>
      <c r="D611" s="1287" t="s">
        <v>1227</v>
      </c>
      <c r="E611" s="1287"/>
      <c r="F611" s="1287"/>
    </row>
    <row r="612" spans="1:7">
      <c r="C612" s="180"/>
      <c r="D612" s="1287"/>
      <c r="E612" s="1287"/>
      <c r="F612" s="1287"/>
    </row>
    <row r="613" spans="1:7">
      <c r="C613" s="180"/>
    </row>
    <row r="614" spans="1:7">
      <c r="A614" s="1277" t="s">
        <v>1122</v>
      </c>
      <c r="B614" s="1277"/>
      <c r="C614" s="1277"/>
      <c r="D614" s="1277"/>
      <c r="E614" s="1277"/>
      <c r="F614" s="1277"/>
      <c r="G614" s="1277"/>
    </row>
    <row r="615" spans="1:7">
      <c r="A615" s="172"/>
      <c r="B615" s="172"/>
      <c r="C615" s="172"/>
    </row>
    <row r="616" spans="1:7">
      <c r="C616" s="13"/>
      <c r="D616" s="1288" t="s">
        <v>1228</v>
      </c>
      <c r="E616" s="1288"/>
      <c r="F616" s="1288"/>
    </row>
    <row r="617" spans="1:7">
      <c r="A617" s="13"/>
      <c r="B617" s="13"/>
      <c r="D617" s="2"/>
    </row>
    <row r="618" spans="1:7" ht="14.25">
      <c r="A618" s="176"/>
      <c r="B618" s="469" t="s">
        <v>308</v>
      </c>
      <c r="D618" s="1289" t="s">
        <v>1229</v>
      </c>
      <c r="E618" s="1289"/>
      <c r="F618" s="1289"/>
    </row>
    <row r="619" spans="1:7">
      <c r="D619" s="1289"/>
      <c r="E619" s="1289"/>
      <c r="F619" s="1289"/>
    </row>
    <row r="620" spans="1:7">
      <c r="D620" s="1289"/>
      <c r="E620" s="1289"/>
      <c r="F620" s="1289"/>
    </row>
    <row r="621" spans="1:7">
      <c r="D621" s="1289"/>
      <c r="E621" s="1289"/>
      <c r="F621" s="1289"/>
    </row>
    <row r="622" spans="1:7">
      <c r="D622" s="1289"/>
      <c r="E622" s="1289"/>
      <c r="F622" s="1289"/>
    </row>
    <row r="623" spans="1:7">
      <c r="D623" s="1289"/>
      <c r="E623" s="1289"/>
      <c r="F623" s="1289"/>
    </row>
    <row r="624" spans="1:7">
      <c r="D624" s="480"/>
      <c r="E624" s="480"/>
      <c r="F624" s="480"/>
    </row>
    <row r="625" spans="1:7" ht="14.25">
      <c r="A625" s="176"/>
      <c r="B625" s="469" t="s">
        <v>308</v>
      </c>
      <c r="D625" s="1289" t="s">
        <v>1230</v>
      </c>
      <c r="E625" s="1289"/>
      <c r="F625" s="1289"/>
    </row>
    <row r="626" spans="1:7">
      <c r="A626" s="179"/>
      <c r="B626" s="179"/>
      <c r="C626" s="179"/>
      <c r="D626" s="1289"/>
      <c r="E626" s="1289"/>
      <c r="F626" s="1289"/>
    </row>
    <row r="627" spans="1:7">
      <c r="A627" s="179"/>
      <c r="B627" s="179"/>
      <c r="C627" s="179"/>
      <c r="D627" s="35"/>
      <c r="E627" s="35"/>
      <c r="F627" s="35"/>
    </row>
    <row r="628" spans="1:7" ht="14.25">
      <c r="A628" s="176"/>
      <c r="B628" s="469" t="s">
        <v>308</v>
      </c>
      <c r="C628" s="179"/>
      <c r="D628" s="1289" t="s">
        <v>1231</v>
      </c>
      <c r="E628" s="1289"/>
      <c r="F628" s="1289"/>
    </row>
    <row r="629" spans="1:7" ht="14.25">
      <c r="A629" s="176"/>
      <c r="B629" s="176"/>
      <c r="C629" s="179"/>
      <c r="D629" s="1289"/>
      <c r="E629" s="1289"/>
      <c r="F629" s="1289"/>
    </row>
    <row r="630" spans="1:7" ht="14.25">
      <c r="A630" s="176"/>
      <c r="B630" s="176"/>
      <c r="C630" s="179"/>
      <c r="D630" s="1289"/>
      <c r="E630" s="1289"/>
      <c r="F630" s="1289"/>
    </row>
    <row r="631" spans="1:7">
      <c r="A631" s="179"/>
      <c r="B631" s="179"/>
      <c r="C631" s="179"/>
      <c r="D631" s="1289"/>
      <c r="E631" s="1289"/>
      <c r="F631" s="1289"/>
    </row>
    <row r="632" spans="1:7">
      <c r="A632" s="179"/>
      <c r="B632" s="179"/>
      <c r="C632" s="179"/>
      <c r="D632" s="480"/>
      <c r="E632" s="480"/>
      <c r="F632" s="480"/>
    </row>
    <row r="633" spans="1:7">
      <c r="A633" s="179"/>
      <c r="B633" s="469" t="s">
        <v>308</v>
      </c>
      <c r="C633" s="179"/>
      <c r="D633" s="1290" t="s">
        <v>1232</v>
      </c>
      <c r="E633" s="1290"/>
      <c r="F633" s="1290"/>
    </row>
    <row r="634" spans="1:7">
      <c r="A634" s="179"/>
      <c r="B634" s="179"/>
      <c r="C634" s="179"/>
      <c r="D634" s="481"/>
      <c r="E634" s="481"/>
      <c r="F634" s="481"/>
    </row>
    <row r="635" spans="1:7">
      <c r="A635" s="1277" t="s">
        <v>1123</v>
      </c>
      <c r="B635" s="1277"/>
      <c r="C635" s="1277"/>
      <c r="D635" s="1277"/>
      <c r="E635" s="1277"/>
      <c r="F635" s="1277"/>
      <c r="G635" s="1277"/>
    </row>
    <row r="636" spans="1:7">
      <c r="A636" s="35"/>
      <c r="B636" s="35"/>
      <c r="C636" s="179"/>
      <c r="D636" s="35"/>
      <c r="E636" s="35"/>
      <c r="F636" s="35"/>
    </row>
    <row r="637" spans="1:7">
      <c r="C637" s="172"/>
      <c r="D637" s="1278" t="s">
        <v>1282</v>
      </c>
      <c r="E637" s="1278"/>
      <c r="F637" s="1278"/>
    </row>
    <row r="638" spans="1:7">
      <c r="A638" s="175"/>
      <c r="B638" s="175"/>
      <c r="C638" s="175"/>
      <c r="D638" s="1273" t="s">
        <v>1283</v>
      </c>
      <c r="E638" s="1273"/>
      <c r="F638" s="1273"/>
    </row>
    <row r="639" spans="1:7">
      <c r="A639" s="175"/>
      <c r="B639" s="175"/>
      <c r="C639" s="175"/>
      <c r="D639" s="118"/>
      <c r="E639" s="118"/>
      <c r="F639" s="118"/>
    </row>
    <row r="640" spans="1:7" ht="14.45" customHeight="1">
      <c r="A640" s="176"/>
      <c r="B640" s="469" t="s">
        <v>308</v>
      </c>
      <c r="C640" s="179"/>
      <c r="D640" s="1262" t="s">
        <v>1284</v>
      </c>
      <c r="E640" s="1262"/>
      <c r="F640" s="1262"/>
    </row>
    <row r="641" spans="1:11" ht="14.25">
      <c r="A641" s="176"/>
      <c r="B641" s="176"/>
      <c r="C641" s="179"/>
      <c r="D641" s="1262"/>
      <c r="E641" s="1262"/>
      <c r="F641" s="1262"/>
    </row>
    <row r="642" spans="1:11" ht="14.25">
      <c r="A642" s="176"/>
      <c r="B642" s="176"/>
      <c r="C642" s="179"/>
      <c r="D642" s="1262"/>
      <c r="E642" s="1262"/>
      <c r="F642" s="1262"/>
    </row>
    <row r="643" spans="1:11" ht="14.25">
      <c r="A643" s="176"/>
      <c r="B643" s="176"/>
      <c r="C643" s="179"/>
      <c r="D643" s="1262"/>
      <c r="E643" s="1262"/>
      <c r="F643" s="1262"/>
    </row>
    <row r="644" spans="1:11" ht="14.25">
      <c r="A644" s="176"/>
      <c r="B644" s="176"/>
      <c r="C644" s="179"/>
      <c r="D644" s="1262"/>
      <c r="E644" s="1262"/>
      <c r="F644" s="1262"/>
    </row>
    <row r="645" spans="1:11" ht="14.25">
      <c r="A645" s="176"/>
      <c r="B645" s="176"/>
      <c r="C645" s="179"/>
      <c r="D645" s="475"/>
      <c r="E645" s="475"/>
      <c r="F645" s="475"/>
    </row>
    <row r="646" spans="1:11" ht="14.25">
      <c r="A646" s="176"/>
      <c r="B646" s="469" t="s">
        <v>308</v>
      </c>
      <c r="C646" s="179"/>
      <c r="D646" s="1301" t="s">
        <v>1134</v>
      </c>
      <c r="E646" s="1301"/>
      <c r="F646" s="1301"/>
    </row>
    <row r="647" spans="1:11" ht="14.25">
      <c r="A647" s="176"/>
      <c r="B647" s="176"/>
      <c r="C647" s="179"/>
      <c r="D647" s="1302" t="s">
        <v>1285</v>
      </c>
      <c r="E647" s="1302"/>
      <c r="F647" s="1302"/>
    </row>
    <row r="648" spans="1:11" ht="14.25">
      <c r="A648" s="176"/>
      <c r="B648" s="176"/>
      <c r="C648" s="179"/>
      <c r="D648" s="1302"/>
      <c r="E648" s="1302"/>
      <c r="F648" s="1302"/>
    </row>
    <row r="649" spans="1:11" ht="14.25">
      <c r="A649" s="176"/>
      <c r="B649" s="176"/>
      <c r="C649" s="179"/>
      <c r="D649" s="1302"/>
      <c r="E649" s="1302"/>
      <c r="F649" s="1302"/>
    </row>
    <row r="650" spans="1:11" ht="14.25">
      <c r="A650" s="176"/>
      <c r="B650" s="176"/>
      <c r="C650" s="179"/>
      <c r="D650" s="1302"/>
      <c r="E650" s="1302"/>
      <c r="F650" s="1302"/>
    </row>
    <row r="651" spans="1:11" ht="14.25">
      <c r="A651" s="176"/>
      <c r="B651" s="176"/>
      <c r="C651" s="179"/>
      <c r="D651" s="1302"/>
      <c r="E651" s="1302"/>
      <c r="F651" s="1302"/>
    </row>
    <row r="652" spans="1:11" ht="14.25">
      <c r="A652" s="176"/>
      <c r="B652" s="176"/>
      <c r="C652" s="179"/>
      <c r="D652" s="1303" t="s">
        <v>1286</v>
      </c>
      <c r="E652" s="1303"/>
      <c r="F652" s="1303"/>
    </row>
    <row r="653" spans="1:11">
      <c r="A653" s="179"/>
      <c r="B653" s="179"/>
      <c r="C653" s="179"/>
      <c r="D653" s="35"/>
      <c r="E653" s="35"/>
      <c r="F653" s="35"/>
    </row>
    <row r="654" spans="1:11">
      <c r="A654" s="1277" t="s">
        <v>1124</v>
      </c>
      <c r="B654" s="1277"/>
      <c r="C654" s="1277"/>
      <c r="D654" s="1277"/>
      <c r="E654" s="1277"/>
      <c r="F654" s="1277"/>
      <c r="G654" s="1277"/>
      <c r="H654" s="181"/>
      <c r="I654" s="181"/>
      <c r="J654" s="181"/>
      <c r="K654" s="181"/>
    </row>
    <row r="655" spans="1:11">
      <c r="A655" s="483"/>
      <c r="B655" s="483"/>
      <c r="C655" s="483"/>
      <c r="D655" s="483"/>
      <c r="E655" s="483"/>
      <c r="F655" s="483"/>
      <c r="G655" s="483"/>
      <c r="H655" s="181"/>
      <c r="I655" s="181"/>
      <c r="J655" s="181"/>
      <c r="K655" s="181"/>
    </row>
    <row r="656" spans="1:11">
      <c r="C656" s="172"/>
      <c r="D656" s="1278" t="s">
        <v>100</v>
      </c>
      <c r="E656" s="1278"/>
      <c r="F656" s="1278"/>
      <c r="H656" s="181"/>
      <c r="I656" s="181"/>
      <c r="J656" s="181"/>
      <c r="K656" s="181"/>
    </row>
    <row r="657" spans="1:11">
      <c r="A657" s="172"/>
      <c r="B657" s="172"/>
      <c r="C657" s="172"/>
      <c r="D657" s="1278" t="s">
        <v>124</v>
      </c>
      <c r="E657" s="1278"/>
      <c r="F657" s="1278"/>
      <c r="H657" s="181"/>
      <c r="I657" s="181"/>
      <c r="J657" s="181"/>
      <c r="K657" s="181"/>
    </row>
    <row r="658" spans="1:11">
      <c r="A658" s="175"/>
      <c r="B658" s="175"/>
      <c r="C658" s="175"/>
      <c r="D658" s="1273" t="s">
        <v>1160</v>
      </c>
      <c r="E658" s="1273"/>
      <c r="F658" s="1273"/>
      <c r="H658" s="181"/>
      <c r="I658" s="181"/>
      <c r="J658" s="181"/>
      <c r="K658" s="181"/>
    </row>
    <row r="659" spans="1:11">
      <c r="A659" s="175"/>
      <c r="B659" s="175"/>
      <c r="C659" s="175"/>
      <c r="H659" s="181"/>
      <c r="I659" s="181"/>
      <c r="J659" s="181"/>
      <c r="K659" s="181"/>
    </row>
    <row r="660" spans="1:11" ht="14.25">
      <c r="A660" s="176"/>
      <c r="B660" s="469" t="s">
        <v>308</v>
      </c>
      <c r="C660" s="175"/>
      <c r="D660" s="1273" t="s">
        <v>915</v>
      </c>
      <c r="E660" s="1273"/>
      <c r="F660" s="1273"/>
      <c r="H660" s="181"/>
      <c r="I660" s="181"/>
      <c r="J660" s="181"/>
      <c r="K660" s="181"/>
    </row>
    <row r="661" spans="1:11">
      <c r="A661" s="175"/>
      <c r="B661" s="175"/>
      <c r="C661" s="175"/>
      <c r="D661" s="1273" t="s">
        <v>926</v>
      </c>
      <c r="E661" s="1273"/>
      <c r="F661" s="1273"/>
      <c r="H661" s="181"/>
      <c r="I661" s="181"/>
      <c r="J661" s="181"/>
      <c r="K661" s="181"/>
    </row>
    <row r="662" spans="1:11">
      <c r="A662" s="175"/>
      <c r="B662" s="175"/>
      <c r="C662" s="175"/>
      <c r="D662" s="3"/>
      <c r="E662" s="1272" t="s">
        <v>1161</v>
      </c>
      <c r="F662" s="1272"/>
      <c r="H662" s="181"/>
      <c r="I662" s="181"/>
      <c r="J662" s="181"/>
      <c r="K662" s="181"/>
    </row>
    <row r="663" spans="1:11">
      <c r="A663" s="175"/>
      <c r="B663" s="175"/>
      <c r="C663" s="175"/>
      <c r="D663" s="3"/>
      <c r="E663" s="1272"/>
      <c r="F663" s="1272"/>
      <c r="H663" s="181"/>
      <c r="I663" s="181"/>
      <c r="J663" s="181"/>
      <c r="K663" s="181"/>
    </row>
    <row r="664" spans="1:11">
      <c r="A664" s="175"/>
      <c r="B664" s="175"/>
      <c r="C664" s="175"/>
      <c r="D664" s="182"/>
      <c r="E664" s="35"/>
      <c r="H664" s="181"/>
      <c r="I664" s="181"/>
      <c r="J664" s="181"/>
      <c r="K664" s="181"/>
    </row>
    <row r="665" spans="1:11" ht="14.25">
      <c r="A665" s="176"/>
      <c r="B665" s="469" t="s">
        <v>308</v>
      </c>
      <c r="C665" s="175"/>
      <c r="D665" s="1262" t="s">
        <v>1162</v>
      </c>
      <c r="E665" s="1262"/>
      <c r="F665" s="1262"/>
      <c r="H665" s="181"/>
      <c r="I665" s="181"/>
      <c r="J665" s="181"/>
      <c r="K665" s="181"/>
    </row>
    <row r="666" spans="1:11">
      <c r="A666" s="13"/>
      <c r="B666" s="13"/>
      <c r="C666" s="175"/>
      <c r="D666" s="1262"/>
      <c r="E666" s="1262"/>
      <c r="F666" s="1262"/>
      <c r="H666" s="181"/>
      <c r="I666" s="181"/>
      <c r="J666" s="181"/>
      <c r="K666" s="181"/>
    </row>
    <row r="667" spans="1:11">
      <c r="A667" s="175"/>
      <c r="B667" s="175"/>
      <c r="C667" s="175"/>
      <c r="D667" s="1262"/>
      <c r="E667" s="1262"/>
      <c r="F667" s="1262"/>
      <c r="H667" s="181"/>
      <c r="I667" s="181"/>
      <c r="J667" s="181"/>
      <c r="K667" s="181"/>
    </row>
    <row r="668" spans="1:11">
      <c r="A668" s="175"/>
      <c r="B668" s="175"/>
      <c r="C668" s="175"/>
      <c r="H668" s="181"/>
      <c r="I668" s="181"/>
      <c r="J668" s="181"/>
      <c r="K668" s="181"/>
    </row>
    <row r="669" spans="1:11" ht="14.25">
      <c r="A669" s="176"/>
      <c r="B669" s="469" t="s">
        <v>308</v>
      </c>
      <c r="C669" s="175"/>
      <c r="D669" s="1273" t="s">
        <v>954</v>
      </c>
      <c r="E669" s="1273"/>
      <c r="F669" s="1273"/>
      <c r="H669" s="181"/>
      <c r="I669" s="181"/>
      <c r="J669" s="181"/>
      <c r="K669" s="181"/>
    </row>
    <row r="670" spans="1:11" ht="14.25">
      <c r="A670" s="176"/>
      <c r="B670" s="176"/>
      <c r="C670" s="175"/>
      <c r="D670" s="1273" t="s">
        <v>926</v>
      </c>
      <c r="E670" s="1273"/>
      <c r="F670" s="1273"/>
      <c r="H670" s="181"/>
      <c r="I670" s="181"/>
      <c r="J670" s="181"/>
      <c r="K670" s="181"/>
    </row>
    <row r="671" spans="1:11">
      <c r="A671" s="175"/>
      <c r="B671" s="175"/>
      <c r="C671" s="175"/>
      <c r="D671" s="3"/>
      <c r="E671" s="1284" t="s">
        <v>1163</v>
      </c>
      <c r="F671" s="1284"/>
      <c r="H671" s="181"/>
      <c r="I671" s="181"/>
      <c r="J671" s="181"/>
      <c r="K671" s="181"/>
    </row>
    <row r="672" spans="1:11">
      <c r="A672" s="175"/>
      <c r="B672" s="175"/>
      <c r="C672" s="175"/>
      <c r="D672" s="2"/>
      <c r="H672" s="181"/>
      <c r="I672" s="181"/>
      <c r="J672" s="181"/>
      <c r="K672" s="181"/>
    </row>
    <row r="673" spans="1:11" ht="14.25">
      <c r="A673" s="176"/>
      <c r="B673" s="469" t="s">
        <v>308</v>
      </c>
      <c r="C673" s="175"/>
      <c r="D673" s="1262" t="s">
        <v>1173</v>
      </c>
      <c r="E673" s="1262"/>
      <c r="F673" s="1262"/>
      <c r="H673" s="181"/>
      <c r="I673" s="181"/>
      <c r="J673" s="181"/>
      <c r="K673" s="181"/>
    </row>
    <row r="674" spans="1:11">
      <c r="A674" s="175"/>
      <c r="B674" s="175"/>
      <c r="C674" s="175"/>
      <c r="D674" s="1262"/>
      <c r="E674" s="1262"/>
      <c r="F674" s="1262"/>
      <c r="H674" s="181"/>
      <c r="I674" s="181"/>
      <c r="J674" s="181"/>
      <c r="K674" s="181"/>
    </row>
    <row r="675" spans="1:11">
      <c r="A675" s="175"/>
      <c r="B675" s="175"/>
      <c r="C675" s="175"/>
      <c r="D675" s="1262"/>
      <c r="E675" s="1262"/>
      <c r="F675" s="1262"/>
      <c r="H675" s="181"/>
      <c r="I675" s="181"/>
      <c r="J675" s="181"/>
      <c r="K675" s="181"/>
    </row>
    <row r="676" spans="1:11">
      <c r="A676" s="175"/>
      <c r="B676" s="175"/>
      <c r="C676" s="175"/>
      <c r="D676" s="1262"/>
      <c r="E676" s="1262"/>
      <c r="F676" s="1262"/>
      <c r="H676" s="181"/>
      <c r="I676" s="181"/>
      <c r="J676" s="181"/>
      <c r="K676" s="181"/>
    </row>
    <row r="677" spans="1:11">
      <c r="A677" s="175"/>
      <c r="B677" s="175"/>
      <c r="C677" s="175"/>
      <c r="D677" s="1262"/>
      <c r="E677" s="1262"/>
      <c r="F677" s="1262"/>
      <c r="H677" s="181"/>
      <c r="I677" s="181"/>
      <c r="J677" s="181"/>
      <c r="K677" s="181"/>
    </row>
    <row r="678" spans="1:11">
      <c r="A678" s="175"/>
      <c r="B678" s="175"/>
      <c r="C678" s="175"/>
      <c r="D678" s="1262"/>
      <c r="E678" s="1262"/>
      <c r="F678" s="1262"/>
      <c r="H678" s="181"/>
      <c r="I678" s="181"/>
      <c r="J678" s="181"/>
      <c r="K678" s="181"/>
    </row>
    <row r="679" spans="1:11">
      <c r="A679" s="175"/>
      <c r="B679" s="175"/>
      <c r="C679" s="175"/>
      <c r="D679" s="475"/>
      <c r="E679" s="475"/>
      <c r="F679" s="475"/>
      <c r="H679" s="181"/>
      <c r="I679" s="181"/>
      <c r="J679" s="181"/>
      <c r="K679" s="181"/>
    </row>
    <row r="680" spans="1:11" ht="14.25">
      <c r="A680" s="176"/>
      <c r="B680" s="469" t="s">
        <v>308</v>
      </c>
      <c r="C680" s="175"/>
      <c r="D680" s="1262" t="s">
        <v>1164</v>
      </c>
      <c r="E680" s="1262"/>
      <c r="F680" s="1262"/>
      <c r="H680" s="181"/>
      <c r="I680" s="181"/>
      <c r="J680" s="181"/>
      <c r="K680" s="181"/>
    </row>
    <row r="681" spans="1:11">
      <c r="A681" s="175"/>
      <c r="B681" s="175"/>
      <c r="C681" s="175"/>
      <c r="D681" s="1262"/>
      <c r="E681" s="1262"/>
      <c r="F681" s="1262"/>
      <c r="H681" s="181"/>
      <c r="I681" s="181"/>
      <c r="J681" s="181"/>
      <c r="K681" s="181"/>
    </row>
    <row r="682" spans="1:11">
      <c r="A682" s="175"/>
      <c r="B682" s="175"/>
      <c r="C682" s="175"/>
      <c r="D682" s="1262"/>
      <c r="E682" s="1262"/>
      <c r="F682" s="1262"/>
      <c r="H682" s="181"/>
      <c r="I682" s="181"/>
      <c r="J682" s="181"/>
      <c r="K682" s="181"/>
    </row>
    <row r="683" spans="1:11" ht="15" customHeight="1">
      <c r="A683" s="175"/>
      <c r="B683" s="175"/>
      <c r="C683" s="175"/>
      <c r="D683" s="1262"/>
      <c r="E683" s="1262"/>
      <c r="F683" s="1262"/>
      <c r="H683" s="181"/>
      <c r="I683" s="181"/>
      <c r="J683" s="181"/>
      <c r="K683" s="181"/>
    </row>
    <row r="684" spans="1:11" ht="15" customHeight="1">
      <c r="A684" s="175"/>
      <c r="B684" s="175"/>
      <c r="C684" s="175"/>
      <c r="D684" s="1262"/>
      <c r="E684" s="1262"/>
      <c r="F684" s="1262"/>
      <c r="H684" s="181"/>
      <c r="I684" s="181"/>
      <c r="J684" s="181"/>
      <c r="K684" s="181"/>
    </row>
    <row r="685" spans="1:11">
      <c r="A685" s="175"/>
      <c r="B685" s="175"/>
      <c r="C685" s="175"/>
      <c r="D685" s="1262"/>
      <c r="E685" s="1262"/>
      <c r="F685" s="1262"/>
      <c r="H685" s="181"/>
      <c r="I685" s="181"/>
      <c r="J685" s="181"/>
      <c r="K685" s="181"/>
    </row>
    <row r="686" spans="1:11">
      <c r="A686" s="175"/>
      <c r="B686" s="175"/>
      <c r="C686" s="175"/>
      <c r="D686" s="1262"/>
      <c r="E686" s="1262"/>
      <c r="F686" s="1262"/>
      <c r="H686" s="181"/>
      <c r="I686" s="181"/>
      <c r="J686" s="181"/>
      <c r="K686" s="181"/>
    </row>
    <row r="687" spans="1:11">
      <c r="A687" s="175"/>
      <c r="B687" s="175"/>
      <c r="C687" s="175"/>
      <c r="D687" s="1262"/>
      <c r="E687" s="1262"/>
      <c r="F687" s="1262"/>
      <c r="H687" s="181"/>
      <c r="I687" s="181"/>
      <c r="J687" s="181"/>
      <c r="K687" s="181"/>
    </row>
    <row r="688" spans="1:11" ht="15" customHeight="1">
      <c r="A688" s="175"/>
      <c r="B688" s="175"/>
      <c r="C688" s="175"/>
      <c r="D688" s="1262"/>
      <c r="E688" s="1262"/>
      <c r="F688" s="1262"/>
      <c r="H688" s="181"/>
      <c r="I688" s="181"/>
      <c r="J688" s="181"/>
      <c r="K688" s="181"/>
    </row>
    <row r="689" spans="1:11">
      <c r="A689" s="175"/>
      <c r="B689" s="175"/>
      <c r="C689" s="175"/>
      <c r="D689" s="1262"/>
      <c r="E689" s="1262"/>
      <c r="F689" s="1262"/>
      <c r="H689" s="181"/>
      <c r="I689" s="181"/>
      <c r="J689" s="181"/>
      <c r="K689" s="181"/>
    </row>
    <row r="690" spans="1:11">
      <c r="A690" s="175"/>
      <c r="B690" s="175"/>
      <c r="C690" s="175"/>
      <c r="D690" s="1262"/>
      <c r="E690" s="1262"/>
      <c r="F690" s="1262"/>
      <c r="H690" s="181"/>
      <c r="I690" s="181"/>
      <c r="J690" s="181"/>
      <c r="K690" s="181"/>
    </row>
    <row r="691" spans="1:11">
      <c r="A691" s="175"/>
      <c r="B691" s="175"/>
      <c r="C691" s="175"/>
      <c r="D691" s="1262"/>
      <c r="E691" s="1262"/>
      <c r="F691" s="1262"/>
      <c r="H691" s="181"/>
      <c r="I691" s="181"/>
      <c r="J691" s="181"/>
      <c r="K691" s="181"/>
    </row>
    <row r="692" spans="1:11">
      <c r="A692" s="175"/>
      <c r="B692" s="175"/>
      <c r="C692" s="175"/>
      <c r="D692" s="475"/>
      <c r="E692" s="475"/>
      <c r="F692" s="475"/>
      <c r="H692" s="181"/>
      <c r="I692" s="181"/>
      <c r="J692" s="181"/>
      <c r="K692" s="181"/>
    </row>
    <row r="693" spans="1:11" ht="14.25">
      <c r="A693" s="176"/>
      <c r="B693" s="469" t="s">
        <v>308</v>
      </c>
      <c r="C693" s="175"/>
      <c r="D693" s="1262" t="s">
        <v>1174</v>
      </c>
      <c r="E693" s="1262"/>
      <c r="F693" s="1262"/>
      <c r="H693" s="181"/>
      <c r="I693" s="181"/>
      <c r="J693" s="181"/>
      <c r="K693" s="181"/>
    </row>
    <row r="694" spans="1:11">
      <c r="A694" s="175"/>
      <c r="B694" s="175"/>
      <c r="C694" s="175"/>
      <c r="D694" s="1262"/>
      <c r="E694" s="1262"/>
      <c r="F694" s="1262"/>
      <c r="H694" s="181"/>
      <c r="I694" s="181"/>
      <c r="J694" s="181"/>
      <c r="K694" s="181"/>
    </row>
    <row r="695" spans="1:11">
      <c r="A695" s="175"/>
      <c r="B695" s="175"/>
      <c r="C695" s="175"/>
      <c r="D695" s="1262"/>
      <c r="E695" s="1262"/>
      <c r="F695" s="1262"/>
      <c r="H695" s="181"/>
      <c r="I695" s="181"/>
      <c r="J695" s="181"/>
      <c r="K695" s="181"/>
    </row>
    <row r="696" spans="1:11">
      <c r="A696" s="175"/>
      <c r="B696" s="175"/>
      <c r="C696" s="175"/>
      <c r="D696" s="475"/>
      <c r="E696" s="475"/>
      <c r="F696" s="475"/>
      <c r="H696" s="181"/>
      <c r="I696" s="181"/>
      <c r="J696" s="181"/>
      <c r="K696" s="181"/>
    </row>
    <row r="697" spans="1:11">
      <c r="A697" s="175"/>
      <c r="B697" s="469" t="s">
        <v>308</v>
      </c>
      <c r="C697" s="175"/>
      <c r="D697" s="1262" t="s">
        <v>1171</v>
      </c>
      <c r="E697" s="1262"/>
      <c r="F697" s="1262"/>
      <c r="H697" s="181"/>
      <c r="I697" s="181"/>
      <c r="J697" s="181"/>
      <c r="K697" s="181"/>
    </row>
    <row r="698" spans="1:11">
      <c r="A698" s="175"/>
      <c r="B698" s="175"/>
      <c r="C698" s="175"/>
      <c r="D698" s="1262"/>
      <c r="E698" s="1262"/>
      <c r="F698" s="1262"/>
      <c r="H698" s="181"/>
      <c r="I698" s="181"/>
      <c r="J698" s="181"/>
      <c r="K698" s="181"/>
    </row>
    <row r="699" spans="1:11">
      <c r="A699" s="175"/>
      <c r="B699" s="175"/>
      <c r="C699" s="175"/>
      <c r="D699" s="475"/>
      <c r="E699" s="475"/>
      <c r="F699" s="475"/>
      <c r="H699" s="181"/>
      <c r="I699" s="181"/>
      <c r="J699" s="181"/>
      <c r="K699" s="181"/>
    </row>
    <row r="700" spans="1:11">
      <c r="A700" s="175"/>
      <c r="B700" s="469" t="s">
        <v>308</v>
      </c>
      <c r="C700" s="175"/>
      <c r="D700" s="1262" t="s">
        <v>1172</v>
      </c>
      <c r="E700" s="1262"/>
      <c r="F700" s="1262"/>
      <c r="H700" s="181"/>
      <c r="I700" s="181"/>
      <c r="J700" s="181"/>
      <c r="K700" s="181"/>
    </row>
    <row r="701" spans="1:11">
      <c r="A701" s="175"/>
      <c r="B701" s="175"/>
      <c r="C701" s="175"/>
      <c r="D701" s="1262"/>
      <c r="E701" s="1262"/>
      <c r="F701" s="1262"/>
      <c r="H701" s="181"/>
      <c r="I701" s="181"/>
      <c r="J701" s="181"/>
      <c r="K701" s="181"/>
    </row>
    <row r="702" spans="1:11">
      <c r="A702" s="175"/>
      <c r="B702" s="175"/>
      <c r="C702" s="175"/>
      <c r="D702" s="1262"/>
      <c r="E702" s="1262"/>
      <c r="F702" s="1262"/>
      <c r="H702" s="181"/>
      <c r="I702" s="181"/>
      <c r="J702" s="181"/>
      <c r="K702" s="181"/>
    </row>
    <row r="703" spans="1:11">
      <c r="A703" s="175"/>
      <c r="B703" s="175"/>
      <c r="C703" s="175"/>
      <c r="D703" s="475"/>
      <c r="E703" s="475"/>
      <c r="F703" s="475"/>
      <c r="H703" s="181"/>
      <c r="I703" s="181"/>
      <c r="J703" s="181"/>
      <c r="K703" s="181"/>
    </row>
    <row r="704" spans="1:11">
      <c r="A704" s="175"/>
      <c r="B704" s="469" t="s">
        <v>308</v>
      </c>
      <c r="C704" s="175"/>
      <c r="D704" s="1262" t="s">
        <v>1165</v>
      </c>
      <c r="E704" s="1262"/>
      <c r="F704" s="1262"/>
      <c r="H704" s="181"/>
      <c r="I704" s="181"/>
      <c r="J704" s="181"/>
      <c r="K704" s="181"/>
    </row>
    <row r="705" spans="1:11">
      <c r="A705" s="175"/>
      <c r="B705" s="175"/>
      <c r="C705" s="175"/>
      <c r="D705" s="1262"/>
      <c r="E705" s="1262"/>
      <c r="F705" s="1262"/>
      <c r="H705" s="181"/>
      <c r="I705" s="181"/>
      <c r="J705" s="181"/>
      <c r="K705" s="181"/>
    </row>
    <row r="706" spans="1:11">
      <c r="A706" s="175"/>
      <c r="B706" s="175"/>
      <c r="C706" s="175"/>
      <c r="D706" s="1262"/>
      <c r="E706" s="1262"/>
      <c r="F706" s="1262"/>
      <c r="H706" s="181"/>
      <c r="I706" s="181"/>
      <c r="J706" s="181"/>
      <c r="K706" s="181"/>
    </row>
    <row r="707" spans="1:11">
      <c r="A707" s="175"/>
      <c r="B707" s="175"/>
      <c r="C707" s="175"/>
      <c r="H707" s="181"/>
      <c r="I707" s="181"/>
      <c r="J707" s="181"/>
      <c r="K707" s="181"/>
    </row>
    <row r="708" spans="1:11">
      <c r="A708" s="175"/>
      <c r="B708" s="469" t="s">
        <v>308</v>
      </c>
      <c r="C708" s="175"/>
      <c r="D708" s="1262" t="s">
        <v>1166</v>
      </c>
      <c r="E708" s="1262"/>
      <c r="F708" s="1262"/>
      <c r="H708" s="181"/>
      <c r="I708" s="181"/>
      <c r="J708" s="181"/>
      <c r="K708" s="181"/>
    </row>
    <row r="709" spans="1:11">
      <c r="A709" s="175"/>
      <c r="B709" s="175"/>
      <c r="C709" s="175"/>
      <c r="D709" s="1262"/>
      <c r="E709" s="1262"/>
      <c r="F709" s="1262"/>
      <c r="H709" s="181"/>
      <c r="I709" s="181"/>
      <c r="J709" s="181"/>
      <c r="K709" s="181"/>
    </row>
    <row r="710" spans="1:11">
      <c r="A710" s="175"/>
      <c r="B710" s="175"/>
      <c r="C710" s="175"/>
      <c r="D710" s="1262"/>
      <c r="E710" s="1262"/>
      <c r="F710" s="1262"/>
      <c r="H710" s="181"/>
      <c r="I710" s="181"/>
      <c r="J710" s="181"/>
      <c r="K710" s="181"/>
    </row>
    <row r="711" spans="1:11">
      <c r="A711" s="175"/>
      <c r="B711" s="175"/>
      <c r="C711" s="175"/>
      <c r="D711"/>
      <c r="H711" s="181"/>
      <c r="I711" s="181"/>
      <c r="J711" s="181"/>
      <c r="K711" s="181"/>
    </row>
    <row r="712" spans="1:11" ht="14.25">
      <c r="A712" s="176"/>
      <c r="B712" s="469" t="s">
        <v>308</v>
      </c>
      <c r="C712" s="175"/>
      <c r="D712" s="1262" t="s">
        <v>1167</v>
      </c>
      <c r="E712" s="1262"/>
      <c r="F712" s="1262"/>
      <c r="H712" s="181"/>
      <c r="I712" s="181"/>
      <c r="J712" s="181"/>
      <c r="K712" s="181"/>
    </row>
    <row r="713" spans="1:11">
      <c r="A713" s="175"/>
      <c r="B713" s="175"/>
      <c r="C713" s="175"/>
      <c r="D713" s="1262"/>
      <c r="E713" s="1262"/>
      <c r="F713" s="1262"/>
      <c r="H713" s="181"/>
      <c r="I713" s="181"/>
      <c r="J713" s="181"/>
      <c r="K713" s="181"/>
    </row>
    <row r="714" spans="1:11">
      <c r="A714" s="175"/>
      <c r="B714" s="175"/>
      <c r="C714" s="175"/>
      <c r="D714" s="1262"/>
      <c r="E714" s="1262"/>
      <c r="F714" s="1262"/>
      <c r="H714" s="181"/>
      <c r="I714" s="181"/>
      <c r="J714" s="181"/>
      <c r="K714" s="181"/>
    </row>
    <row r="715" spans="1:11">
      <c r="A715" s="175"/>
      <c r="B715" s="175"/>
      <c r="C715" s="175"/>
      <c r="D715" s="1262"/>
      <c r="E715" s="1262"/>
      <c r="F715" s="1262"/>
      <c r="H715" s="181"/>
      <c r="I715" s="181"/>
      <c r="J715" s="181"/>
      <c r="K715" s="181"/>
    </row>
    <row r="716" spans="1:11">
      <c r="A716" s="175"/>
      <c r="B716" s="175"/>
      <c r="C716" s="175"/>
      <c r="D716" s="178"/>
      <c r="H716" s="181"/>
      <c r="I716" s="181"/>
      <c r="J716" s="181"/>
      <c r="K716" s="181"/>
    </row>
    <row r="717" spans="1:11" ht="14.25">
      <c r="A717" s="176"/>
      <c r="B717" s="469" t="s">
        <v>308</v>
      </c>
      <c r="C717" s="175"/>
      <c r="D717" s="1262" t="s">
        <v>1300</v>
      </c>
      <c r="E717" s="1262"/>
      <c r="F717" s="1262"/>
      <c r="H717" s="181"/>
      <c r="I717" s="181"/>
      <c r="J717" s="181"/>
      <c r="K717" s="181"/>
    </row>
    <row r="718" spans="1:11">
      <c r="A718" s="175"/>
      <c r="B718" s="175"/>
      <c r="C718" s="175"/>
      <c r="D718" s="1262"/>
      <c r="E718" s="1262"/>
      <c r="F718" s="1262"/>
      <c r="H718" s="181"/>
      <c r="I718" s="181"/>
      <c r="J718" s="181"/>
      <c r="K718" s="181"/>
    </row>
    <row r="719" spans="1:11">
      <c r="A719" s="175"/>
      <c r="B719" s="175"/>
      <c r="C719" s="175"/>
      <c r="D719" s="1262"/>
      <c r="E719" s="1262"/>
      <c r="F719" s="1262"/>
      <c r="H719" s="181"/>
      <c r="I719" s="181"/>
      <c r="J719" s="181"/>
      <c r="K719" s="181"/>
    </row>
    <row r="720" spans="1:11">
      <c r="A720" s="175"/>
      <c r="B720" s="175"/>
      <c r="C720" s="175"/>
      <c r="D720" s="1262"/>
      <c r="E720" s="1262"/>
      <c r="F720" s="1262"/>
      <c r="H720" s="181"/>
      <c r="I720" s="181"/>
      <c r="J720" s="181"/>
      <c r="K720" s="181"/>
    </row>
    <row r="721" spans="1:11">
      <c r="A721" s="175"/>
      <c r="B721" s="175"/>
      <c r="C721" s="175"/>
      <c r="D721" s="1262"/>
      <c r="E721" s="1262"/>
      <c r="F721" s="1262"/>
      <c r="H721" s="181"/>
      <c r="I721" s="181"/>
      <c r="J721" s="181"/>
      <c r="K721" s="181"/>
    </row>
    <row r="722" spans="1:11">
      <c r="A722" s="175"/>
      <c r="B722" s="175"/>
      <c r="C722" s="175"/>
      <c r="D722" s="1262"/>
      <c r="E722" s="1262"/>
      <c r="F722" s="1262"/>
      <c r="H722" s="181"/>
      <c r="I722" s="181"/>
      <c r="J722" s="181"/>
      <c r="K722" s="181"/>
    </row>
    <row r="723" spans="1:11">
      <c r="A723" s="175"/>
      <c r="B723" s="175"/>
      <c r="C723" s="175"/>
      <c r="D723" s="1262"/>
      <c r="E723" s="1262"/>
      <c r="F723" s="1262"/>
      <c r="H723" s="181"/>
      <c r="I723" s="181"/>
      <c r="J723" s="181"/>
      <c r="K723" s="181"/>
    </row>
    <row r="724" spans="1:11">
      <c r="A724" s="175"/>
      <c r="B724" s="175"/>
      <c r="C724" s="175"/>
      <c r="D724" s="1306" t="s">
        <v>1168</v>
      </c>
      <c r="E724" s="1306"/>
      <c r="F724" s="1306"/>
      <c r="H724" s="181"/>
      <c r="I724" s="181"/>
      <c r="J724" s="181"/>
      <c r="K724" s="181"/>
    </row>
    <row r="725" spans="1:11">
      <c r="A725" s="175"/>
      <c r="B725" s="175"/>
      <c r="C725" s="175"/>
      <c r="D725" s="370"/>
      <c r="H725" s="181"/>
      <c r="I725" s="181"/>
      <c r="J725" s="181"/>
      <c r="K725" s="181"/>
    </row>
    <row r="726" spans="1:11">
      <c r="A726" s="1308" t="s">
        <v>1125</v>
      </c>
      <c r="B726" s="1308"/>
      <c r="C726" s="1308"/>
      <c r="D726" s="1308"/>
      <c r="E726" s="1308"/>
      <c r="F726" s="1308"/>
      <c r="G726" s="1308"/>
      <c r="H726" s="181"/>
      <c r="I726" s="181"/>
      <c r="J726" s="181"/>
      <c r="K726" s="181"/>
    </row>
    <row r="727" spans="1:11">
      <c r="A727" s="175"/>
      <c r="B727" s="175"/>
      <c r="C727" s="175"/>
      <c r="D727" s="178"/>
      <c r="G727" s="183"/>
      <c r="H727" s="181"/>
      <c r="I727" s="181"/>
      <c r="J727" s="181"/>
      <c r="K727" s="181"/>
    </row>
    <row r="728" spans="1:11" ht="13.15" customHeight="1">
      <c r="C728" s="175"/>
      <c r="D728" s="1295" t="s">
        <v>1141</v>
      </c>
      <c r="E728" s="1295"/>
      <c r="F728" s="1295"/>
      <c r="G728" s="183"/>
      <c r="H728" s="181"/>
      <c r="I728" s="181"/>
      <c r="J728" s="181"/>
      <c r="K728" s="181"/>
    </row>
    <row r="729" spans="1:11">
      <c r="A729" s="175"/>
      <c r="B729" s="175"/>
      <c r="C729" s="175"/>
      <c r="D729" s="1305" t="s">
        <v>1142</v>
      </c>
      <c r="E729" s="1305"/>
      <c r="F729" s="1305"/>
      <c r="G729" s="183"/>
      <c r="H729" s="181"/>
      <c r="I729" s="181"/>
      <c r="J729" s="181"/>
      <c r="K729" s="181"/>
    </row>
    <row r="730" spans="1:11">
      <c r="A730" s="175"/>
      <c r="B730" s="175"/>
      <c r="C730" s="175"/>
      <c r="G730" s="183"/>
      <c r="H730" s="181"/>
      <c r="I730" s="181"/>
      <c r="J730" s="181"/>
      <c r="K730" s="181"/>
    </row>
    <row r="731" spans="1:11" ht="14.25">
      <c r="A731" s="176"/>
      <c r="B731" s="469" t="s">
        <v>308</v>
      </c>
      <c r="D731" s="1262" t="s">
        <v>1143</v>
      </c>
      <c r="E731" s="1262"/>
      <c r="F731" s="1262"/>
      <c r="G731" s="183"/>
      <c r="H731" s="181"/>
      <c r="I731" s="181"/>
      <c r="J731" s="181"/>
      <c r="K731" s="181"/>
    </row>
    <row r="732" spans="1:11" ht="10.5" customHeight="1">
      <c r="D732" s="1262"/>
      <c r="E732" s="1262"/>
      <c r="F732" s="1262"/>
      <c r="G732" s="183"/>
      <c r="H732" s="181"/>
      <c r="I732" s="181"/>
      <c r="J732" s="181"/>
      <c r="K732" s="181"/>
    </row>
    <row r="733" spans="1:11">
      <c r="D733" s="1262"/>
      <c r="E733" s="1262"/>
      <c r="F733" s="1262"/>
      <c r="G733" s="183"/>
      <c r="H733" s="181"/>
      <c r="I733" s="181"/>
      <c r="J733" s="181"/>
      <c r="K733" s="181"/>
    </row>
    <row r="734" spans="1:11">
      <c r="D734" s="1262"/>
      <c r="E734" s="1262"/>
      <c r="F734" s="1262"/>
      <c r="G734" s="183"/>
      <c r="H734" s="181"/>
      <c r="I734" s="181"/>
      <c r="J734" s="181"/>
      <c r="K734" s="181"/>
    </row>
    <row r="735" spans="1:11">
      <c r="D735" s="1262"/>
      <c r="E735" s="1262"/>
      <c r="F735" s="1262"/>
      <c r="G735" s="183"/>
      <c r="H735" s="181"/>
      <c r="I735" s="181"/>
      <c r="J735" s="181"/>
      <c r="K735" s="181"/>
    </row>
    <row r="736" spans="1:11" ht="15.6" customHeight="1">
      <c r="D736" s="1262"/>
      <c r="E736" s="1262"/>
      <c r="F736" s="1262"/>
      <c r="G736" s="183"/>
      <c r="H736" s="181"/>
      <c r="I736" s="181"/>
      <c r="J736" s="181"/>
      <c r="K736" s="181"/>
    </row>
    <row r="737" spans="1:11">
      <c r="D737" s="255"/>
      <c r="E737" s="35"/>
      <c r="F737" s="35"/>
      <c r="G737" s="183"/>
      <c r="H737" s="181"/>
      <c r="I737" s="181"/>
      <c r="J737" s="181"/>
      <c r="K737" s="181"/>
    </row>
    <row r="738" spans="1:11" s="274" customFormat="1" ht="14.25">
      <c r="A738" s="272"/>
      <c r="B738" s="469" t="s">
        <v>308</v>
      </c>
      <c r="C738" s="273"/>
      <c r="D738" s="1262" t="s">
        <v>1144</v>
      </c>
      <c r="E738" s="1262"/>
      <c r="F738" s="1262"/>
      <c r="G738" s="210"/>
    </row>
    <row r="739" spans="1:11" s="274" customFormat="1">
      <c r="A739" s="273"/>
      <c r="B739" s="273"/>
      <c r="C739" s="273"/>
      <c r="D739" s="1262"/>
      <c r="E739" s="1262"/>
      <c r="F739" s="1262"/>
      <c r="G739" s="210"/>
    </row>
    <row r="740" spans="1:11" s="274" customFormat="1">
      <c r="A740" s="273"/>
      <c r="B740" s="273"/>
      <c r="C740" s="273"/>
      <c r="D740" s="1262"/>
      <c r="E740" s="1262"/>
      <c r="F740" s="1262"/>
      <c r="G740" s="210"/>
    </row>
    <row r="741" spans="1:11" s="274" customFormat="1">
      <c r="A741" s="273"/>
      <c r="B741" s="273"/>
      <c r="C741" s="273"/>
      <c r="D741" s="1262"/>
      <c r="E741" s="1262"/>
      <c r="F741" s="1262"/>
      <c r="G741" s="210"/>
    </row>
    <row r="742" spans="1:11" s="274" customFormat="1">
      <c r="A742" s="273"/>
      <c r="B742" s="273"/>
      <c r="C742" s="273"/>
      <c r="D742" s="255"/>
      <c r="E742" s="210"/>
      <c r="F742" s="210"/>
      <c r="G742" s="210"/>
    </row>
    <row r="743" spans="1:11" s="274" customFormat="1" ht="14.25">
      <c r="A743" s="176"/>
      <c r="B743" s="469" t="s">
        <v>308</v>
      </c>
      <c r="C743" s="273"/>
      <c r="D743" s="1302" t="s">
        <v>1145</v>
      </c>
      <c r="E743" s="1302"/>
      <c r="F743" s="1302"/>
      <c r="G743" s="210"/>
    </row>
    <row r="744" spans="1:11" s="274" customFormat="1">
      <c r="A744" s="273"/>
      <c r="B744" s="273"/>
      <c r="C744" s="273"/>
      <c r="D744" s="1302"/>
      <c r="E744" s="1302"/>
      <c r="F744" s="1302"/>
      <c r="G744" s="210"/>
    </row>
    <row r="745" spans="1:11" s="274" customFormat="1">
      <c r="A745" s="273"/>
      <c r="B745" s="273"/>
      <c r="C745" s="273"/>
      <c r="D745" s="1302"/>
      <c r="E745" s="1302"/>
      <c r="F745" s="1302"/>
      <c r="G745" s="210"/>
    </row>
    <row r="746" spans="1:11">
      <c r="D746" s="255"/>
      <c r="E746" s="35"/>
      <c r="F746" s="35"/>
      <c r="G746" s="183"/>
      <c r="H746" s="181"/>
      <c r="I746" s="181"/>
      <c r="J746" s="181"/>
      <c r="K746" s="181"/>
    </row>
    <row r="747" spans="1:11" ht="14.25">
      <c r="A747" s="176"/>
      <c r="B747" s="469" t="s">
        <v>308</v>
      </c>
      <c r="D747" s="1262" t="s">
        <v>1146</v>
      </c>
      <c r="E747" s="1262"/>
      <c r="F747" s="1262"/>
      <c r="G747" s="183"/>
      <c r="H747" s="181"/>
      <c r="I747" s="181"/>
      <c r="J747" s="181"/>
      <c r="K747" s="181"/>
    </row>
    <row r="748" spans="1:11">
      <c r="D748" s="1262"/>
      <c r="E748" s="1262"/>
      <c r="F748" s="1262"/>
      <c r="G748" s="183"/>
      <c r="H748" s="181"/>
      <c r="I748" s="181"/>
      <c r="J748" s="181"/>
      <c r="K748" s="181"/>
    </row>
    <row r="749" spans="1:11">
      <c r="D749" s="475"/>
      <c r="E749" s="475"/>
      <c r="F749" s="475"/>
      <c r="G749" s="183"/>
      <c r="H749" s="181"/>
      <c r="I749" s="181"/>
      <c r="J749" s="181"/>
      <c r="K749" s="181"/>
    </row>
    <row r="750" spans="1:11">
      <c r="B750" s="469" t="s">
        <v>308</v>
      </c>
      <c r="D750" s="1262" t="s">
        <v>1147</v>
      </c>
      <c r="E750" s="1262"/>
      <c r="F750" s="1262"/>
      <c r="G750" s="183"/>
      <c r="H750" s="181"/>
      <c r="I750" s="181"/>
      <c r="J750" s="181"/>
      <c r="K750" s="181"/>
    </row>
    <row r="751" spans="1:11">
      <c r="D751" s="1262"/>
      <c r="E751" s="1262"/>
      <c r="F751" s="1262"/>
      <c r="G751" s="183"/>
      <c r="H751" s="181"/>
      <c r="I751" s="181"/>
      <c r="J751" s="181"/>
      <c r="K751" s="181"/>
    </row>
    <row r="752" spans="1:11">
      <c r="D752" s="1262"/>
      <c r="E752" s="1262"/>
      <c r="F752" s="1262"/>
      <c r="G752" s="183"/>
      <c r="H752" s="181"/>
      <c r="I752" s="181"/>
      <c r="J752" s="181"/>
      <c r="K752" s="181"/>
    </row>
    <row r="753" spans="1:11">
      <c r="D753" s="475"/>
      <c r="E753" s="475"/>
      <c r="F753" s="475"/>
      <c r="G753" s="183"/>
      <c r="H753" s="181"/>
      <c r="I753" s="181"/>
      <c r="J753" s="181"/>
      <c r="K753" s="181"/>
    </row>
    <row r="754" spans="1:11">
      <c r="A754" s="1277" t="s">
        <v>1148</v>
      </c>
      <c r="B754" s="1277"/>
      <c r="C754" s="1277"/>
      <c r="D754" s="1277"/>
      <c r="E754" s="1277"/>
      <c r="F754" s="1277"/>
      <c r="G754" s="1277"/>
    </row>
    <row r="755" spans="1:11">
      <c r="A755" s="175"/>
      <c r="B755" s="175"/>
      <c r="C755" s="175"/>
      <c r="D755" s="184"/>
      <c r="F755" s="35"/>
      <c r="G755" s="183"/>
    </row>
    <row r="756" spans="1:11">
      <c r="D756" s="1309" t="s">
        <v>1132</v>
      </c>
      <c r="E756" s="1309"/>
      <c r="F756" s="1309"/>
      <c r="G756" s="183"/>
    </row>
    <row r="757" spans="1:11">
      <c r="A757" s="346"/>
      <c r="B757" s="346"/>
      <c r="C757" s="346"/>
      <c r="D757" s="1292" t="s">
        <v>1149</v>
      </c>
      <c r="E757" s="1292"/>
      <c r="F757" s="1292"/>
      <c r="G757" s="183"/>
    </row>
    <row r="758" spans="1:11">
      <c r="D758" s="434"/>
      <c r="E758" s="434"/>
      <c r="F758" s="434"/>
      <c r="G758" s="183"/>
    </row>
    <row r="759" spans="1:11" ht="14.25">
      <c r="A759" s="176"/>
      <c r="B759" s="469" t="s">
        <v>308</v>
      </c>
      <c r="D759" s="1292" t="s">
        <v>1026</v>
      </c>
      <c r="E759" s="1292"/>
      <c r="F759" s="1292"/>
      <c r="G759" s="183"/>
    </row>
    <row r="760" spans="1:11">
      <c r="D760" s="434"/>
      <c r="E760" s="1304" t="s">
        <v>1133</v>
      </c>
      <c r="F760" s="1304"/>
      <c r="G760" s="183"/>
    </row>
    <row r="761" spans="1:11">
      <c r="A761" s="172"/>
      <c r="B761" s="172"/>
      <c r="C761" s="172"/>
      <c r="D761" s="35"/>
      <c r="G761" s="183"/>
    </row>
    <row r="762" spans="1:11">
      <c r="A762" s="1307" t="s">
        <v>450</v>
      </c>
      <c r="B762" s="1307"/>
      <c r="C762" s="1307"/>
      <c r="D762" s="1307"/>
      <c r="E762" s="1307"/>
      <c r="F762" s="1307"/>
      <c r="G762" s="1307"/>
    </row>
    <row r="763" spans="1:11">
      <c r="A763" s="172"/>
      <c r="B763" s="172"/>
      <c r="C763" s="179"/>
      <c r="D763" s="183"/>
      <c r="E763" s="183"/>
      <c r="F763" s="183"/>
      <c r="G763" s="183"/>
    </row>
    <row r="764" spans="1:11">
      <c r="A764" s="35"/>
      <c r="B764" s="1305" t="s">
        <v>1025</v>
      </c>
      <c r="C764" s="1305"/>
      <c r="D764" s="1305"/>
      <c r="E764" s="1305"/>
      <c r="F764" s="1305"/>
      <c r="G764" s="183"/>
    </row>
    <row r="765" spans="1:11">
      <c r="A765" s="13"/>
      <c r="B765" s="13"/>
      <c r="G765" s="183"/>
    </row>
    <row r="766" spans="1:11">
      <c r="A766" s="1307" t="s">
        <v>451</v>
      </c>
      <c r="B766" s="1307"/>
      <c r="C766" s="1307"/>
      <c r="D766" s="1307"/>
      <c r="E766" s="1307"/>
      <c r="F766" s="1307"/>
      <c r="G766" s="1307"/>
    </row>
    <row r="767" spans="1:11">
      <c r="A767" s="172"/>
      <c r="B767" s="172"/>
      <c r="C767" s="172"/>
      <c r="D767" s="178"/>
      <c r="G767" s="183"/>
    </row>
    <row r="768" spans="1:11">
      <c r="A768" s="35"/>
      <c r="B768" s="1273" t="s">
        <v>449</v>
      </c>
      <c r="C768" s="1273"/>
      <c r="D768" s="1273"/>
      <c r="E768" s="1273"/>
      <c r="F768" s="1273"/>
      <c r="G768" s="183"/>
    </row>
    <row r="769" spans="1:7" ht="14.25">
      <c r="A769" s="176"/>
      <c r="B769" s="176"/>
      <c r="D769" s="35"/>
      <c r="E769" s="35"/>
      <c r="F769" s="183"/>
      <c r="G769" s="183"/>
    </row>
    <row r="770" spans="1:7">
      <c r="A770" s="1307" t="s">
        <v>452</v>
      </c>
      <c r="B770" s="1307"/>
      <c r="C770" s="1307"/>
      <c r="D770" s="1307"/>
      <c r="E770" s="1307"/>
      <c r="F770" s="1307"/>
      <c r="G770" s="1307"/>
    </row>
    <row r="771" spans="1:7">
      <c r="C771" s="175"/>
      <c r="D771" s="173"/>
      <c r="E771" s="35"/>
      <c r="F771" s="183"/>
      <c r="G771" s="183"/>
    </row>
    <row r="772" spans="1:7">
      <c r="A772" s="35"/>
      <c r="B772" s="1273" t="s">
        <v>449</v>
      </c>
      <c r="C772" s="1273"/>
      <c r="D772" s="1273"/>
      <c r="E772" s="1273"/>
      <c r="F772" s="1273"/>
      <c r="G772" s="183"/>
    </row>
    <row r="773" spans="1:7">
      <c r="A773" s="35"/>
      <c r="B773" s="35"/>
      <c r="C773" s="179"/>
      <c r="D773" s="183"/>
      <c r="E773" s="183"/>
      <c r="F773" s="183"/>
      <c r="G773" s="183"/>
    </row>
    <row r="774" spans="1:7">
      <c r="A774" s="1307" t="s">
        <v>453</v>
      </c>
      <c r="B774" s="1307"/>
      <c r="C774" s="1307"/>
      <c r="D774" s="1307"/>
      <c r="E774" s="1307"/>
      <c r="F774" s="1307"/>
      <c r="G774" s="1307"/>
    </row>
    <row r="775" spans="1:7">
      <c r="A775" s="35"/>
      <c r="B775" s="35"/>
    </row>
    <row r="776" spans="1:7">
      <c r="A776" s="35"/>
      <c r="B776" s="1273" t="s">
        <v>449</v>
      </c>
      <c r="C776" s="1273"/>
      <c r="D776" s="1273"/>
      <c r="E776" s="1273"/>
      <c r="F776" s="1273"/>
    </row>
    <row r="777" spans="1:7">
      <c r="A777" s="179"/>
      <c r="B777" s="179"/>
      <c r="C777" s="179"/>
      <c r="D777" s="174"/>
      <c r="F777" s="183"/>
    </row>
    <row r="778" spans="1:7">
      <c r="A778" s="1307" t="s">
        <v>454</v>
      </c>
      <c r="B778" s="1307"/>
      <c r="C778" s="1307"/>
      <c r="D778" s="1307"/>
      <c r="E778" s="1307"/>
      <c r="F778" s="1307"/>
      <c r="G778" s="1307"/>
    </row>
    <row r="779" spans="1:7">
      <c r="A779" s="35"/>
      <c r="B779" s="35"/>
    </row>
    <row r="780" spans="1:7">
      <c r="A780" s="35"/>
      <c r="B780" s="1273" t="s">
        <v>449</v>
      </c>
      <c r="C780" s="1273"/>
      <c r="D780" s="1273"/>
      <c r="E780" s="1273"/>
      <c r="F780" s="1273"/>
    </row>
    <row r="781" spans="1:7">
      <c r="A781" s="179"/>
      <c r="B781" s="179"/>
      <c r="C781" s="179"/>
      <c r="D781" s="174"/>
      <c r="F781" s="183"/>
    </row>
    <row r="782" spans="1:7">
      <c r="A782" s="1307" t="s">
        <v>455</v>
      </c>
      <c r="B782" s="1307"/>
      <c r="C782" s="1307"/>
      <c r="D782" s="1307"/>
      <c r="E782" s="1307"/>
      <c r="F782" s="1307"/>
      <c r="G782" s="1307"/>
    </row>
    <row r="783" spans="1:7">
      <c r="A783" s="35"/>
      <c r="B783" s="35"/>
    </row>
    <row r="784" spans="1:7">
      <c r="A784" s="35"/>
      <c r="B784" s="1273" t="s">
        <v>449</v>
      </c>
      <c r="C784" s="1273"/>
      <c r="D784" s="1273"/>
      <c r="E784" s="1273"/>
      <c r="F784" s="1273"/>
    </row>
    <row r="785" spans="1:7">
      <c r="D785" s="174"/>
    </row>
    <row r="786" spans="1:7">
      <c r="A786" s="1307" t="s">
        <v>187</v>
      </c>
      <c r="B786" s="1307"/>
      <c r="C786" s="1307"/>
      <c r="D786" s="1307"/>
      <c r="E786" s="1307"/>
      <c r="F786" s="1307"/>
      <c r="G786" s="1307"/>
    </row>
    <row r="787" spans="1:7">
      <c r="A787" s="35"/>
      <c r="B787" s="35"/>
    </row>
    <row r="788" spans="1:7">
      <c r="A788" s="35"/>
      <c r="B788" s="1273" t="s">
        <v>449</v>
      </c>
      <c r="C788" s="1273"/>
      <c r="D788" s="1273"/>
      <c r="E788" s="1273"/>
      <c r="F788" s="1273"/>
    </row>
    <row r="789" spans="1:7">
      <c r="A789" s="35"/>
      <c r="B789" s="35"/>
      <c r="D789" s="174"/>
    </row>
    <row r="790" spans="1:7">
      <c r="A790" s="1307" t="s">
        <v>902</v>
      </c>
      <c r="B790" s="1307"/>
      <c r="C790" s="1307"/>
      <c r="D790" s="1307"/>
      <c r="E790" s="1307"/>
      <c r="F790" s="1307"/>
      <c r="G790" s="1307"/>
    </row>
    <row r="791" spans="1:7">
      <c r="A791" s="35"/>
      <c r="B791" s="35"/>
    </row>
    <row r="792" spans="1:7">
      <c r="A792" s="35"/>
      <c r="B792" s="1273" t="s">
        <v>449</v>
      </c>
      <c r="C792" s="1273"/>
      <c r="D792" s="1273"/>
      <c r="E792" s="1273"/>
      <c r="F792" s="1273"/>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1"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zoomScaleNormal="100" zoomScaleSheetLayoutView="100" workbookViewId="0">
      <selection activeCell="A4" sqref="A4"/>
    </sheetView>
  </sheetViews>
  <sheetFormatPr defaultColWidth="0" defaultRowHeight="12.4" customHeight="1" zeroHeight="1"/>
  <cols>
    <col min="1" max="10" width="10.7109375" style="434" customWidth="1"/>
    <col min="11" max="16384" width="8.85546875" style="434" hidden="1"/>
  </cols>
  <sheetData>
    <row r="1" spans="1:10" ht="14.25" customHeight="1"/>
    <row r="2" spans="1:10" ht="15.75">
      <c r="A2" s="1313" t="s">
        <v>2134</v>
      </c>
      <c r="B2" s="1314"/>
      <c r="C2" s="1314"/>
      <c r="D2" s="1314"/>
      <c r="E2" s="1314"/>
      <c r="F2" s="1314"/>
      <c r="G2" s="1314"/>
      <c r="H2" s="1314"/>
      <c r="I2" s="1314"/>
      <c r="J2" s="1314"/>
    </row>
    <row r="3" spans="1:10" ht="15">
      <c r="A3" s="1317" t="s">
        <v>1426</v>
      </c>
      <c r="B3" s="1318"/>
      <c r="C3" s="1318"/>
      <c r="D3" s="1318"/>
      <c r="E3" s="1318"/>
      <c r="F3" s="1318"/>
      <c r="G3" s="1318"/>
      <c r="H3" s="1318"/>
      <c r="I3" s="1318"/>
      <c r="J3" s="1318"/>
    </row>
    <row r="4" spans="1:10" ht="12.75"/>
    <row r="5" spans="1:10" ht="12.75" customHeight="1">
      <c r="A5" s="1315" t="s">
        <v>2446</v>
      </c>
      <c r="B5" s="1315"/>
      <c r="C5" s="1315"/>
      <c r="D5" s="1315"/>
      <c r="E5" s="1315"/>
      <c r="F5" s="1315"/>
      <c r="G5" s="1315"/>
      <c r="H5" s="1315"/>
      <c r="I5" s="1315"/>
      <c r="J5" s="1315"/>
    </row>
    <row r="6" spans="1:10" ht="12.75">
      <c r="A6" s="1315"/>
      <c r="B6" s="1315"/>
      <c r="C6" s="1315"/>
      <c r="D6" s="1315"/>
      <c r="E6" s="1315"/>
      <c r="F6" s="1315"/>
      <c r="G6" s="1315"/>
      <c r="H6" s="1315"/>
      <c r="I6" s="1315"/>
      <c r="J6" s="1315"/>
    </row>
    <row r="7" spans="1:10" ht="30" customHeight="1">
      <c r="A7" s="1315"/>
      <c r="B7" s="1315"/>
      <c r="C7" s="1315"/>
      <c r="D7" s="1315"/>
      <c r="E7" s="1315"/>
      <c r="F7" s="1315"/>
      <c r="G7" s="1315"/>
      <c r="H7" s="1315"/>
      <c r="I7" s="1315"/>
      <c r="J7" s="1315"/>
    </row>
    <row r="8" spans="1:10" ht="12.75">
      <c r="A8" s="448"/>
      <c r="B8" s="448"/>
      <c r="C8" s="448"/>
      <c r="D8" s="448"/>
      <c r="E8" s="448"/>
      <c r="F8" s="448"/>
      <c r="G8" s="448"/>
      <c r="H8" s="448"/>
      <c r="I8" s="448"/>
      <c r="J8" s="448"/>
    </row>
    <row r="9" spans="1:10" ht="12.75" customHeight="1">
      <c r="A9" s="434" t="s">
        <v>2137</v>
      </c>
      <c r="B9" s="448"/>
      <c r="C9" s="448"/>
      <c r="D9" s="448"/>
      <c r="E9" s="448"/>
      <c r="F9" s="448"/>
      <c r="G9" s="448"/>
      <c r="H9" s="448"/>
      <c r="I9" s="448"/>
      <c r="J9" s="448"/>
    </row>
    <row r="10" spans="1:10" ht="12.75"/>
    <row r="11" spans="1:10" ht="12.75" customHeight="1">
      <c r="A11" s="1319" t="s">
        <v>2139</v>
      </c>
      <c r="B11" s="1319"/>
      <c r="C11" s="1319"/>
      <c r="D11" s="1319"/>
      <c r="E11" s="1319"/>
      <c r="F11" s="1319"/>
      <c r="G11" s="1319"/>
      <c r="H11" s="1319"/>
      <c r="I11" s="1319"/>
      <c r="J11" s="1319"/>
    </row>
    <row r="12" spans="1:10" ht="12.75">
      <c r="A12" s="1319"/>
      <c r="B12" s="1319"/>
      <c r="C12" s="1319"/>
      <c r="D12" s="1319"/>
      <c r="E12" s="1319"/>
      <c r="F12" s="1319"/>
      <c r="G12" s="1319"/>
      <c r="H12" s="1319"/>
      <c r="I12" s="1319"/>
      <c r="J12" s="1319"/>
    </row>
    <row r="13" spans="1:10" ht="12.75">
      <c r="A13" s="1319"/>
      <c r="B13" s="1319"/>
      <c r="C13" s="1319"/>
      <c r="D13" s="1319"/>
      <c r="E13" s="1319"/>
      <c r="F13" s="1319"/>
      <c r="G13" s="1319"/>
      <c r="H13" s="1319"/>
      <c r="I13" s="1319"/>
      <c r="J13" s="1319"/>
    </row>
    <row r="14" spans="1:10" ht="12.75">
      <c r="A14" s="1319"/>
      <c r="B14" s="1319"/>
      <c r="C14" s="1319"/>
      <c r="D14" s="1319"/>
      <c r="E14" s="1319"/>
      <c r="F14" s="1319"/>
      <c r="G14" s="1319"/>
      <c r="H14" s="1319"/>
      <c r="I14" s="1319"/>
      <c r="J14" s="1319"/>
    </row>
    <row r="15" spans="1:10" ht="12.75">
      <c r="A15" s="1319"/>
      <c r="B15" s="1319"/>
      <c r="C15" s="1319"/>
      <c r="D15" s="1319"/>
      <c r="E15" s="1319"/>
      <c r="F15" s="1319"/>
      <c r="G15" s="1319"/>
      <c r="H15" s="1319"/>
      <c r="I15" s="1319"/>
      <c r="J15" s="1319"/>
    </row>
    <row r="16" spans="1:10" ht="12.75">
      <c r="A16" s="1319"/>
      <c r="B16" s="1319"/>
      <c r="C16" s="1319"/>
      <c r="D16" s="1319"/>
      <c r="E16" s="1319"/>
      <c r="F16" s="1319"/>
      <c r="G16" s="1319"/>
      <c r="H16" s="1319"/>
      <c r="I16" s="1319"/>
      <c r="J16" s="1319"/>
    </row>
    <row r="17" spans="1:10" ht="12.75">
      <c r="A17" s="559"/>
      <c r="B17" s="559"/>
      <c r="C17" s="559"/>
      <c r="D17" s="559"/>
      <c r="E17" s="559"/>
      <c r="F17" s="559"/>
      <c r="G17" s="559"/>
      <c r="H17" s="559"/>
      <c r="I17" s="559"/>
      <c r="J17" s="559"/>
    </row>
    <row r="18" spans="1:10" ht="12.75">
      <c r="A18" s="511" t="s">
        <v>2138</v>
      </c>
      <c r="B18" s="448"/>
      <c r="C18" s="448"/>
      <c r="D18" s="448"/>
      <c r="E18" s="448"/>
      <c r="F18" s="448"/>
      <c r="G18" s="448"/>
      <c r="H18" s="448"/>
      <c r="I18" s="448"/>
      <c r="J18" s="448"/>
    </row>
    <row r="19" spans="1:10" ht="12.75">
      <c r="A19" s="448" t="s">
        <v>251</v>
      </c>
      <c r="B19" s="448"/>
      <c r="C19" s="448"/>
      <c r="D19" s="448"/>
      <c r="E19" s="448"/>
      <c r="F19" s="448"/>
      <c r="G19" s="448"/>
      <c r="H19" s="448"/>
      <c r="I19" s="448"/>
      <c r="J19" s="448"/>
    </row>
    <row r="20" spans="1:10" ht="12.75">
      <c r="A20" s="1318" t="s">
        <v>1332</v>
      </c>
      <c r="B20" s="1318"/>
      <c r="C20" s="1318"/>
      <c r="D20" s="1318"/>
      <c r="E20" s="1318"/>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5" t="s">
        <v>1333</v>
      </c>
      <c r="B57" s="1315"/>
      <c r="C57" s="1315"/>
      <c r="D57" s="1315"/>
      <c r="E57" s="1315"/>
      <c r="F57" s="1315"/>
      <c r="G57" s="1315"/>
      <c r="H57" s="1315"/>
      <c r="I57" s="1315"/>
      <c r="J57" s="1315"/>
    </row>
    <row r="58" spans="1:10" ht="12.75">
      <c r="A58" s="1315"/>
      <c r="B58" s="1315"/>
      <c r="C58" s="1315"/>
      <c r="D58" s="1315"/>
      <c r="E58" s="1315"/>
      <c r="F58" s="1315"/>
      <c r="G58" s="1315"/>
      <c r="H58" s="1315"/>
      <c r="I58" s="1315"/>
      <c r="J58" s="1315"/>
    </row>
    <row r="59" spans="1:10" ht="12.75">
      <c r="A59" s="1315"/>
      <c r="B59" s="1315"/>
      <c r="C59" s="1315"/>
      <c r="D59" s="1315"/>
      <c r="E59" s="1315"/>
      <c r="F59" s="1315"/>
      <c r="G59" s="1315"/>
      <c r="H59" s="1315"/>
      <c r="I59" s="1315"/>
      <c r="J59" s="1315"/>
    </row>
    <row r="60" spans="1:10" ht="12.75"/>
    <row r="61" spans="1:10" ht="12.75">
      <c r="A61" s="434" t="s">
        <v>1332</v>
      </c>
    </row>
    <row r="62" spans="1:10" ht="12.75"/>
    <row r="63" spans="1:10" ht="12.75"/>
    <row r="64" spans="1:10" ht="12.75"/>
    <row r="65" spans="1:9" ht="12.75"/>
    <row r="66" spans="1:9" ht="12.75"/>
    <row r="67" spans="1:9" ht="12.75"/>
    <row r="68" spans="1:9" ht="12.75"/>
    <row r="69" spans="1:9" ht="12.75"/>
    <row r="70" spans="1:9" ht="12.75"/>
    <row r="71" spans="1:9" ht="12.75"/>
    <row r="72" spans="1:9" ht="12.75">
      <c r="A72" s="1316" t="s">
        <v>2135</v>
      </c>
      <c r="B72" s="1316"/>
      <c r="C72" s="1316"/>
      <c r="D72" s="1316"/>
      <c r="E72" s="1316"/>
      <c r="F72" s="1316"/>
      <c r="G72" s="1316"/>
      <c r="H72" s="1316"/>
      <c r="I72" s="1316"/>
    </row>
    <row r="73" spans="1:9" ht="12.75">
      <c r="A73" s="1268" t="s">
        <v>2444</v>
      </c>
      <c r="B73" s="1268"/>
      <c r="C73" s="1268"/>
      <c r="D73" s="1268"/>
      <c r="E73" s="1268"/>
    </row>
    <row r="74" spans="1:9" ht="12.75">
      <c r="A74" s="1268" t="s">
        <v>2445</v>
      </c>
      <c r="B74" s="1268"/>
      <c r="C74" s="1268"/>
      <c r="D74" s="1268"/>
      <c r="E74" s="1268"/>
    </row>
    <row r="75" spans="1:9" ht="12.75">
      <c r="A75" s="1268" t="s">
        <v>2136</v>
      </c>
      <c r="B75" s="1268"/>
      <c r="C75" s="1268"/>
      <c r="D75" s="1268"/>
      <c r="E75" s="1268"/>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sVb/ipO1fsmpGiGQg/QhcQRbetdpjl7M0SXKZCBUdCCY72lqjCtiHlacHQWSKt3T9D05WHVxyvfD9kqoOeQSDA==" saltValue="eHC8GOlRqADA9QypIZhyvA=="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0"/>
  <sheetViews>
    <sheetView showGridLines="0" topLeftCell="A1086" zoomScaleNormal="100" zoomScaleSheetLayoutView="100" workbookViewId="0">
      <selection activeCell="D1105" sqref="D1105:F1108"/>
    </sheetView>
  </sheetViews>
  <sheetFormatPr defaultColWidth="0" defaultRowHeight="12.75" zeroHeight="1"/>
  <cols>
    <col min="1" max="1" width="3.5703125" style="515" customWidth="1"/>
    <col min="2" max="2" width="13.5703125" style="515" customWidth="1"/>
    <col min="3" max="3" width="2.5703125" style="515" customWidth="1"/>
    <col min="4" max="5" width="3.5703125" style="434" customWidth="1"/>
    <col min="6" max="6" width="65.5703125" style="434" customWidth="1"/>
    <col min="7" max="7" width="1.5703125" style="434" customWidth="1"/>
    <col min="8" max="8" width="3.5703125" style="434" customWidth="1"/>
    <col min="9" max="9" width="24.42578125" style="436" customWidth="1"/>
    <col min="10" max="10" width="8.85546875" style="434" customWidth="1"/>
    <col min="11" max="16384" width="8.85546875" style="434" hidden="1"/>
  </cols>
  <sheetData>
    <row r="1" spans="1:13"/>
    <row r="2" spans="1:13">
      <c r="A2" s="1337" t="s">
        <v>2614</v>
      </c>
      <c r="B2" s="1337"/>
      <c r="C2" s="1337"/>
      <c r="D2" s="1337"/>
      <c r="E2" s="1337"/>
      <c r="F2" s="1337"/>
      <c r="G2" s="1337"/>
      <c r="H2" s="1337"/>
      <c r="I2" s="1337"/>
    </row>
    <row r="3" spans="1:13">
      <c r="A3" s="1333" t="s">
        <v>2002</v>
      </c>
      <c r="B3" s="1333"/>
      <c r="C3" s="1333"/>
      <c r="D3" s="1333"/>
      <c r="E3" s="1333"/>
      <c r="F3" s="1333"/>
      <c r="G3" s="1333"/>
      <c r="H3" s="1333"/>
      <c r="I3" s="1333"/>
    </row>
    <row r="4" spans="1:13">
      <c r="A4" s="1333"/>
      <c r="B4" s="1333"/>
      <c r="C4" s="1318"/>
      <c r="D4" s="1318"/>
      <c r="E4" s="1318"/>
      <c r="F4" s="1318"/>
      <c r="G4" s="1318"/>
    </row>
    <row r="5" spans="1:13">
      <c r="A5" s="1333"/>
      <c r="B5" s="1333"/>
      <c r="C5" s="1318"/>
      <c r="D5" s="1318"/>
      <c r="E5" s="1318"/>
      <c r="F5" s="1318"/>
      <c r="G5" s="1318"/>
    </row>
    <row r="6" spans="1:13">
      <c r="A6" s="1337" t="s">
        <v>1202</v>
      </c>
      <c r="B6" s="1337"/>
      <c r="C6" s="1338"/>
      <c r="D6" s="1338"/>
      <c r="E6" s="1338"/>
      <c r="F6" s="1338"/>
      <c r="G6" s="1338"/>
      <c r="I6" s="525" t="s">
        <v>2145</v>
      </c>
    </row>
    <row r="7" spans="1:13">
      <c r="A7" s="1337" t="s">
        <v>1203</v>
      </c>
      <c r="B7" s="1337"/>
      <c r="C7" s="1338"/>
      <c r="D7" s="1338"/>
      <c r="E7" s="1338"/>
      <c r="F7" s="1338"/>
      <c r="G7" s="1338"/>
      <c r="I7" s="525" t="s">
        <v>2146</v>
      </c>
    </row>
    <row r="8" spans="1:13">
      <c r="A8" s="516"/>
      <c r="B8" s="516"/>
      <c r="C8" s="517"/>
      <c r="D8" s="517"/>
      <c r="E8" s="517"/>
      <c r="F8" s="517"/>
    </row>
    <row r="9" spans="1:13">
      <c r="A9" s="1277" t="s">
        <v>1205</v>
      </c>
      <c r="B9" s="1277"/>
      <c r="C9" s="1277"/>
      <c r="D9" s="1277"/>
      <c r="E9" s="1277"/>
      <c r="F9" s="1277"/>
      <c r="G9" s="1277"/>
      <c r="H9" s="1071"/>
      <c r="I9" s="1072"/>
    </row>
    <row r="10" spans="1:13">
      <c r="A10" s="517"/>
      <c r="B10" s="517"/>
      <c r="E10" s="436"/>
    </row>
    <row r="11" spans="1:13" ht="13.7" customHeight="1">
      <c r="C11" s="517"/>
      <c r="D11" s="1339" t="s">
        <v>1204</v>
      </c>
      <c r="E11" s="1339"/>
      <c r="F11" s="1339"/>
    </row>
    <row r="12" spans="1:13">
      <c r="C12" s="517"/>
      <c r="D12" s="1339"/>
      <c r="E12" s="1339"/>
      <c r="F12" s="1339"/>
    </row>
    <row r="13" spans="1:13">
      <c r="A13" s="518"/>
      <c r="B13" s="518"/>
      <c r="C13" s="518"/>
      <c r="D13" s="1290" t="s">
        <v>1187</v>
      </c>
      <c r="E13" s="1290"/>
      <c r="F13" s="1290"/>
      <c r="M13" s="96"/>
    </row>
    <row r="14" spans="1:13">
      <c r="A14" s="518"/>
      <c r="B14" s="518"/>
      <c r="C14" s="518"/>
      <c r="D14" s="511"/>
      <c r="L14" s="336"/>
    </row>
    <row r="15" spans="1:13" ht="14.25">
      <c r="A15" s="519"/>
      <c r="B15" s="520" t="s">
        <v>2738</v>
      </c>
      <c r="C15" s="518"/>
      <c r="D15" s="1289" t="s">
        <v>2303</v>
      </c>
      <c r="E15" s="1289"/>
      <c r="F15" s="1289"/>
      <c r="I15" s="436" t="s">
        <v>2147</v>
      </c>
    </row>
    <row r="16" spans="1:13">
      <c r="A16" s="518"/>
      <c r="B16" s="518"/>
      <c r="C16" s="518"/>
      <c r="D16" s="1289"/>
      <c r="E16" s="1289"/>
      <c r="F16" s="1289"/>
    </row>
    <row r="17" spans="1:9">
      <c r="A17" s="518"/>
      <c r="B17" s="518"/>
      <c r="C17" s="518"/>
      <c r="D17" s="1289"/>
      <c r="E17" s="1289"/>
      <c r="F17" s="1289"/>
    </row>
    <row r="18" spans="1:9">
      <c r="A18" s="518"/>
      <c r="B18" s="518"/>
      <c r="C18" s="518"/>
      <c r="D18" s="480"/>
      <c r="E18" s="336" t="s">
        <v>2301</v>
      </c>
      <c r="F18" s="480"/>
    </row>
    <row r="19" spans="1:9">
      <c r="A19" s="518"/>
      <c r="B19" s="518"/>
      <c r="C19" s="518"/>
    </row>
    <row r="20" spans="1:9" ht="14.25">
      <c r="A20" s="519"/>
      <c r="B20" s="520" t="s">
        <v>2738</v>
      </c>
      <c r="D20" s="1289" t="s">
        <v>2304</v>
      </c>
      <c r="E20" s="1289"/>
      <c r="F20" s="1289"/>
      <c r="I20" s="436" t="s">
        <v>2148</v>
      </c>
    </row>
    <row r="21" spans="1:9" ht="14.25">
      <c r="A21" s="519"/>
      <c r="D21" s="1289"/>
      <c r="E21" s="1289"/>
      <c r="F21" s="1289"/>
    </row>
    <row r="22" spans="1:9" ht="14.25">
      <c r="A22" s="519"/>
      <c r="D22" s="424"/>
      <c r="E22" s="96" t="s">
        <v>2300</v>
      </c>
      <c r="F22" s="424"/>
    </row>
    <row r="23" spans="1:9" ht="14.25">
      <c r="A23" s="519"/>
      <c r="B23" s="519"/>
      <c r="D23" s="481"/>
    </row>
    <row r="24" spans="1:9" ht="14.25">
      <c r="A24" s="519"/>
      <c r="B24" s="520" t="s">
        <v>2650</v>
      </c>
      <c r="D24" s="1289" t="s">
        <v>1190</v>
      </c>
      <c r="E24" s="1289"/>
      <c r="F24" s="1289"/>
      <c r="I24" s="436" t="s">
        <v>2148</v>
      </c>
    </row>
    <row r="25" spans="1:9" ht="14.25">
      <c r="A25" s="519"/>
      <c r="B25" s="519"/>
      <c r="D25" s="1289"/>
      <c r="E25" s="1289"/>
      <c r="F25" s="1289"/>
    </row>
    <row r="26" spans="1:9"/>
    <row r="27" spans="1:9" ht="14.25">
      <c r="A27" s="519"/>
      <c r="B27" s="520" t="s">
        <v>2650</v>
      </c>
      <c r="D27" s="1289" t="s">
        <v>2447</v>
      </c>
      <c r="E27" s="1289"/>
      <c r="F27" s="1289"/>
      <c r="I27" s="436" t="s">
        <v>2151</v>
      </c>
    </row>
    <row r="28" spans="1:9">
      <c r="D28" s="1289"/>
      <c r="E28" s="1289"/>
      <c r="F28" s="1289"/>
    </row>
    <row r="29" spans="1:9">
      <c r="D29" s="1289"/>
      <c r="E29" s="1289"/>
      <c r="F29" s="1289"/>
    </row>
    <row r="30" spans="1:9">
      <c r="D30" s="1289"/>
      <c r="E30" s="1289"/>
      <c r="F30" s="1289"/>
    </row>
    <row r="31" spans="1:9">
      <c r="D31" s="1289"/>
      <c r="E31" s="1289"/>
      <c r="F31" s="1289"/>
    </row>
    <row r="32" spans="1:9">
      <c r="D32" s="482"/>
    </row>
    <row r="33" spans="1:9">
      <c r="B33" s="520" t="s">
        <v>2650</v>
      </c>
      <c r="D33" s="1289" t="s">
        <v>2448</v>
      </c>
      <c r="E33" s="1289"/>
      <c r="F33" s="1289"/>
      <c r="I33" s="436" t="s">
        <v>2147</v>
      </c>
    </row>
    <row r="34" spans="1:9">
      <c r="D34" s="1289"/>
      <c r="E34" s="1289"/>
      <c r="F34" s="1289"/>
    </row>
    <row r="35" spans="1:9" ht="14.25">
      <c r="A35" s="519"/>
      <c r="B35" s="519"/>
      <c r="D35" s="482"/>
    </row>
    <row r="36" spans="1:9" ht="14.45" customHeight="1">
      <c r="A36" s="519"/>
      <c r="B36" s="520" t="s">
        <v>2650</v>
      </c>
      <c r="D36" s="1289" t="s">
        <v>1357</v>
      </c>
      <c r="E36" s="1289"/>
      <c r="F36" s="1289"/>
      <c r="I36" s="436" t="s">
        <v>2218</v>
      </c>
    </row>
    <row r="37" spans="1:9" ht="14.25">
      <c r="A37" s="519"/>
      <c r="B37" s="519"/>
      <c r="D37" s="1289"/>
      <c r="E37" s="1289"/>
      <c r="F37" s="1289"/>
    </row>
    <row r="38" spans="1:9" ht="14.25">
      <c r="A38" s="519"/>
      <c r="B38" s="519"/>
      <c r="D38" s="1289"/>
      <c r="E38" s="1289"/>
      <c r="F38" s="1289"/>
    </row>
    <row r="39" spans="1:9" ht="14.25">
      <c r="A39" s="519"/>
      <c r="B39" s="519"/>
      <c r="D39" s="1289"/>
      <c r="E39" s="1289"/>
      <c r="F39" s="1289"/>
    </row>
    <row r="40" spans="1:9" ht="14.25">
      <c r="A40" s="519"/>
      <c r="B40" s="519"/>
    </row>
    <row r="41" spans="1:9" ht="14.25">
      <c r="A41" s="519"/>
      <c r="B41" s="520" t="s">
        <v>2650</v>
      </c>
      <c r="D41" s="1289" t="s">
        <v>1194</v>
      </c>
      <c r="E41" s="1289"/>
      <c r="F41" s="1289"/>
    </row>
    <row r="42" spans="1:9" ht="14.25">
      <c r="A42" s="519"/>
      <c r="B42" s="519"/>
      <c r="D42" s="1289"/>
      <c r="E42" s="1289"/>
      <c r="F42" s="1289"/>
    </row>
    <row r="43" spans="1:9" ht="14.25">
      <c r="A43" s="519"/>
      <c r="B43" s="519"/>
      <c r="D43" s="1289"/>
      <c r="E43" s="1289"/>
      <c r="F43" s="1289"/>
    </row>
    <row r="44" spans="1:9" ht="14.25">
      <c r="A44" s="519"/>
      <c r="B44" s="519"/>
      <c r="D44" s="1289"/>
      <c r="E44" s="1289"/>
      <c r="F44" s="1289"/>
    </row>
    <row r="45" spans="1:9" ht="14.25">
      <c r="A45" s="519"/>
      <c r="B45" s="519"/>
      <c r="D45" s="1289"/>
      <c r="E45" s="1289"/>
      <c r="F45" s="1289"/>
    </row>
    <row r="46" spans="1:9" ht="14.25">
      <c r="A46" s="519"/>
      <c r="B46" s="519"/>
      <c r="D46" s="480"/>
      <c r="E46" s="480"/>
      <c r="F46" s="480"/>
    </row>
    <row r="47" spans="1:9" ht="14.25">
      <c r="A47" s="519"/>
      <c r="B47" s="520" t="s">
        <v>2650</v>
      </c>
      <c r="D47" s="1289" t="s">
        <v>1195</v>
      </c>
      <c r="E47" s="1289"/>
      <c r="F47" s="1289"/>
      <c r="I47" s="436" t="s">
        <v>2218</v>
      </c>
    </row>
    <row r="48" spans="1:9" ht="14.25">
      <c r="A48" s="519"/>
      <c r="B48" s="519"/>
      <c r="D48" s="1289"/>
      <c r="E48" s="1289"/>
      <c r="F48" s="1289"/>
    </row>
    <row r="49" spans="1:9" ht="14.25">
      <c r="A49" s="519"/>
      <c r="B49" s="519"/>
      <c r="D49" s="1289"/>
      <c r="E49" s="1289"/>
      <c r="F49" s="1289"/>
    </row>
    <row r="50" spans="1:9" ht="23.25" customHeight="1">
      <c r="A50" s="519"/>
      <c r="B50" s="519"/>
      <c r="D50" s="1289"/>
      <c r="E50" s="1289"/>
      <c r="F50" s="1289"/>
    </row>
    <row r="51" spans="1:9" ht="14.25">
      <c r="A51" s="519"/>
      <c r="B51" s="519"/>
      <c r="D51" s="481"/>
    </row>
    <row r="52" spans="1:9" ht="14.45" customHeight="1">
      <c r="A52" s="519"/>
      <c r="B52" s="520" t="s">
        <v>2650</v>
      </c>
      <c r="D52" s="1289" t="s">
        <v>1196</v>
      </c>
      <c r="E52" s="1289"/>
      <c r="F52" s="1289"/>
      <c r="I52" s="436" t="s">
        <v>2218</v>
      </c>
    </row>
    <row r="53" spans="1:9" ht="14.25">
      <c r="A53" s="519"/>
      <c r="B53" s="519"/>
      <c r="D53" s="1289"/>
      <c r="E53" s="1289"/>
      <c r="F53" s="1289"/>
    </row>
    <row r="54" spans="1:9" ht="14.25">
      <c r="A54" s="519"/>
      <c r="B54" s="519"/>
      <c r="D54" s="1289"/>
      <c r="E54" s="1289"/>
      <c r="F54" s="1289"/>
    </row>
    <row r="55" spans="1:9" ht="14.25">
      <c r="A55" s="519"/>
      <c r="B55" s="519"/>
    </row>
    <row r="56" spans="1:9" ht="14.25">
      <c r="A56" s="519"/>
      <c r="B56" s="520" t="s">
        <v>2738</v>
      </c>
      <c r="D56" s="1335" t="s">
        <v>1197</v>
      </c>
      <c r="E56" s="1335"/>
      <c r="F56" s="1335"/>
    </row>
    <row r="57" spans="1:9" ht="14.25">
      <c r="A57" s="519"/>
      <c r="B57" s="519"/>
      <c r="D57" s="1335"/>
      <c r="E57" s="1335"/>
      <c r="F57" s="1335"/>
    </row>
    <row r="58" spans="1:9" ht="14.25">
      <c r="A58" s="519"/>
      <c r="B58" s="519"/>
      <c r="D58" s="424" t="s">
        <v>2302</v>
      </c>
      <c r="E58" s="480"/>
      <c r="F58" s="480"/>
    </row>
    <row r="59" spans="1:9" ht="14.25">
      <c r="A59" s="519"/>
      <c r="B59" s="519"/>
      <c r="D59" s="480"/>
      <c r="E59" s="336" t="s">
        <v>2301</v>
      </c>
      <c r="F59" s="480"/>
    </row>
    <row r="60" spans="1:9">
      <c r="D60" s="482"/>
    </row>
    <row r="61" spans="1:9" ht="14.25">
      <c r="A61" s="519"/>
      <c r="B61" s="520" t="s">
        <v>2650</v>
      </c>
      <c r="D61" s="1289" t="s">
        <v>1198</v>
      </c>
      <c r="E61" s="1289"/>
      <c r="F61" s="1289"/>
      <c r="I61" s="436" t="s">
        <v>2149</v>
      </c>
    </row>
    <row r="62" spans="1:9">
      <c r="D62" s="1289"/>
      <c r="E62" s="1289"/>
      <c r="F62" s="1289"/>
    </row>
    <row r="63" spans="1:9">
      <c r="D63" s="1289"/>
      <c r="E63" s="1289"/>
      <c r="F63" s="1289"/>
    </row>
    <row r="64" spans="1:9"/>
    <row r="65" spans="1:9" ht="14.25">
      <c r="A65" s="519"/>
      <c r="B65" s="520" t="s">
        <v>2650</v>
      </c>
      <c r="D65" s="1289" t="s">
        <v>1199</v>
      </c>
      <c r="E65" s="1289"/>
      <c r="F65" s="1289"/>
      <c r="I65" s="436" t="s">
        <v>2150</v>
      </c>
    </row>
    <row r="66" spans="1:9">
      <c r="D66" s="1289"/>
      <c r="E66" s="1289"/>
      <c r="F66" s="1289"/>
    </row>
    <row r="67" spans="1:9"/>
    <row r="68" spans="1:9" ht="14.25">
      <c r="A68" s="519"/>
      <c r="B68" s="520" t="s">
        <v>2738</v>
      </c>
      <c r="D68" s="1289" t="s">
        <v>1200</v>
      </c>
      <c r="E68" s="1289"/>
      <c r="F68" s="1289"/>
    </row>
    <row r="69" spans="1:9">
      <c r="D69" s="1289"/>
      <c r="E69" s="1289"/>
      <c r="F69" s="1289"/>
      <c r="I69" s="436" t="s">
        <v>2151</v>
      </c>
    </row>
    <row r="70" spans="1:9">
      <c r="D70" s="1289"/>
      <c r="E70" s="1289"/>
      <c r="F70" s="1289"/>
    </row>
    <row r="71" spans="1:9"/>
    <row r="72" spans="1:9" ht="14.25">
      <c r="A72" s="519"/>
      <c r="B72" s="520" t="s">
        <v>2738</v>
      </c>
      <c r="D72" s="1289" t="s">
        <v>1201</v>
      </c>
      <c r="E72" s="1289"/>
      <c r="F72" s="1289"/>
      <c r="I72" s="436" t="s">
        <v>2151</v>
      </c>
    </row>
    <row r="73" spans="1:9">
      <c r="D73" s="1289"/>
      <c r="E73" s="1289"/>
      <c r="F73" s="1289"/>
    </row>
    <row r="74" spans="1:9" ht="14.25">
      <c r="A74" s="519"/>
      <c r="B74" s="519"/>
      <c r="D74" s="481"/>
    </row>
    <row r="75" spans="1:9">
      <c r="A75" s="1277" t="s">
        <v>1108</v>
      </c>
      <c r="B75" s="1277"/>
      <c r="C75" s="1277"/>
      <c r="D75" s="1277"/>
      <c r="E75" s="1277"/>
      <c r="F75" s="1277"/>
      <c r="G75" s="1277"/>
      <c r="H75" s="1071"/>
      <c r="I75" s="1072"/>
    </row>
    <row r="76" spans="1:9"/>
    <row r="77" spans="1:9">
      <c r="C77" s="521"/>
      <c r="D77" s="1291" t="s">
        <v>1206</v>
      </c>
      <c r="E77" s="1291"/>
      <c r="F77" s="1291"/>
    </row>
    <row r="78" spans="1:9">
      <c r="A78" s="481"/>
      <c r="B78" s="481"/>
      <c r="D78" s="1289" t="s">
        <v>1233</v>
      </c>
      <c r="E78" s="1289"/>
      <c r="F78" s="1289"/>
    </row>
    <row r="79" spans="1:9">
      <c r="A79" s="481"/>
      <c r="B79" s="481"/>
    </row>
    <row r="80" spans="1:9" ht="13.7" customHeight="1">
      <c r="A80" s="519"/>
      <c r="B80" s="520" t="s">
        <v>2738</v>
      </c>
      <c r="D80" s="1289" t="s">
        <v>1401</v>
      </c>
      <c r="E80" s="1289"/>
      <c r="F80" s="1289"/>
      <c r="I80" s="436" t="s">
        <v>2152</v>
      </c>
    </row>
    <row r="81" spans="1:9" ht="14.25">
      <c r="A81" s="519"/>
      <c r="B81" s="519"/>
      <c r="D81" s="1289"/>
      <c r="E81" s="1289"/>
      <c r="F81" s="1289"/>
    </row>
    <row r="82" spans="1:9" ht="14.25">
      <c r="A82" s="519"/>
      <c r="B82" s="519"/>
      <c r="D82" s="1289"/>
      <c r="E82" s="1289"/>
      <c r="F82" s="1289"/>
    </row>
    <row r="83" spans="1:9" ht="14.25">
      <c r="A83" s="519"/>
      <c r="B83" s="519"/>
      <c r="D83" s="1289"/>
      <c r="E83" s="1289"/>
      <c r="F83" s="1289"/>
    </row>
    <row r="84" spans="1:9" ht="14.25">
      <c r="A84" s="519"/>
      <c r="B84" s="519"/>
      <c r="D84" s="1289"/>
      <c r="E84" s="1289"/>
      <c r="F84" s="1289"/>
    </row>
    <row r="85" spans="1:9" ht="14.25">
      <c r="A85" s="519"/>
      <c r="B85" s="519"/>
      <c r="D85" s="1289"/>
      <c r="E85" s="1289"/>
      <c r="F85" s="1289"/>
    </row>
    <row r="86" spans="1:9" ht="14.25">
      <c r="A86" s="519"/>
      <c r="B86" s="519"/>
      <c r="D86" s="1289"/>
      <c r="E86" s="1289"/>
      <c r="F86" s="1289"/>
    </row>
    <row r="87" spans="1:9" ht="14.25">
      <c r="A87" s="519"/>
      <c r="B87" s="519"/>
      <c r="D87" s="1289"/>
      <c r="E87" s="1289"/>
      <c r="F87" s="1289"/>
    </row>
    <row r="88" spans="1:9" ht="14.25">
      <c r="A88" s="519"/>
      <c r="B88" s="519"/>
      <c r="D88" s="417"/>
      <c r="E88" s="417"/>
      <c r="F88" s="417"/>
    </row>
    <row r="89" spans="1:9" ht="15" customHeight="1">
      <c r="A89" s="519"/>
      <c r="B89" s="520" t="s">
        <v>2738</v>
      </c>
      <c r="D89" s="1289" t="s">
        <v>2003</v>
      </c>
      <c r="E89" s="1289"/>
      <c r="F89" s="1289"/>
      <c r="I89" s="436" t="s">
        <v>2153</v>
      </c>
    </row>
    <row r="90" spans="1:9" ht="14.25">
      <c r="A90" s="519"/>
      <c r="B90" s="519"/>
      <c r="D90" s="1289"/>
      <c r="E90" s="1289"/>
      <c r="F90" s="1289"/>
    </row>
    <row r="91" spans="1:9" ht="14.25">
      <c r="A91" s="519"/>
      <c r="B91" s="519"/>
      <c r="D91" s="480"/>
      <c r="E91" s="480"/>
      <c r="F91" s="480"/>
    </row>
    <row r="92" spans="1:9" ht="14.25">
      <c r="A92" s="519"/>
      <c r="B92" s="520" t="s">
        <v>2738</v>
      </c>
      <c r="D92" s="1289" t="s">
        <v>2006</v>
      </c>
      <c r="E92" s="1289"/>
      <c r="F92" s="1289"/>
      <c r="I92" s="436" t="s">
        <v>2154</v>
      </c>
    </row>
    <row r="93" spans="1:9" ht="14.25">
      <c r="A93" s="519"/>
      <c r="B93" s="519"/>
      <c r="D93" s="1289"/>
      <c r="E93" s="1289"/>
      <c r="F93" s="1289"/>
    </row>
    <row r="94" spans="1:9" ht="14.25">
      <c r="A94" s="519"/>
      <c r="B94" s="519"/>
      <c r="D94" s="1289"/>
      <c r="E94" s="1289"/>
      <c r="F94" s="1289"/>
    </row>
    <row r="95" spans="1:9" ht="14.25">
      <c r="A95" s="519"/>
      <c r="B95" s="519"/>
      <c r="D95" s="480"/>
      <c r="E95" s="480"/>
      <c r="F95" s="480"/>
    </row>
    <row r="96" spans="1:9" ht="14.25">
      <c r="A96" s="519"/>
      <c r="B96" s="520" t="s">
        <v>2738</v>
      </c>
      <c r="D96" s="1289" t="s">
        <v>2005</v>
      </c>
      <c r="E96" s="1289"/>
      <c r="F96" s="1289"/>
      <c r="I96" s="436" t="s">
        <v>2199</v>
      </c>
    </row>
    <row r="97" spans="1:9" s="1024" customFormat="1" ht="14.25">
      <c r="A97" s="1022"/>
      <c r="B97" s="1022"/>
      <c r="C97" s="1023"/>
      <c r="D97" s="1289"/>
      <c r="E97" s="1289"/>
      <c r="F97" s="1289"/>
      <c r="I97" s="1063"/>
    </row>
    <row r="98" spans="1:9" ht="14.25">
      <c r="A98" s="519"/>
      <c r="B98" s="519"/>
      <c r="D98" s="424"/>
      <c r="E98" s="336" t="s">
        <v>2305</v>
      </c>
      <c r="F98" s="480"/>
    </row>
    <row r="99" spans="1:9" ht="14.25">
      <c r="A99" s="519"/>
      <c r="B99" s="519"/>
      <c r="D99" s="417"/>
      <c r="E99" s="417"/>
      <c r="F99" s="417"/>
    </row>
    <row r="100" spans="1:9" ht="14.25">
      <c r="A100" s="519"/>
      <c r="B100" s="520" t="s">
        <v>2650</v>
      </c>
      <c r="D100" s="1289" t="s">
        <v>2004</v>
      </c>
      <c r="E100" s="1289"/>
      <c r="F100" s="1289"/>
      <c r="I100" s="436" t="s">
        <v>2155</v>
      </c>
    </row>
    <row r="101" spans="1:9" ht="14.25">
      <c r="A101" s="519"/>
      <c r="B101" s="519"/>
      <c r="D101" s="1289"/>
      <c r="E101" s="1289"/>
      <c r="F101" s="1289"/>
    </row>
    <row r="102" spans="1:9" ht="14.25">
      <c r="A102" s="519"/>
      <c r="B102" s="519"/>
      <c r="D102" s="480"/>
      <c r="E102" s="480"/>
      <c r="F102" s="480"/>
    </row>
    <row r="103" spans="1:9" ht="14.45" customHeight="1">
      <c r="A103" s="519"/>
      <c r="B103" s="520" t="s">
        <v>2650</v>
      </c>
      <c r="D103" s="1289" t="s">
        <v>1337</v>
      </c>
      <c r="E103" s="1289"/>
      <c r="F103" s="1289"/>
      <c r="I103" s="436" t="s">
        <v>2156</v>
      </c>
    </row>
    <row r="104" spans="1:9" ht="14.25">
      <c r="A104" s="519"/>
      <c r="B104" s="519"/>
      <c r="D104" s="1289"/>
      <c r="E104" s="1289"/>
      <c r="F104" s="1289"/>
    </row>
    <row r="105" spans="1:9" ht="14.25">
      <c r="A105" s="519"/>
      <c r="B105" s="519"/>
      <c r="D105" s="1289"/>
      <c r="E105" s="1289"/>
      <c r="F105" s="1289"/>
    </row>
    <row r="106" spans="1:9" ht="14.25">
      <c r="A106" s="519"/>
      <c r="B106" s="519"/>
      <c r="D106" s="1289"/>
      <c r="E106" s="1289"/>
      <c r="F106" s="1289"/>
    </row>
    <row r="107" spans="1:9" ht="14.25">
      <c r="A107" s="519"/>
      <c r="B107" s="519"/>
      <c r="D107" s="1289"/>
      <c r="E107" s="1289"/>
      <c r="F107" s="1289"/>
    </row>
    <row r="108" spans="1:9" ht="14.25">
      <c r="A108" s="519"/>
      <c r="B108" s="519"/>
      <c r="D108" s="1289"/>
      <c r="E108" s="1289"/>
      <c r="F108" s="1289"/>
    </row>
    <row r="109" spans="1:9" ht="14.25">
      <c r="A109" s="519"/>
      <c r="B109" s="519"/>
      <c r="D109" s="1289"/>
      <c r="E109" s="1289"/>
      <c r="F109" s="1289"/>
    </row>
    <row r="110" spans="1:9" ht="14.25">
      <c r="A110" s="519"/>
      <c r="B110" s="519"/>
      <c r="D110" s="1289"/>
      <c r="E110" s="1289"/>
      <c r="F110" s="1289"/>
    </row>
    <row r="111" spans="1:9" ht="14.25">
      <c r="A111" s="519"/>
      <c r="B111" s="519"/>
      <c r="D111" s="1289"/>
      <c r="E111" s="1289"/>
      <c r="F111" s="1289"/>
    </row>
    <row r="112" spans="1:9" ht="14.25">
      <c r="A112" s="519"/>
      <c r="B112" s="519"/>
      <c r="D112" s="1289"/>
      <c r="E112" s="1289"/>
      <c r="F112" s="1289"/>
    </row>
    <row r="113" spans="1:9" ht="14.25">
      <c r="A113" s="519"/>
      <c r="B113" s="519"/>
      <c r="D113" s="1289"/>
      <c r="E113" s="1289"/>
      <c r="F113" s="1289"/>
    </row>
    <row r="114" spans="1:9" ht="14.25">
      <c r="A114" s="519"/>
      <c r="B114" s="519"/>
      <c r="D114" s="1289"/>
      <c r="E114" s="1289"/>
      <c r="F114" s="1289"/>
    </row>
    <row r="115" spans="1:9" ht="14.25">
      <c r="A115" s="519"/>
      <c r="B115" s="519"/>
      <c r="D115" s="1289"/>
      <c r="E115" s="1289"/>
      <c r="F115" s="1289"/>
    </row>
    <row r="116" spans="1:9" ht="14.25">
      <c r="A116" s="519"/>
      <c r="B116" s="519"/>
      <c r="D116" s="1289"/>
      <c r="E116" s="1289"/>
      <c r="F116" s="1289"/>
    </row>
    <row r="117" spans="1:9" ht="14.25">
      <c r="A117" s="519"/>
      <c r="B117" s="519"/>
      <c r="D117" s="1289"/>
      <c r="E117" s="1289"/>
      <c r="F117" s="1289"/>
    </row>
    <row r="118" spans="1:9" ht="14.25">
      <c r="A118" s="519"/>
      <c r="B118" s="519"/>
      <c r="D118" s="559"/>
      <c r="E118" s="559"/>
      <c r="F118" s="559"/>
    </row>
    <row r="119" spans="1:9" ht="14.25" customHeight="1">
      <c r="A119" s="519"/>
      <c r="B119" s="520" t="s">
        <v>2650</v>
      </c>
      <c r="D119" s="1300" t="s">
        <v>1208</v>
      </c>
      <c r="E119" s="1300"/>
      <c r="F119" s="1300"/>
    </row>
    <row r="120" spans="1:9" ht="14.25">
      <c r="A120" s="519"/>
      <c r="B120" s="519"/>
      <c r="D120" s="1300"/>
      <c r="E120" s="1300"/>
      <c r="F120" s="1300"/>
    </row>
    <row r="121" spans="1:9" ht="14.25">
      <c r="A121" s="519"/>
      <c r="B121" s="519"/>
      <c r="D121" s="1300"/>
      <c r="E121" s="1300"/>
      <c r="F121" s="1300"/>
    </row>
    <row r="122" spans="1:9" ht="14.25">
      <c r="A122" s="519"/>
      <c r="B122" s="519"/>
      <c r="D122" s="1300"/>
      <c r="E122" s="1300"/>
      <c r="F122" s="1300"/>
    </row>
    <row r="123" spans="1:9" ht="14.25">
      <c r="A123" s="519"/>
      <c r="B123" s="519"/>
      <c r="D123" s="1300"/>
      <c r="E123" s="1300"/>
      <c r="F123" s="1300"/>
    </row>
    <row r="124" spans="1:9" ht="14.25">
      <c r="A124" s="519"/>
      <c r="B124" s="519"/>
      <c r="D124" s="1300"/>
      <c r="E124" s="1300"/>
      <c r="F124" s="1300"/>
    </row>
    <row r="125" spans="1:9" ht="14.25">
      <c r="A125" s="519"/>
      <c r="B125" s="519"/>
      <c r="D125" s="1300"/>
      <c r="E125" s="1300"/>
      <c r="F125" s="1300"/>
    </row>
    <row r="126" spans="1:9" ht="14.25">
      <c r="A126" s="519"/>
      <c r="B126" s="519"/>
      <c r="D126" s="1300"/>
      <c r="E126" s="1300"/>
      <c r="F126" s="1300"/>
    </row>
    <row r="127" spans="1:9">
      <c r="C127" s="434"/>
      <c r="D127" s="560"/>
      <c r="E127" s="560"/>
      <c r="F127" s="560"/>
    </row>
    <row r="128" spans="1:9" ht="14.25">
      <c r="A128" s="519"/>
      <c r="B128" s="520" t="s">
        <v>2738</v>
      </c>
      <c r="C128" s="434"/>
      <c r="D128" s="1300" t="s">
        <v>2449</v>
      </c>
      <c r="E128" s="1300"/>
      <c r="F128" s="1300"/>
      <c r="I128" s="436" t="s">
        <v>2157</v>
      </c>
    </row>
    <row r="129" spans="1:9" ht="14.25">
      <c r="A129" s="519"/>
      <c r="B129" s="519"/>
      <c r="C129" s="434"/>
      <c r="D129" s="1300"/>
      <c r="E129" s="1300"/>
      <c r="F129" s="1300"/>
    </row>
    <row r="130" spans="1:9"/>
    <row r="131" spans="1:9" ht="14.25">
      <c r="A131" s="519"/>
      <c r="B131" s="520" t="s">
        <v>2738</v>
      </c>
      <c r="D131" s="1289" t="s">
        <v>1211</v>
      </c>
      <c r="E131" s="1289"/>
      <c r="F131" s="1289"/>
      <c r="I131" s="436" t="s">
        <v>2157</v>
      </c>
    </row>
    <row r="132" spans="1:9">
      <c r="D132" s="1289"/>
      <c r="E132" s="1289"/>
      <c r="F132" s="1289"/>
    </row>
    <row r="133" spans="1:9">
      <c r="D133" s="1289"/>
      <c r="E133" s="1289"/>
      <c r="F133" s="1289"/>
    </row>
    <row r="134" spans="1:9">
      <c r="D134" s="1289"/>
      <c r="E134" s="1289"/>
      <c r="F134" s="1289"/>
    </row>
    <row r="135" spans="1:9">
      <c r="D135" s="1289"/>
      <c r="E135" s="1289"/>
      <c r="F135" s="1289"/>
    </row>
    <row r="136" spans="1:9"/>
    <row r="137" spans="1:9" ht="14.25">
      <c r="A137" s="519"/>
      <c r="B137" s="520" t="s">
        <v>2738</v>
      </c>
      <c r="D137" s="1289" t="s">
        <v>1212</v>
      </c>
      <c r="E137" s="1289"/>
      <c r="F137" s="1289"/>
      <c r="I137" s="436" t="s">
        <v>2158</v>
      </c>
    </row>
    <row r="138" spans="1:9" s="449" customFormat="1" ht="13.7" customHeight="1">
      <c r="A138" s="523"/>
      <c r="B138" s="523"/>
      <c r="C138" s="523"/>
      <c r="D138" s="1289"/>
      <c r="E138" s="1289"/>
      <c r="F138" s="1289"/>
      <c r="I138" s="1064"/>
    </row>
    <row r="139" spans="1:9" ht="13.7" customHeight="1">
      <c r="D139" s="1289"/>
      <c r="E139" s="1289"/>
      <c r="F139" s="1289"/>
    </row>
    <row r="140" spans="1:9" ht="13.7" customHeight="1">
      <c r="D140" s="1289"/>
      <c r="E140" s="1289"/>
      <c r="F140" s="1289"/>
    </row>
    <row r="141" spans="1:9" ht="13.7" customHeight="1">
      <c r="D141" s="1289"/>
      <c r="E141" s="1289"/>
      <c r="F141" s="1289"/>
    </row>
    <row r="142" spans="1:9" ht="13.7" customHeight="1">
      <c r="A142" s="524"/>
      <c r="B142" s="524"/>
      <c r="D142" s="1289"/>
      <c r="E142" s="1289"/>
      <c r="F142" s="1289"/>
    </row>
    <row r="143" spans="1:9" ht="13.7" customHeight="1">
      <c r="D143" s="1289"/>
      <c r="E143" s="1289"/>
      <c r="F143" s="1289"/>
    </row>
    <row r="144" spans="1:9" ht="13.7" customHeight="1">
      <c r="D144" s="1289"/>
      <c r="E144" s="1289"/>
      <c r="F144" s="1289"/>
    </row>
    <row r="145" spans="2:9" ht="13.7" customHeight="1">
      <c r="D145" s="1289"/>
      <c r="E145" s="1289"/>
      <c r="F145" s="1289"/>
    </row>
    <row r="146" spans="2:9" ht="13.7" customHeight="1">
      <c r="D146" s="1289"/>
      <c r="E146" s="1289"/>
      <c r="F146" s="1289"/>
    </row>
    <row r="147" spans="2:9" ht="13.7" customHeight="1">
      <c r="D147" s="1289"/>
      <c r="E147" s="1289"/>
      <c r="F147" s="1289"/>
    </row>
    <row r="148" spans="2:9" ht="13.7" customHeight="1">
      <c r="D148" s="1289"/>
      <c r="E148" s="1289"/>
      <c r="F148" s="1289"/>
    </row>
    <row r="149" spans="2:9" ht="13.7" customHeight="1">
      <c r="D149" s="1289"/>
      <c r="E149" s="1289"/>
      <c r="F149" s="1289"/>
    </row>
    <row r="150" spans="2:9" ht="13.7" customHeight="1">
      <c r="D150" s="511"/>
      <c r="E150" s="481"/>
      <c r="F150" s="481"/>
    </row>
    <row r="151" spans="2:9" ht="13.7" customHeight="1">
      <c r="B151" s="520" t="s">
        <v>2650</v>
      </c>
      <c r="D151" s="1289" t="s">
        <v>1320</v>
      </c>
      <c r="E151" s="1289"/>
      <c r="F151" s="1289"/>
      <c r="I151" s="436" t="s">
        <v>2159</v>
      </c>
    </row>
    <row r="152" spans="2:9" ht="13.7" customHeight="1">
      <c r="D152" s="1289"/>
      <c r="E152" s="1289"/>
      <c r="F152" s="1289"/>
    </row>
    <row r="153" spans="2:9" ht="13.7" customHeight="1">
      <c r="D153" s="1289"/>
      <c r="E153" s="1289"/>
      <c r="F153" s="1289"/>
    </row>
    <row r="154" spans="2:9" ht="13.7" customHeight="1">
      <c r="D154" s="1289"/>
      <c r="E154" s="1289"/>
      <c r="F154" s="1289"/>
    </row>
    <row r="155" spans="2:9" ht="13.7" customHeight="1">
      <c r="D155" s="1289"/>
      <c r="E155" s="1289"/>
      <c r="F155" s="1289"/>
    </row>
    <row r="156" spans="2:9" ht="13.7" customHeight="1">
      <c r="D156" s="1289"/>
      <c r="E156" s="1289"/>
      <c r="F156" s="1289"/>
    </row>
    <row r="157" spans="2:9" ht="13.7" customHeight="1">
      <c r="D157" s="1289"/>
      <c r="E157" s="1289"/>
      <c r="F157" s="1289"/>
    </row>
    <row r="158" spans="2:9" ht="13.7" customHeight="1">
      <c r="D158" s="1289"/>
      <c r="E158" s="1289"/>
      <c r="F158" s="1289"/>
    </row>
    <row r="159" spans="2:9" ht="13.7" customHeight="1">
      <c r="D159" s="1289"/>
      <c r="E159" s="1289"/>
      <c r="F159" s="1289"/>
    </row>
    <row r="160" spans="2:9" ht="13.7" customHeight="1">
      <c r="D160" s="1289"/>
      <c r="E160" s="1289"/>
      <c r="F160" s="1289"/>
    </row>
    <row r="161" spans="1:9" ht="13.7" customHeight="1">
      <c r="D161" s="1289"/>
      <c r="E161" s="1289"/>
      <c r="F161" s="1289"/>
    </row>
    <row r="162" spans="1:9" ht="13.7" customHeight="1">
      <c r="D162" s="1289"/>
      <c r="E162" s="1289"/>
      <c r="F162" s="1289"/>
    </row>
    <row r="163" spans="1:9" ht="13.7" customHeight="1">
      <c r="D163" s="1289"/>
      <c r="E163" s="1289"/>
      <c r="F163" s="1289"/>
    </row>
    <row r="164" spans="1:9" ht="13.7" customHeight="1">
      <c r="D164" s="1289"/>
      <c r="E164" s="1289"/>
      <c r="F164" s="1289"/>
    </row>
    <row r="165" spans="1:9" ht="13.7" customHeight="1">
      <c r="D165" s="1289"/>
      <c r="E165" s="1289"/>
      <c r="F165" s="1289"/>
    </row>
    <row r="166" spans="1:9" ht="13.7" customHeight="1">
      <c r="D166" s="1289"/>
      <c r="E166" s="1289"/>
      <c r="F166" s="1289"/>
    </row>
    <row r="167" spans="1:9" ht="13.7" customHeight="1">
      <c r="D167" s="1289"/>
      <c r="E167" s="1289"/>
      <c r="F167" s="1289"/>
    </row>
    <row r="168" spans="1:9" ht="13.7" customHeight="1">
      <c r="D168" s="1289"/>
      <c r="E168" s="1289"/>
      <c r="F168" s="1289"/>
    </row>
    <row r="169" spans="1:9" ht="13.7" customHeight="1">
      <c r="D169" s="1334" t="s">
        <v>2474</v>
      </c>
      <c r="E169" s="1334"/>
      <c r="F169" s="1334"/>
      <c r="G169" s="542"/>
    </row>
    <row r="170" spans="1:9" ht="13.7" customHeight="1">
      <c r="D170" s="1275"/>
      <c r="E170" s="1275"/>
      <c r="F170" s="1275"/>
      <c r="G170" s="1275"/>
    </row>
    <row r="171" spans="1:9" ht="14.45" customHeight="1">
      <c r="A171" s="524"/>
      <c r="B171" s="520" t="s">
        <v>2650</v>
      </c>
      <c r="C171" s="511"/>
      <c r="D171" s="1271" t="s">
        <v>1367</v>
      </c>
      <c r="E171" s="1271"/>
      <c r="F171" s="1271"/>
      <c r="G171" s="511"/>
      <c r="I171" s="436" t="s">
        <v>2154</v>
      </c>
    </row>
    <row r="172" spans="1:9" ht="14.45" customHeight="1">
      <c r="A172" s="524"/>
      <c r="B172" s="524"/>
      <c r="C172" s="511"/>
      <c r="D172" s="1271"/>
      <c r="E172" s="1271"/>
      <c r="F172" s="1271"/>
      <c r="G172" s="511"/>
    </row>
    <row r="173" spans="1:9" ht="13.7" customHeight="1">
      <c r="A173" s="524"/>
      <c r="B173" s="524"/>
      <c r="C173" s="511"/>
      <c r="D173" s="1271"/>
      <c r="E173" s="1271"/>
      <c r="F173" s="1271"/>
      <c r="G173" s="511"/>
    </row>
    <row r="174" spans="1:9" ht="13.7" customHeight="1">
      <c r="A174" s="524"/>
      <c r="B174" s="524"/>
      <c r="C174" s="511"/>
      <c r="D174" s="511"/>
      <c r="E174" s="511"/>
      <c r="F174" s="511"/>
      <c r="G174" s="511"/>
    </row>
    <row r="175" spans="1:9" ht="13.7" customHeight="1">
      <c r="A175" s="524"/>
      <c r="B175" s="520" t="s">
        <v>2738</v>
      </c>
      <c r="C175" s="511"/>
      <c r="D175" s="1271" t="s">
        <v>1214</v>
      </c>
      <c r="E175" s="1271"/>
      <c r="F175" s="1271"/>
      <c r="G175" s="511"/>
      <c r="I175" s="436" t="s">
        <v>2160</v>
      </c>
    </row>
    <row r="176" spans="1:9" ht="13.7" customHeight="1">
      <c r="A176" s="524"/>
      <c r="B176" s="524"/>
      <c r="C176" s="511"/>
      <c r="D176" s="1271"/>
      <c r="E176" s="1271"/>
      <c r="F176" s="1271"/>
      <c r="G176" s="511"/>
    </row>
    <row r="177" spans="1:9" ht="13.7" customHeight="1">
      <c r="A177" s="524"/>
      <c r="B177" s="524"/>
      <c r="C177" s="511"/>
      <c r="D177" s="1271"/>
      <c r="E177" s="1271"/>
      <c r="F177" s="1271"/>
      <c r="G177" s="511"/>
    </row>
    <row r="178" spans="1:9" ht="13.7" customHeight="1">
      <c r="A178" s="524"/>
      <c r="B178" s="524"/>
      <c r="C178" s="511"/>
      <c r="D178" s="1271"/>
      <c r="E178" s="1271"/>
      <c r="F178" s="1271"/>
      <c r="G178" s="511"/>
    </row>
    <row r="179" spans="1:9" ht="13.7" customHeight="1">
      <c r="D179" s="481"/>
      <c r="E179" s="481"/>
      <c r="F179" s="481"/>
    </row>
    <row r="180" spans="1:9" ht="13.7" customHeight="1">
      <c r="B180" s="520" t="s">
        <v>2650</v>
      </c>
      <c r="D180" s="1276" t="s">
        <v>2450</v>
      </c>
      <c r="E180" s="1276"/>
      <c r="F180" s="1276"/>
      <c r="I180" s="436" t="s">
        <v>2161</v>
      </c>
    </row>
    <row r="181" spans="1:9" ht="13.7" customHeight="1">
      <c r="D181" s="1276"/>
      <c r="E181" s="1276"/>
      <c r="F181" s="1276"/>
    </row>
    <row r="182" spans="1:9" ht="13.7" customHeight="1">
      <c r="D182" s="1276"/>
      <c r="E182" s="1276"/>
      <c r="F182" s="1276"/>
    </row>
    <row r="183" spans="1:9" ht="13.7" customHeight="1">
      <c r="A183" s="525"/>
      <c r="B183" s="525"/>
      <c r="E183" s="481"/>
      <c r="F183" s="481"/>
    </row>
    <row r="184" spans="1:9">
      <c r="A184" s="1277" t="s">
        <v>2451</v>
      </c>
      <c r="B184" s="1277"/>
      <c r="C184" s="1277"/>
      <c r="D184" s="1277"/>
      <c r="E184" s="1277"/>
      <c r="F184" s="1277"/>
      <c r="G184" s="1277"/>
      <c r="H184" s="1071"/>
      <c r="I184" s="1072"/>
    </row>
    <row r="185" spans="1:9" ht="12" customHeight="1">
      <c r="D185" s="481"/>
      <c r="E185" s="481"/>
      <c r="F185" s="481"/>
    </row>
    <row r="186" spans="1:9">
      <c r="B186" s="1292" t="s">
        <v>449</v>
      </c>
      <c r="C186" s="1292"/>
      <c r="D186" s="1292"/>
      <c r="E186" s="1292"/>
      <c r="F186" s="1292"/>
    </row>
    <row r="187" spans="1:9">
      <c r="B187" s="424" t="s">
        <v>2140</v>
      </c>
      <c r="C187" s="424"/>
      <c r="D187" s="424"/>
      <c r="E187" s="424"/>
      <c r="F187" s="424"/>
    </row>
    <row r="188" spans="1:9" ht="12" customHeight="1">
      <c r="A188" s="517"/>
      <c r="B188" s="517"/>
      <c r="C188" s="517"/>
    </row>
    <row r="189" spans="1:9">
      <c r="A189" s="1277" t="s">
        <v>1110</v>
      </c>
      <c r="B189" s="1277"/>
      <c r="C189" s="1277"/>
      <c r="D189" s="1277"/>
      <c r="E189" s="1277"/>
      <c r="F189" s="1277"/>
      <c r="G189" s="1277"/>
      <c r="H189" s="1071"/>
      <c r="I189" s="1072"/>
    </row>
    <row r="190" spans="1:9" ht="12" customHeight="1">
      <c r="A190" s="436"/>
      <c r="B190" s="436"/>
      <c r="E190" s="436"/>
    </row>
    <row r="191" spans="1:9" ht="13.7" customHeight="1">
      <c r="A191" s="436"/>
      <c r="B191" s="436"/>
      <c r="D191" s="1291" t="s">
        <v>2007</v>
      </c>
      <c r="E191" s="1291"/>
      <c r="F191" s="1291"/>
    </row>
    <row r="192" spans="1:9">
      <c r="A192" s="436"/>
      <c r="B192" s="436"/>
      <c r="D192" s="1291"/>
      <c r="E192" s="1291"/>
      <c r="F192" s="1291"/>
    </row>
    <row r="193" spans="1:9">
      <c r="A193" s="436"/>
      <c r="B193" s="436"/>
      <c r="D193" s="1292" t="s">
        <v>1338</v>
      </c>
      <c r="E193" s="1292"/>
      <c r="F193" s="1292"/>
    </row>
    <row r="194" spans="1:9">
      <c r="A194" s="436"/>
      <c r="B194" s="436"/>
      <c r="D194" s="424"/>
      <c r="E194" s="424"/>
      <c r="F194" s="424"/>
    </row>
    <row r="195" spans="1:9">
      <c r="A195" s="436"/>
      <c r="B195" s="520" t="s">
        <v>2738</v>
      </c>
      <c r="D195" s="1273" t="s">
        <v>2008</v>
      </c>
      <c r="E195" s="1273"/>
      <c r="F195" s="1273"/>
      <c r="I195" s="436" t="s">
        <v>2210</v>
      </c>
    </row>
    <row r="196" spans="1:9">
      <c r="A196" s="436"/>
      <c r="B196" s="436"/>
      <c r="D196" s="1305" t="s">
        <v>2283</v>
      </c>
      <c r="E196" s="1305"/>
      <c r="F196" s="1305"/>
    </row>
    <row r="197" spans="1:9">
      <c r="A197" s="436"/>
      <c r="B197" s="436"/>
      <c r="D197" s="96" t="s">
        <v>2009</v>
      </c>
      <c r="E197" s="1336" t="s">
        <v>2306</v>
      </c>
      <c r="F197" s="1336"/>
    </row>
    <row r="198" spans="1:9">
      <c r="A198" s="436"/>
      <c r="B198" s="436"/>
      <c r="D198" s="3"/>
      <c r="E198" s="3"/>
      <c r="F198" s="3"/>
    </row>
    <row r="199" spans="1:9">
      <c r="A199" s="436"/>
      <c r="B199" s="520" t="s">
        <v>308</v>
      </c>
      <c r="D199" s="1305" t="s">
        <v>2010</v>
      </c>
      <c r="E199" s="1305"/>
      <c r="F199" s="1305"/>
      <c r="I199" s="436" t="s">
        <v>2211</v>
      </c>
    </row>
    <row r="200" spans="1:9">
      <c r="A200" s="436"/>
      <c r="B200" s="436"/>
      <c r="D200" s="1273" t="s">
        <v>2283</v>
      </c>
      <c r="E200" s="1273"/>
      <c r="F200" s="1273"/>
    </row>
    <row r="201" spans="1:9">
      <c r="A201" s="436"/>
      <c r="B201" s="436"/>
      <c r="D201" s="57" t="s">
        <v>2011</v>
      </c>
      <c r="E201" s="1336" t="s">
        <v>2307</v>
      </c>
      <c r="F201" s="1336"/>
    </row>
    <row r="202" spans="1:9">
      <c r="A202" s="436"/>
      <c r="B202" s="436"/>
      <c r="D202" s="3"/>
      <c r="E202" s="3"/>
      <c r="F202" s="3"/>
    </row>
    <row r="203" spans="1:9">
      <c r="A203" s="436"/>
      <c r="B203" s="520" t="s">
        <v>308</v>
      </c>
      <c r="D203" s="1305" t="s">
        <v>2012</v>
      </c>
      <c r="E203" s="1305"/>
      <c r="F203" s="1305"/>
      <c r="I203" s="436" t="s">
        <v>2212</v>
      </c>
    </row>
    <row r="204" spans="1:9">
      <c r="A204" s="436"/>
      <c r="B204" s="436"/>
      <c r="D204" s="1273" t="s">
        <v>2283</v>
      </c>
      <c r="E204" s="1273"/>
      <c r="F204" s="1273"/>
    </row>
    <row r="205" spans="1:9">
      <c r="A205" s="436"/>
      <c r="B205" s="436"/>
      <c r="D205" s="57" t="s">
        <v>2009</v>
      </c>
      <c r="E205" s="1336" t="s">
        <v>2308</v>
      </c>
      <c r="F205" s="1336"/>
    </row>
    <row r="206" spans="1:9">
      <c r="A206" s="436"/>
      <c r="B206" s="436"/>
      <c r="D206" s="424"/>
      <c r="E206" s="424"/>
      <c r="F206" s="424"/>
    </row>
    <row r="207" spans="1:9" ht="14.25" customHeight="1">
      <c r="A207" s="519"/>
      <c r="B207" s="520" t="s">
        <v>308</v>
      </c>
      <c r="D207" s="418" t="s">
        <v>2276</v>
      </c>
      <c r="E207" s="417"/>
      <c r="F207" s="417"/>
      <c r="I207" s="436" t="s">
        <v>2213</v>
      </c>
    </row>
    <row r="208" spans="1:9" ht="14.25">
      <c r="A208" s="519"/>
      <c r="B208" s="519"/>
      <c r="D208" s="1273" t="s">
        <v>2283</v>
      </c>
      <c r="E208" s="1273"/>
      <c r="F208" s="1273"/>
    </row>
    <row r="209" spans="1:9">
      <c r="D209" s="417"/>
      <c r="E209" s="1336" t="s">
        <v>2309</v>
      </c>
      <c r="F209" s="1336"/>
    </row>
    <row r="210" spans="1:9">
      <c r="D210" s="482"/>
    </row>
    <row r="211" spans="1:9">
      <c r="B211" s="520" t="s">
        <v>308</v>
      </c>
      <c r="D211" s="1305" t="s">
        <v>2013</v>
      </c>
      <c r="E211" s="1305"/>
      <c r="F211" s="1305"/>
      <c r="I211" s="436" t="s">
        <v>2214</v>
      </c>
    </row>
    <row r="212" spans="1:9">
      <c r="D212" s="1273" t="s">
        <v>2283</v>
      </c>
      <c r="E212" s="1273"/>
      <c r="F212" s="1273"/>
    </row>
    <row r="213" spans="1:9">
      <c r="D213" s="57" t="s">
        <v>2009</v>
      </c>
      <c r="E213" s="1336" t="s">
        <v>2310</v>
      </c>
      <c r="F213" s="1336"/>
    </row>
    <row r="214" spans="1:9">
      <c r="D214" s="486"/>
      <c r="E214" s="486"/>
      <c r="F214" s="486"/>
    </row>
    <row r="215" spans="1:9" ht="14.25">
      <c r="A215" s="519"/>
      <c r="B215" s="520" t="s">
        <v>308</v>
      </c>
      <c r="D215" s="1289" t="s">
        <v>1359</v>
      </c>
      <c r="E215" s="1289"/>
      <c r="F215" s="1289"/>
    </row>
    <row r="216" spans="1:9" ht="14.45" customHeight="1">
      <c r="A216" s="519"/>
      <c r="B216" s="434"/>
      <c r="D216" s="1289"/>
      <c r="E216" s="1289"/>
      <c r="F216" s="1289"/>
    </row>
    <row r="217" spans="1:9" ht="14.25">
      <c r="A217" s="519"/>
      <c r="D217" s="1289"/>
      <c r="E217" s="1289"/>
      <c r="F217" s="1289"/>
    </row>
    <row r="218" spans="1:9" ht="14.25">
      <c r="A218" s="519"/>
      <c r="D218" s="1289"/>
      <c r="E218" s="1289"/>
      <c r="F218" s="1289"/>
    </row>
    <row r="219" spans="1:9">
      <c r="D219" s="486"/>
      <c r="E219" s="486"/>
      <c r="F219" s="486"/>
    </row>
    <row r="220" spans="1:9">
      <c r="A220" s="1277" t="s">
        <v>1111</v>
      </c>
      <c r="B220" s="1277"/>
      <c r="C220" s="1277"/>
      <c r="D220" s="1277"/>
      <c r="E220" s="1277"/>
      <c r="F220" s="1277"/>
      <c r="G220" s="1277"/>
      <c r="H220" s="1071"/>
      <c r="I220" s="1072"/>
    </row>
    <row r="221" spans="1:9" ht="12" customHeight="1">
      <c r="D221" s="481"/>
      <c r="E221" s="481"/>
      <c r="F221" s="481"/>
    </row>
    <row r="222" spans="1:9">
      <c r="C222" s="521"/>
      <c r="D222" s="1288" t="s">
        <v>209</v>
      </c>
      <c r="E222" s="1288"/>
      <c r="F222" s="1288"/>
    </row>
    <row r="223" spans="1:9">
      <c r="A223" s="517"/>
      <c r="B223" s="517"/>
      <c r="C223" s="517"/>
      <c r="D223" s="1290" t="s">
        <v>1240</v>
      </c>
      <c r="E223" s="1290"/>
      <c r="F223" s="1290"/>
    </row>
    <row r="224" spans="1:9" ht="12" customHeight="1">
      <c r="A224" s="525"/>
      <c r="B224" s="525"/>
      <c r="C224" s="525"/>
    </row>
    <row r="225" spans="1:9" ht="13.7" customHeight="1">
      <c r="A225" s="525"/>
      <c r="C225" s="525"/>
      <c r="D225" s="1288" t="s">
        <v>555</v>
      </c>
      <c r="E225" s="1288"/>
      <c r="F225" s="1288"/>
      <c r="I225" s="436" t="s">
        <v>2162</v>
      </c>
    </row>
    <row r="226" spans="1:9" ht="14.25">
      <c r="A226" s="519"/>
      <c r="B226" s="520" t="s">
        <v>2738</v>
      </c>
      <c r="D226" s="1289" t="s">
        <v>2014</v>
      </c>
      <c r="E226" s="1289"/>
      <c r="F226" s="1289"/>
    </row>
    <row r="227" spans="1:9" ht="14.25" customHeight="1">
      <c r="A227" s="519"/>
      <c r="B227" s="519"/>
      <c r="D227" s="1289"/>
      <c r="E227" s="1289"/>
      <c r="F227" s="1289"/>
    </row>
    <row r="228" spans="1:9" ht="14.25" customHeight="1">
      <c r="A228" s="519"/>
      <c r="B228" s="519"/>
      <c r="D228" s="1289"/>
      <c r="E228" s="1289"/>
      <c r="F228" s="1289"/>
    </row>
    <row r="229" spans="1:9" ht="14.25">
      <c r="A229" s="519"/>
      <c r="B229" s="519"/>
      <c r="D229" s="1289"/>
      <c r="E229" s="1289"/>
      <c r="F229" s="1289"/>
    </row>
    <row r="230" spans="1:9" ht="14.25">
      <c r="A230" s="519"/>
      <c r="B230" s="519"/>
      <c r="D230" s="480"/>
      <c r="E230" s="480"/>
      <c r="F230" s="480"/>
    </row>
    <row r="231" spans="1:9" ht="14.25">
      <c r="A231" s="519"/>
      <c r="B231" s="520" t="s">
        <v>2738</v>
      </c>
      <c r="D231" s="1289" t="s">
        <v>2015</v>
      </c>
      <c r="E231" s="1289"/>
      <c r="F231" s="1289"/>
      <c r="I231" s="436" t="s">
        <v>2163</v>
      </c>
    </row>
    <row r="232" spans="1:9" ht="14.25">
      <c r="A232" s="519"/>
      <c r="B232" s="519"/>
      <c r="D232" s="1289"/>
      <c r="E232" s="1289"/>
      <c r="F232" s="1289"/>
    </row>
    <row r="233" spans="1:9" ht="14.25">
      <c r="A233" s="519"/>
      <c r="B233" s="519"/>
      <c r="D233" s="1289"/>
      <c r="E233" s="1289"/>
      <c r="F233" s="1289"/>
    </row>
    <row r="234" spans="1:9" ht="14.25">
      <c r="A234" s="519"/>
      <c r="B234" s="519"/>
      <c r="D234" s="1289"/>
      <c r="E234" s="1289"/>
      <c r="F234" s="1289"/>
    </row>
    <row r="235" spans="1:9" ht="14.25" customHeight="1">
      <c r="A235" s="519"/>
      <c r="B235" s="519"/>
      <c r="D235" s="1289"/>
      <c r="E235" s="1289"/>
      <c r="F235" s="1289"/>
    </row>
    <row r="236" spans="1:9" ht="14.25" customHeight="1">
      <c r="A236" s="519"/>
      <c r="B236" s="519"/>
      <c r="D236" s="480"/>
      <c r="E236" s="480"/>
      <c r="F236" s="480"/>
    </row>
    <row r="237" spans="1:9" ht="14.25">
      <c r="A237" s="519"/>
      <c r="B237" s="519"/>
      <c r="D237" s="1289" t="s">
        <v>1236</v>
      </c>
      <c r="E237" s="1289"/>
      <c r="F237" s="1289"/>
      <c r="I237" s="436" t="s">
        <v>2162</v>
      </c>
    </row>
    <row r="238" spans="1:9" ht="14.25">
      <c r="A238" s="519"/>
      <c r="B238" s="519"/>
      <c r="D238" s="1289"/>
      <c r="E238" s="1289"/>
      <c r="F238" s="1289"/>
    </row>
    <row r="239" spans="1:9" ht="14.25">
      <c r="A239" s="519"/>
      <c r="B239" s="519"/>
      <c r="D239" s="1289"/>
      <c r="E239" s="1289"/>
      <c r="F239" s="1289"/>
    </row>
    <row r="240" spans="1:9" ht="14.25">
      <c r="A240" s="519"/>
      <c r="B240" s="519"/>
      <c r="D240" s="1289"/>
      <c r="E240" s="1289"/>
      <c r="F240" s="1289"/>
    </row>
    <row r="241" spans="1:9" ht="14.25">
      <c r="A241" s="519"/>
      <c r="B241" s="519"/>
      <c r="D241" s="1289"/>
      <c r="E241" s="1289"/>
      <c r="F241" s="1289"/>
    </row>
    <row r="242" spans="1:9" ht="14.25">
      <c r="A242" s="519"/>
      <c r="B242" s="519"/>
      <c r="D242" s="481"/>
      <c r="E242" s="481"/>
      <c r="F242" s="481"/>
    </row>
    <row r="243" spans="1:9" ht="14.25">
      <c r="A243" s="519"/>
      <c r="B243" s="520" t="s">
        <v>2650</v>
      </c>
      <c r="D243" s="1289" t="s">
        <v>2452</v>
      </c>
      <c r="E243" s="1289"/>
      <c r="F243" s="1289"/>
      <c r="I243" s="436" t="s">
        <v>2201</v>
      </c>
    </row>
    <row r="244" spans="1:9" ht="14.25">
      <c r="A244" s="519"/>
      <c r="B244" s="519"/>
      <c r="D244" s="1289"/>
      <c r="E244" s="1289"/>
      <c r="F244" s="1289"/>
    </row>
    <row r="245" spans="1:9" ht="14.25">
      <c r="A245" s="519"/>
      <c r="B245" s="519"/>
      <c r="D245" s="1289"/>
      <c r="E245" s="1289"/>
      <c r="F245" s="1289"/>
    </row>
    <row r="246" spans="1:9" ht="14.25">
      <c r="A246" s="519"/>
      <c r="B246" s="519"/>
      <c r="E246" s="1080" t="s">
        <v>2277</v>
      </c>
    </row>
    <row r="247" spans="1:9" ht="14.25">
      <c r="A247" s="519"/>
      <c r="B247" s="519"/>
      <c r="D247" s="481"/>
      <c r="E247" s="481"/>
      <c r="F247" s="481"/>
    </row>
    <row r="248" spans="1:9" ht="14.45" customHeight="1">
      <c r="A248" s="519"/>
      <c r="B248" s="520" t="s">
        <v>2650</v>
      </c>
      <c r="D248" s="1289" t="s">
        <v>2453</v>
      </c>
      <c r="E248" s="1289"/>
      <c r="F248" s="1289"/>
      <c r="I248" s="436" t="s">
        <v>2219</v>
      </c>
    </row>
    <row r="249" spans="1:9" ht="14.25">
      <c r="A249" s="519"/>
      <c r="B249" s="519"/>
      <c r="D249" s="1289"/>
      <c r="E249" s="1289"/>
      <c r="F249" s="1289"/>
    </row>
    <row r="250" spans="1:9" ht="14.25">
      <c r="A250" s="519"/>
      <c r="B250" s="519"/>
      <c r="D250" s="1289"/>
      <c r="E250" s="1289"/>
      <c r="F250" s="1289"/>
    </row>
    <row r="251" spans="1:9" ht="14.25">
      <c r="A251" s="519"/>
      <c r="B251" s="519"/>
      <c r="D251" s="1289"/>
      <c r="E251" s="1289"/>
      <c r="F251" s="1289"/>
    </row>
    <row r="252" spans="1:9" ht="14.25">
      <c r="A252" s="519"/>
      <c r="B252" s="519"/>
      <c r="D252" s="1289"/>
      <c r="E252" s="1289"/>
      <c r="F252" s="1289"/>
    </row>
    <row r="253" spans="1:9" ht="14.25">
      <c r="A253" s="519"/>
      <c r="B253" s="519"/>
      <c r="D253" s="480"/>
      <c r="E253" s="480"/>
      <c r="F253" s="480"/>
    </row>
    <row r="254" spans="1:9" ht="14.25">
      <c r="A254" s="519"/>
      <c r="B254" s="520" t="s">
        <v>2738</v>
      </c>
      <c r="D254" s="424" t="s">
        <v>2454</v>
      </c>
      <c r="E254" s="480"/>
      <c r="F254" s="480"/>
      <c r="I254" s="436" t="s">
        <v>2200</v>
      </c>
    </row>
    <row r="255" spans="1:9" ht="14.25">
      <c r="A255" s="519"/>
      <c r="B255" s="519"/>
      <c r="E255" s="1080" t="s">
        <v>2278</v>
      </c>
    </row>
    <row r="256" spans="1:9">
      <c r="D256" s="481"/>
      <c r="E256" s="481"/>
      <c r="F256" s="481"/>
    </row>
    <row r="257" spans="1:9" ht="14.25">
      <c r="A257" s="519"/>
      <c r="B257" s="520" t="s">
        <v>2738</v>
      </c>
      <c r="D257" s="1289" t="s">
        <v>1238</v>
      </c>
      <c r="E257" s="1289"/>
      <c r="F257" s="1289"/>
    </row>
    <row r="258" spans="1:9" ht="14.25">
      <c r="A258" s="519"/>
      <c r="B258" s="519"/>
      <c r="D258" s="1289"/>
      <c r="E258" s="1289"/>
      <c r="F258" s="1289"/>
    </row>
    <row r="259" spans="1:9">
      <c r="D259" s="526"/>
    </row>
    <row r="260" spans="1:9">
      <c r="A260" s="1277" t="s">
        <v>1112</v>
      </c>
      <c r="B260" s="1277"/>
      <c r="C260" s="1277"/>
      <c r="D260" s="1277"/>
      <c r="E260" s="1277"/>
      <c r="F260" s="1277"/>
      <c r="G260" s="1277"/>
      <c r="H260" s="1071"/>
      <c r="I260" s="1072"/>
    </row>
    <row r="261" spans="1:9">
      <c r="D261" s="526"/>
    </row>
    <row r="262" spans="1:9">
      <c r="C262" s="521"/>
      <c r="D262" s="1288" t="s">
        <v>1241</v>
      </c>
      <c r="E262" s="1288"/>
      <c r="F262" s="1288"/>
    </row>
    <row r="263" spans="1:9">
      <c r="A263" s="517"/>
      <c r="B263" s="517"/>
      <c r="C263" s="517"/>
      <c r="D263" s="481"/>
      <c r="E263" s="481"/>
      <c r="F263" s="481"/>
    </row>
    <row r="264" spans="1:9">
      <c r="A264" s="518"/>
      <c r="B264" s="518"/>
      <c r="C264" s="518"/>
      <c r="D264" s="1288" t="s">
        <v>270</v>
      </c>
      <c r="E264" s="1288"/>
      <c r="F264" s="1288"/>
      <c r="I264" s="436" t="s">
        <v>2202</v>
      </c>
    </row>
    <row r="265" spans="1:9" ht="14.45" customHeight="1">
      <c r="A265" s="519"/>
      <c r="B265" s="520" t="s">
        <v>2738</v>
      </c>
      <c r="D265" s="1289" t="s">
        <v>1339</v>
      </c>
      <c r="E265" s="1289"/>
      <c r="F265" s="1289"/>
    </row>
    <row r="266" spans="1:9">
      <c r="D266" s="1289"/>
      <c r="E266" s="1289"/>
      <c r="F266" s="1289"/>
    </row>
    <row r="267" spans="1:9">
      <c r="E267" s="1080" t="s">
        <v>2279</v>
      </c>
    </row>
    <row r="268" spans="1:9">
      <c r="D268" s="481"/>
      <c r="E268" s="481"/>
      <c r="F268" s="481"/>
    </row>
    <row r="269" spans="1:9" ht="14.45" customHeight="1">
      <c r="A269" s="519"/>
      <c r="B269" s="520" t="s">
        <v>2650</v>
      </c>
      <c r="D269" s="1289" t="s">
        <v>2455</v>
      </c>
      <c r="E269" s="1289"/>
      <c r="F269" s="1289"/>
      <c r="I269" s="436" t="s">
        <v>2220</v>
      </c>
    </row>
    <row r="270" spans="1:9">
      <c r="D270" s="1289"/>
      <c r="E270" s="1289"/>
      <c r="F270" s="1289"/>
    </row>
    <row r="271" spans="1:9">
      <c r="D271" s="1289"/>
      <c r="E271" s="1289"/>
      <c r="F271" s="1289"/>
    </row>
    <row r="272" spans="1:9">
      <c r="D272" s="1289"/>
      <c r="E272" s="1289"/>
      <c r="F272" s="1289"/>
    </row>
    <row r="273" spans="1:9">
      <c r="D273" s="1289"/>
      <c r="E273" s="1289"/>
      <c r="F273" s="1289"/>
    </row>
    <row r="274" spans="1:9">
      <c r="D274" s="1289"/>
      <c r="E274" s="1289"/>
      <c r="F274" s="1289"/>
    </row>
    <row r="275" spans="1:9">
      <c r="D275" s="481"/>
      <c r="E275" s="481"/>
      <c r="F275" s="481"/>
    </row>
    <row r="276" spans="1:9" ht="14.25">
      <c r="A276" s="519"/>
      <c r="B276" s="520" t="s">
        <v>2650</v>
      </c>
      <c r="D276" s="1289" t="s">
        <v>1244</v>
      </c>
      <c r="E276" s="1289"/>
      <c r="F276" s="1289"/>
    </row>
    <row r="277" spans="1:9">
      <c r="D277" s="1289"/>
      <c r="E277" s="1289"/>
      <c r="F277" s="1289"/>
    </row>
    <row r="278" spans="1:9">
      <c r="D278" s="1289"/>
      <c r="E278" s="1289"/>
      <c r="F278" s="1289"/>
    </row>
    <row r="279" spans="1:9">
      <c r="D279" s="527"/>
      <c r="E279" s="481"/>
      <c r="F279" s="481"/>
    </row>
    <row r="280" spans="1:9">
      <c r="A280" s="1277" t="s">
        <v>1113</v>
      </c>
      <c r="B280" s="1277"/>
      <c r="C280" s="1277"/>
      <c r="D280" s="1277"/>
      <c r="E280" s="1277"/>
      <c r="F280" s="1277"/>
      <c r="G280" s="1277"/>
      <c r="H280" s="1071"/>
      <c r="I280" s="1072"/>
    </row>
    <row r="281" spans="1:9">
      <c r="D281" s="527"/>
      <c r="E281" s="481"/>
      <c r="F281" s="481"/>
    </row>
    <row r="282" spans="1:9">
      <c r="C282" s="517"/>
      <c r="D282" s="1291" t="s">
        <v>1246</v>
      </c>
      <c r="E282" s="1291"/>
      <c r="F282" s="1291"/>
    </row>
    <row r="283" spans="1:9">
      <c r="C283" s="517"/>
      <c r="D283" s="1291"/>
      <c r="E283" s="1291"/>
      <c r="F283" s="1291"/>
    </row>
    <row r="284" spans="1:9">
      <c r="A284" s="518"/>
      <c r="B284" s="518"/>
      <c r="C284" s="518"/>
      <c r="D284" s="436"/>
    </row>
    <row r="285" spans="1:9">
      <c r="C285" s="518"/>
      <c r="D285" s="1288" t="s">
        <v>210</v>
      </c>
      <c r="E285" s="1288"/>
      <c r="F285" s="1288"/>
    </row>
    <row r="286" spans="1:9" ht="15.75" customHeight="1">
      <c r="A286" s="519"/>
      <c r="B286" s="519"/>
      <c r="D286" s="1340" t="s">
        <v>1247</v>
      </c>
      <c r="E286" s="1340"/>
      <c r="F286" s="1340"/>
    </row>
    <row r="287" spans="1:9">
      <c r="E287" s="481"/>
      <c r="F287" s="481"/>
    </row>
    <row r="288" spans="1:9" ht="14.25">
      <c r="A288" s="519"/>
      <c r="B288" s="520" t="s">
        <v>2650</v>
      </c>
      <c r="D288" s="1289" t="s">
        <v>1248</v>
      </c>
      <c r="E288" s="1289"/>
      <c r="F288" s="1289"/>
      <c r="I288" s="436" t="s">
        <v>2164</v>
      </c>
    </row>
    <row r="289" spans="1:9" ht="14.25">
      <c r="A289" s="519"/>
      <c r="B289" s="519"/>
      <c r="D289" s="1289"/>
      <c r="E289" s="1289"/>
      <c r="F289" s="1289"/>
    </row>
    <row r="290" spans="1:9">
      <c r="D290" s="481"/>
      <c r="E290" s="481"/>
      <c r="F290" s="481"/>
    </row>
    <row r="291" spans="1:9" ht="14.25">
      <c r="A291" s="519"/>
      <c r="B291" s="520" t="s">
        <v>2650</v>
      </c>
      <c r="D291" s="1289" t="s">
        <v>1249</v>
      </c>
      <c r="E291" s="1289"/>
      <c r="F291" s="1289"/>
      <c r="I291" s="436" t="s">
        <v>2164</v>
      </c>
    </row>
    <row r="292" spans="1:9" ht="14.25">
      <c r="A292" s="519"/>
      <c r="B292" s="519"/>
      <c r="D292" s="1289"/>
      <c r="E292" s="1289"/>
      <c r="F292" s="1289"/>
    </row>
    <row r="293" spans="1:9" ht="14.25">
      <c r="A293" s="519"/>
      <c r="B293" s="519"/>
      <c r="D293" s="1289"/>
      <c r="E293" s="1289"/>
      <c r="F293" s="1289"/>
    </row>
    <row r="294" spans="1:9">
      <c r="D294" s="481"/>
      <c r="E294" s="481"/>
      <c r="F294" s="481"/>
    </row>
    <row r="295" spans="1:9" ht="14.25">
      <c r="A295" s="519"/>
      <c r="B295" s="520" t="s">
        <v>2650</v>
      </c>
      <c r="D295" s="1289" t="s">
        <v>1250</v>
      </c>
      <c r="E295" s="1289"/>
      <c r="F295" s="1289"/>
      <c r="I295" s="436" t="s">
        <v>2164</v>
      </c>
    </row>
    <row r="296" spans="1:9" ht="14.25">
      <c r="A296" s="519"/>
      <c r="B296" s="519"/>
      <c r="D296" s="1289"/>
      <c r="E296" s="1289"/>
      <c r="F296" s="1289"/>
    </row>
    <row r="297" spans="1:9">
      <c r="A297" s="525"/>
      <c r="B297" s="525"/>
      <c r="E297" s="481"/>
      <c r="F297" s="481"/>
    </row>
    <row r="298" spans="1:9">
      <c r="A298" s="1277" t="s">
        <v>1114</v>
      </c>
      <c r="B298" s="1277"/>
      <c r="C298" s="1277"/>
      <c r="D298" s="1277"/>
      <c r="E298" s="1277"/>
      <c r="F298" s="1277"/>
      <c r="G298" s="1277"/>
      <c r="H298" s="1071"/>
      <c r="I298" s="1072"/>
    </row>
    <row r="299" spans="1:9">
      <c r="A299" s="525"/>
      <c r="B299" s="525"/>
      <c r="D299" s="481"/>
      <c r="E299" s="481"/>
      <c r="F299" s="481"/>
    </row>
    <row r="300" spans="1:9">
      <c r="C300" s="525"/>
      <c r="D300" s="1288" t="s">
        <v>691</v>
      </c>
      <c r="E300" s="1288"/>
      <c r="F300" s="1288"/>
    </row>
    <row r="301" spans="1:9">
      <c r="C301" s="525"/>
      <c r="D301" s="1290" t="s">
        <v>1251</v>
      </c>
      <c r="E301" s="1290"/>
      <c r="F301" s="1290"/>
    </row>
    <row r="302" spans="1:9">
      <c r="C302" s="525"/>
      <c r="D302" s="528"/>
    </row>
    <row r="303" spans="1:9">
      <c r="B303" s="520" t="s">
        <v>2650</v>
      </c>
      <c r="D303" s="1290" t="s">
        <v>1252</v>
      </c>
      <c r="E303" s="1290"/>
      <c r="F303" s="1290"/>
      <c r="I303" s="436" t="s">
        <v>2165</v>
      </c>
    </row>
    <row r="304" spans="1:9" ht="14.25">
      <c r="A304" s="519"/>
      <c r="B304" s="519"/>
      <c r="D304" s="529"/>
      <c r="E304" s="530"/>
      <c r="F304" s="530"/>
    </row>
    <row r="305" spans="1:9" ht="13.7" customHeight="1">
      <c r="B305" s="520" t="s">
        <v>2650</v>
      </c>
      <c r="D305" s="1343" t="s">
        <v>1363</v>
      </c>
      <c r="E305" s="1343"/>
      <c r="F305" s="1343"/>
      <c r="I305" s="436" t="s">
        <v>2165</v>
      </c>
    </row>
    <row r="306" spans="1:9" ht="14.25">
      <c r="A306" s="519"/>
      <c r="B306" s="519"/>
      <c r="D306" s="1343"/>
      <c r="E306" s="1343"/>
      <c r="F306" s="1343"/>
    </row>
    <row r="307" spans="1:9" ht="14.25">
      <c r="A307" s="519"/>
      <c r="B307" s="519"/>
      <c r="D307" s="1343"/>
      <c r="E307" s="1343"/>
      <c r="F307" s="1343"/>
    </row>
    <row r="308" spans="1:9" ht="14.25">
      <c r="A308" s="519"/>
      <c r="B308" s="519"/>
      <c r="D308" s="1343"/>
      <c r="E308" s="1343"/>
      <c r="F308" s="1343"/>
    </row>
    <row r="309" spans="1:9" ht="14.25">
      <c r="A309" s="519"/>
      <c r="B309" s="519"/>
      <c r="D309" s="1343"/>
      <c r="E309" s="1343"/>
      <c r="F309" s="1343"/>
    </row>
    <row r="310" spans="1:9" ht="14.25">
      <c r="A310" s="519"/>
      <c r="B310" s="519"/>
      <c r="D310" s="529"/>
      <c r="E310" s="530"/>
      <c r="F310" s="530"/>
    </row>
    <row r="311" spans="1:9" ht="13.7" customHeight="1">
      <c r="B311" s="520" t="s">
        <v>2650</v>
      </c>
      <c r="D311" s="1343" t="s">
        <v>1254</v>
      </c>
      <c r="E311" s="1343"/>
      <c r="F311" s="1343"/>
      <c r="I311" s="436" t="s">
        <v>2165</v>
      </c>
    </row>
    <row r="312" spans="1:9">
      <c r="D312" s="1343"/>
      <c r="E312" s="1343"/>
      <c r="F312" s="1343"/>
    </row>
    <row r="313" spans="1:9" ht="14.25">
      <c r="A313" s="519"/>
      <c r="B313" s="519"/>
      <c r="D313" s="529"/>
      <c r="E313" s="530"/>
      <c r="F313" s="530"/>
    </row>
    <row r="314" spans="1:9">
      <c r="B314" s="520" t="s">
        <v>2650</v>
      </c>
      <c r="D314" s="1290" t="s">
        <v>1255</v>
      </c>
      <c r="E314" s="1290"/>
      <c r="F314" s="1290"/>
      <c r="I314" s="436" t="s">
        <v>2151</v>
      </c>
    </row>
    <row r="315" spans="1:9">
      <c r="E315" s="481"/>
      <c r="F315" s="481"/>
    </row>
    <row r="316" spans="1:9" ht="14.25">
      <c r="A316" s="519"/>
      <c r="B316" s="520" t="s">
        <v>2650</v>
      </c>
      <c r="D316" s="1289" t="s">
        <v>2475</v>
      </c>
      <c r="E316" s="1289"/>
      <c r="F316" s="1289"/>
      <c r="I316" s="436" t="s">
        <v>2166</v>
      </c>
    </row>
    <row r="317" spans="1:9" ht="14.25">
      <c r="A317" s="519"/>
      <c r="B317" s="519"/>
      <c r="D317" s="1289"/>
      <c r="E317" s="1289"/>
      <c r="F317" s="1289"/>
    </row>
    <row r="318" spans="1:9" ht="14.25">
      <c r="A318" s="519"/>
      <c r="B318" s="519"/>
      <c r="D318" s="1289"/>
      <c r="E318" s="1289"/>
      <c r="F318" s="1289"/>
    </row>
    <row r="319" spans="1:9" ht="14.25">
      <c r="A319" s="519"/>
      <c r="B319" s="519"/>
      <c r="D319" s="1289"/>
      <c r="E319" s="1289"/>
      <c r="F319" s="1289"/>
    </row>
    <row r="320" spans="1:9" ht="14.25">
      <c r="A320" s="519"/>
      <c r="B320" s="519"/>
      <c r="D320" s="1289"/>
      <c r="E320" s="1289"/>
      <c r="F320" s="1289"/>
    </row>
    <row r="321" spans="1:9" ht="14.25">
      <c r="A321" s="519"/>
      <c r="B321" s="519"/>
      <c r="D321" s="1289"/>
      <c r="E321" s="1289"/>
      <c r="F321" s="1289"/>
    </row>
    <row r="322" spans="1:9" ht="14.25">
      <c r="A322" s="519"/>
      <c r="B322" s="519"/>
      <c r="D322" s="1289"/>
      <c r="E322" s="1289"/>
      <c r="F322" s="1289"/>
    </row>
    <row r="323" spans="1:9" ht="14.25">
      <c r="A323" s="519"/>
      <c r="B323" s="519"/>
      <c r="D323" s="1289"/>
      <c r="E323" s="1289"/>
      <c r="F323" s="1289"/>
    </row>
    <row r="324" spans="1:9" ht="14.25">
      <c r="A324" s="519"/>
      <c r="B324" s="519"/>
      <c r="D324" s="1289"/>
      <c r="E324" s="1289"/>
      <c r="F324" s="1289"/>
    </row>
    <row r="325" spans="1:9" ht="14.25">
      <c r="A325" s="519"/>
      <c r="B325" s="519"/>
      <c r="D325" s="1289"/>
      <c r="E325" s="1289"/>
      <c r="F325" s="1289"/>
    </row>
    <row r="326" spans="1:9" ht="14.25">
      <c r="A326" s="519"/>
      <c r="B326" s="519"/>
      <c r="D326" s="1289"/>
      <c r="E326" s="1289"/>
      <c r="F326" s="1289"/>
    </row>
    <row r="327" spans="1:9" ht="14.25">
      <c r="A327" s="519"/>
      <c r="B327" s="519"/>
      <c r="D327" s="1289"/>
      <c r="E327" s="1289"/>
      <c r="F327" s="1289"/>
    </row>
    <row r="328" spans="1:9" ht="14.25">
      <c r="A328" s="519"/>
      <c r="B328" s="519"/>
      <c r="D328" s="1289"/>
      <c r="E328" s="1289"/>
      <c r="F328" s="1289"/>
    </row>
    <row r="329" spans="1:9" ht="14.25">
      <c r="A329" s="519"/>
      <c r="B329" s="519"/>
      <c r="D329" s="1289"/>
      <c r="E329" s="1289"/>
      <c r="F329" s="1289"/>
    </row>
    <row r="330" spans="1:9" ht="14.25">
      <c r="A330" s="519"/>
      <c r="B330" s="519"/>
      <c r="D330" s="1289"/>
      <c r="E330" s="1289"/>
      <c r="F330" s="1289"/>
    </row>
    <row r="331" spans="1:9">
      <c r="D331" s="481"/>
      <c r="E331" s="481"/>
      <c r="F331" s="481"/>
    </row>
    <row r="332" spans="1:9" ht="14.25">
      <c r="A332" s="519"/>
      <c r="B332" s="520" t="s">
        <v>2650</v>
      </c>
      <c r="D332" s="1289" t="s">
        <v>1257</v>
      </c>
      <c r="E332" s="1289"/>
      <c r="F332" s="1289"/>
      <c r="I332" s="436" t="s">
        <v>2166</v>
      </c>
    </row>
    <row r="333" spans="1:9">
      <c r="D333" s="1289"/>
      <c r="E333" s="1289"/>
      <c r="F333" s="1289"/>
    </row>
    <row r="334" spans="1:9">
      <c r="D334" s="1289"/>
      <c r="E334" s="1289"/>
      <c r="F334" s="1289"/>
    </row>
    <row r="335" spans="1:9">
      <c r="D335" s="1289"/>
      <c r="E335" s="1289"/>
      <c r="F335" s="1289"/>
    </row>
    <row r="336" spans="1:9">
      <c r="D336" s="1289"/>
      <c r="E336" s="1289"/>
      <c r="F336" s="1289"/>
    </row>
    <row r="337" spans="1:9">
      <c r="D337" s="1289"/>
      <c r="E337" s="1289"/>
      <c r="F337" s="1289"/>
    </row>
    <row r="338" spans="1:9">
      <c r="D338" s="1289"/>
      <c r="E338" s="1289"/>
      <c r="F338" s="1289"/>
    </row>
    <row r="339" spans="1:9">
      <c r="D339" s="1289"/>
      <c r="E339" s="1289"/>
      <c r="F339" s="1289"/>
    </row>
    <row r="340" spans="1:9">
      <c r="D340" s="1289"/>
      <c r="E340" s="1289"/>
      <c r="F340" s="1289"/>
    </row>
    <row r="341" spans="1:9">
      <c r="D341" s="481"/>
      <c r="E341" s="481"/>
      <c r="F341" s="481"/>
    </row>
    <row r="342" spans="1:9" ht="14.25" customHeight="1">
      <c r="A342" s="519"/>
      <c r="B342" s="520" t="s">
        <v>2650</v>
      </c>
      <c r="D342" s="1289" t="s">
        <v>2284</v>
      </c>
      <c r="E342" s="1289"/>
      <c r="F342" s="1289"/>
      <c r="I342" s="436" t="s">
        <v>2203</v>
      </c>
    </row>
    <row r="343" spans="1:9">
      <c r="D343" s="1289"/>
      <c r="E343" s="1289"/>
      <c r="F343" s="1289"/>
    </row>
    <row r="344" spans="1:9">
      <c r="D344" s="1289"/>
      <c r="E344" s="1289"/>
      <c r="F344" s="1289"/>
    </row>
    <row r="345" spans="1:9">
      <c r="D345" s="1289"/>
      <c r="E345" s="1289"/>
      <c r="F345" s="1289"/>
    </row>
    <row r="346" spans="1:9">
      <c r="D346" s="418" t="s">
        <v>2283</v>
      </c>
      <c r="E346" s="417"/>
      <c r="F346" s="417"/>
    </row>
    <row r="347" spans="1:9">
      <c r="D347" s="417"/>
      <c r="E347" s="96" t="s">
        <v>2280</v>
      </c>
      <c r="G347" s="96"/>
    </row>
    <row r="348" spans="1:9">
      <c r="D348" s="480"/>
      <c r="E348" s="480"/>
      <c r="F348" s="480"/>
    </row>
    <row r="349" spans="1:9" ht="13.5" thickBot="1">
      <c r="A349" s="1059"/>
      <c r="B349" s="1059"/>
      <c r="C349" s="1059"/>
      <c r="D349" s="1332" t="s">
        <v>1019</v>
      </c>
      <c r="E349" s="1332"/>
      <c r="F349" s="1332"/>
      <c r="G349" s="1069"/>
      <c r="H349" s="1069"/>
      <c r="I349" s="1070"/>
    </row>
    <row r="350" spans="1:9" ht="13.5" thickTop="1">
      <c r="D350" s="1344" t="s">
        <v>1259</v>
      </c>
      <c r="E350" s="1344"/>
      <c r="F350" s="1344"/>
    </row>
    <row r="351" spans="1:9">
      <c r="D351" s="481"/>
      <c r="E351" s="481"/>
      <c r="F351" s="481"/>
    </row>
    <row r="352" spans="1:9">
      <c r="A352" s="511"/>
      <c r="B352" s="511"/>
      <c r="C352" s="511"/>
      <c r="D352" s="482"/>
      <c r="E352" s="482"/>
      <c r="F352" s="481"/>
      <c r="I352" s="436" t="s">
        <v>2167</v>
      </c>
    </row>
    <row r="353" spans="1:9" ht="14.25">
      <c r="A353" s="519"/>
      <c r="B353" s="520" t="s">
        <v>2650</v>
      </c>
      <c r="C353" s="522"/>
      <c r="D353" s="1290" t="s">
        <v>2282</v>
      </c>
      <c r="E353" s="1290"/>
      <c r="F353" s="1290"/>
      <c r="I353" s="1346" t="s">
        <v>2217</v>
      </c>
    </row>
    <row r="354" spans="1:9" ht="12.75" customHeight="1">
      <c r="D354" s="1081"/>
      <c r="E354" s="96" t="s">
        <v>2281</v>
      </c>
      <c r="F354" s="1081"/>
      <c r="I354" s="1347"/>
    </row>
    <row r="355" spans="1:9">
      <c r="D355" s="1289" t="s">
        <v>1386</v>
      </c>
      <c r="E355" s="1289"/>
      <c r="F355" s="1289"/>
      <c r="I355" s="1347"/>
    </row>
    <row r="356" spans="1:9">
      <c r="D356" s="1289"/>
      <c r="E356" s="1289"/>
      <c r="F356" s="1289"/>
      <c r="I356" s="1347"/>
    </row>
    <row r="357" spans="1:9">
      <c r="D357" s="1289"/>
      <c r="E357" s="1289"/>
      <c r="F357" s="1289"/>
      <c r="I357" s="1348"/>
    </row>
    <row r="358" spans="1:9" ht="14.25">
      <c r="A358" s="519"/>
      <c r="B358" s="520" t="s">
        <v>2650</v>
      </c>
      <c r="C358" s="511"/>
      <c r="D358" s="1275" t="s">
        <v>2456</v>
      </c>
      <c r="E358" s="1275"/>
      <c r="F358" s="1275"/>
      <c r="I358" s="434"/>
    </row>
    <row r="359" spans="1:9">
      <c r="A359" s="511"/>
      <c r="B359" s="511"/>
      <c r="C359" s="511"/>
      <c r="D359" s="482"/>
      <c r="E359" s="482"/>
      <c r="F359" s="481"/>
    </row>
    <row r="360" spans="1:9">
      <c r="A360" s="511"/>
      <c r="B360" s="520" t="s">
        <v>2650</v>
      </c>
      <c r="C360" s="511"/>
      <c r="D360" s="1271" t="s">
        <v>2457</v>
      </c>
      <c r="E360" s="1271"/>
      <c r="F360" s="1271"/>
    </row>
    <row r="361" spans="1:9">
      <c r="A361" s="511"/>
      <c r="B361" s="511"/>
      <c r="C361" s="511"/>
      <c r="D361" s="1271"/>
      <c r="E361" s="1271"/>
      <c r="F361" s="1271"/>
    </row>
    <row r="362" spans="1:9">
      <c r="A362" s="511"/>
      <c r="B362" s="511"/>
      <c r="C362" s="511"/>
      <c r="D362" s="1271"/>
      <c r="E362" s="1271"/>
      <c r="F362" s="1271"/>
    </row>
    <row r="363" spans="1:9">
      <c r="A363" s="511"/>
      <c r="B363" s="511"/>
      <c r="C363" s="511"/>
      <c r="D363" s="1271"/>
      <c r="E363" s="1271"/>
      <c r="F363" s="1271"/>
    </row>
    <row r="364" spans="1:9">
      <c r="A364" s="511"/>
      <c r="B364" s="511"/>
      <c r="C364" s="511"/>
      <c r="D364" s="1271"/>
      <c r="E364" s="1271"/>
      <c r="F364" s="1271"/>
    </row>
    <row r="365" spans="1:9">
      <c r="A365" s="511"/>
      <c r="B365" s="511"/>
      <c r="C365" s="511"/>
      <c r="D365" s="1271"/>
      <c r="E365" s="1271"/>
      <c r="F365" s="1271"/>
    </row>
    <row r="366" spans="1:9">
      <c r="A366" s="511"/>
      <c r="B366" s="511"/>
      <c r="C366" s="511"/>
      <c r="D366" s="1271"/>
      <c r="E366" s="1271"/>
      <c r="F366" s="1271"/>
    </row>
    <row r="367" spans="1:9">
      <c r="A367" s="511"/>
      <c r="B367" s="511"/>
      <c r="C367" s="511"/>
      <c r="D367" s="1271"/>
      <c r="E367" s="1271"/>
      <c r="F367" s="1271"/>
    </row>
    <row r="368" spans="1:9">
      <c r="A368" s="511"/>
      <c r="B368" s="511"/>
      <c r="C368" s="511"/>
      <c r="D368" s="1271"/>
      <c r="E368" s="1271"/>
      <c r="F368" s="1271"/>
    </row>
    <row r="369" spans="1:6">
      <c r="A369" s="511"/>
      <c r="B369" s="511"/>
      <c r="C369" s="511"/>
      <c r="D369" s="1271"/>
      <c r="E369" s="1271"/>
      <c r="F369" s="1271"/>
    </row>
    <row r="370" spans="1:6">
      <c r="A370" s="511"/>
      <c r="B370" s="511"/>
      <c r="C370" s="511"/>
      <c r="D370" s="1271"/>
      <c r="E370" s="1271"/>
      <c r="F370" s="1271"/>
    </row>
    <row r="371" spans="1:6">
      <c r="A371" s="511"/>
      <c r="B371" s="511"/>
      <c r="C371" s="511"/>
      <c r="D371" s="1271"/>
      <c r="E371" s="1271"/>
      <c r="F371" s="1271"/>
    </row>
    <row r="372" spans="1:6">
      <c r="A372" s="511"/>
      <c r="B372" s="511"/>
      <c r="C372" s="511"/>
      <c r="D372" s="486"/>
      <c r="E372" s="486"/>
      <c r="F372" s="486"/>
    </row>
    <row r="373" spans="1:6" ht="12.4" customHeight="1">
      <c r="A373" s="511"/>
      <c r="B373" s="520" t="s">
        <v>2650</v>
      </c>
      <c r="C373" s="511"/>
      <c r="D373" s="1319" t="s">
        <v>1366</v>
      </c>
      <c r="E373" s="1319"/>
      <c r="F373" s="1319"/>
    </row>
    <row r="374" spans="1:6">
      <c r="A374" s="511"/>
      <c r="B374" s="511"/>
      <c r="C374" s="511"/>
      <c r="D374" s="1319"/>
      <c r="E374" s="1319"/>
      <c r="F374" s="1319"/>
    </row>
    <row r="375" spans="1:6">
      <c r="A375" s="511"/>
      <c r="B375" s="511"/>
      <c r="C375" s="511"/>
      <c r="D375" s="1319"/>
      <c r="E375" s="1319"/>
      <c r="F375" s="1319"/>
    </row>
    <row r="376" spans="1:6">
      <c r="A376" s="511"/>
      <c r="B376" s="511"/>
      <c r="C376" s="511"/>
      <c r="D376" s="1319"/>
      <c r="E376" s="1319"/>
      <c r="F376" s="1319"/>
    </row>
    <row r="377" spans="1:6">
      <c r="A377" s="511"/>
      <c r="B377" s="511"/>
      <c r="C377" s="511"/>
      <c r="D377" s="559"/>
      <c r="E377" s="559"/>
      <c r="F377" s="559"/>
    </row>
    <row r="378" spans="1:6">
      <c r="A378" s="511"/>
      <c r="B378" s="520" t="s">
        <v>2650</v>
      </c>
      <c r="C378" s="511"/>
      <c r="D378" s="434" t="s">
        <v>2096</v>
      </c>
      <c r="E378" s="559"/>
      <c r="F378" s="559"/>
    </row>
    <row r="379" spans="1:6">
      <c r="A379" s="511"/>
      <c r="B379" s="511"/>
      <c r="C379" s="511"/>
      <c r="D379" s="434" t="s">
        <v>2097</v>
      </c>
      <c r="E379" s="559"/>
      <c r="F379" s="559"/>
    </row>
    <row r="380" spans="1:6">
      <c r="A380" s="511"/>
      <c r="B380" s="511"/>
      <c r="C380" s="511"/>
      <c r="D380" s="434" t="s">
        <v>2098</v>
      </c>
      <c r="E380" s="559"/>
      <c r="F380" s="559"/>
    </row>
    <row r="381" spans="1:6">
      <c r="A381" s="511"/>
      <c r="B381" s="511"/>
      <c r="C381" s="511"/>
      <c r="D381" s="434" t="s">
        <v>2099</v>
      </c>
      <c r="E381" s="559"/>
      <c r="F381" s="559"/>
    </row>
    <row r="382" spans="1:6">
      <c r="A382" s="511"/>
      <c r="B382" s="511"/>
      <c r="C382" s="511"/>
      <c r="D382" s="434" t="s">
        <v>2100</v>
      </c>
      <c r="E382" s="559"/>
      <c r="F382" s="559"/>
    </row>
    <row r="383" spans="1:6">
      <c r="A383" s="511"/>
      <c r="B383" s="511"/>
      <c r="C383" s="511"/>
      <c r="D383" s="434" t="s">
        <v>2101</v>
      </c>
      <c r="E383" s="559"/>
      <c r="F383" s="559"/>
    </row>
    <row r="384" spans="1:6">
      <c r="A384" s="511"/>
      <c r="B384" s="511"/>
      <c r="C384" s="511"/>
      <c r="E384" s="482"/>
      <c r="F384" s="481"/>
    </row>
    <row r="385" spans="1:6" ht="14.25">
      <c r="A385" s="519"/>
      <c r="B385" s="520" t="s">
        <v>2650</v>
      </c>
      <c r="C385" s="511"/>
      <c r="D385" s="1271" t="s">
        <v>1262</v>
      </c>
      <c r="E385" s="1271"/>
      <c r="F385" s="1271"/>
    </row>
    <row r="386" spans="1:6">
      <c r="A386" s="511"/>
      <c r="B386" s="511"/>
      <c r="C386" s="511"/>
      <c r="D386" s="1271"/>
      <c r="E386" s="1271"/>
      <c r="F386" s="1271"/>
    </row>
    <row r="387" spans="1:6">
      <c r="A387" s="511"/>
      <c r="B387" s="511"/>
      <c r="C387" s="511"/>
      <c r="D387" s="1271"/>
      <c r="E387" s="1271"/>
      <c r="F387" s="1271"/>
    </row>
    <row r="388" spans="1:6">
      <c r="A388" s="511"/>
      <c r="B388" s="511"/>
      <c r="C388" s="511"/>
      <c r="D388" s="1271"/>
      <c r="E388" s="1271"/>
      <c r="F388" s="1271"/>
    </row>
    <row r="389" spans="1:6">
      <c r="A389" s="511"/>
      <c r="B389" s="511"/>
      <c r="C389" s="511"/>
      <c r="D389" s="482"/>
      <c r="E389" s="482"/>
      <c r="F389" s="481"/>
    </row>
    <row r="390" spans="1:6">
      <c r="A390" s="511"/>
      <c r="B390" s="511"/>
      <c r="C390" s="511"/>
      <c r="D390" s="1271" t="s">
        <v>1263</v>
      </c>
      <c r="E390" s="1271"/>
      <c r="F390" s="1271"/>
    </row>
    <row r="391" spans="1:6">
      <c r="A391" s="511"/>
      <c r="B391" s="511"/>
      <c r="C391" s="511"/>
      <c r="D391" s="1271"/>
      <c r="E391" s="1271"/>
      <c r="F391" s="1271"/>
    </row>
    <row r="392" spans="1:6">
      <c r="A392" s="511"/>
      <c r="B392" s="511"/>
      <c r="C392" s="511"/>
      <c r="D392" s="1271"/>
      <c r="E392" s="1271"/>
      <c r="F392" s="1271"/>
    </row>
    <row r="393" spans="1:6">
      <c r="A393" s="511"/>
      <c r="B393" s="511"/>
      <c r="C393" s="511"/>
      <c r="D393" s="1271"/>
      <c r="E393" s="1271"/>
      <c r="F393" s="1271"/>
    </row>
    <row r="394" spans="1:6" ht="18" customHeight="1">
      <c r="A394" s="511"/>
      <c r="B394" s="511"/>
      <c r="C394" s="511"/>
      <c r="D394" s="1271"/>
      <c r="E394" s="1271"/>
      <c r="F394" s="1271"/>
    </row>
    <row r="395" spans="1:6">
      <c r="A395" s="511"/>
      <c r="B395" s="511"/>
      <c r="C395" s="511"/>
      <c r="D395" s="1271"/>
      <c r="E395" s="1271"/>
      <c r="F395" s="1271"/>
    </row>
    <row r="396" spans="1:6">
      <c r="A396" s="511"/>
      <c r="B396" s="511"/>
      <c r="C396" s="511"/>
      <c r="D396" s="1271"/>
      <c r="E396" s="1271"/>
      <c r="F396" s="1271"/>
    </row>
    <row r="397" spans="1:6">
      <c r="A397" s="511"/>
      <c r="B397" s="511"/>
      <c r="C397" s="511"/>
      <c r="D397" s="1271"/>
      <c r="E397" s="1271"/>
      <c r="F397" s="1271"/>
    </row>
    <row r="398" spans="1:6" ht="8.25" customHeight="1">
      <c r="A398" s="511"/>
      <c r="B398" s="511"/>
      <c r="C398" s="511"/>
      <c r="D398" s="1271"/>
      <c r="E398" s="1271"/>
      <c r="F398" s="1271"/>
    </row>
    <row r="399" spans="1:6" ht="13.7" customHeight="1">
      <c r="A399" s="511"/>
      <c r="B399" s="511"/>
      <c r="C399" s="511"/>
      <c r="D399" s="1271" t="s">
        <v>1264</v>
      </c>
      <c r="E399" s="1271"/>
      <c r="F399" s="1271"/>
    </row>
    <row r="400" spans="1:6">
      <c r="A400" s="511"/>
      <c r="B400" s="511"/>
      <c r="C400" s="511"/>
      <c r="D400" s="1271"/>
      <c r="E400" s="1271"/>
      <c r="F400" s="1271"/>
    </row>
    <row r="401" spans="1:6">
      <c r="A401" s="511"/>
      <c r="B401" s="511"/>
      <c r="C401" s="511"/>
      <c r="D401" s="1271"/>
      <c r="E401" s="1271"/>
      <c r="F401" s="1271"/>
    </row>
    <row r="402" spans="1:6">
      <c r="A402" s="511"/>
      <c r="B402" s="511"/>
      <c r="C402" s="511"/>
      <c r="D402" s="1271"/>
      <c r="E402" s="1271"/>
      <c r="F402" s="1271"/>
    </row>
    <row r="403" spans="1:6">
      <c r="A403" s="511"/>
      <c r="B403" s="511"/>
      <c r="C403" s="511"/>
      <c r="D403" s="1271"/>
      <c r="E403" s="1271"/>
      <c r="F403" s="1271"/>
    </row>
    <row r="404" spans="1:6">
      <c r="A404" s="511"/>
      <c r="B404" s="511"/>
      <c r="C404" s="511"/>
      <c r="D404" s="1271"/>
      <c r="E404" s="1271"/>
      <c r="F404" s="1271"/>
    </row>
    <row r="405" spans="1:6">
      <c r="A405" s="511"/>
      <c r="B405" s="511"/>
      <c r="C405" s="511"/>
      <c r="D405" s="1271"/>
      <c r="E405" s="1271"/>
      <c r="F405" s="1271"/>
    </row>
    <row r="406" spans="1:6">
      <c r="A406" s="511"/>
      <c r="B406" s="511"/>
      <c r="C406" s="511"/>
      <c r="D406" s="1271"/>
      <c r="E406" s="1271"/>
      <c r="F406" s="1271"/>
    </row>
    <row r="407" spans="1:6">
      <c r="A407" s="511"/>
      <c r="B407" s="511"/>
      <c r="C407" s="511"/>
      <c r="D407" s="1271"/>
      <c r="E407" s="1271"/>
      <c r="F407" s="1271"/>
    </row>
    <row r="408" spans="1:6">
      <c r="A408" s="511"/>
      <c r="B408" s="511"/>
      <c r="C408" s="511"/>
      <c r="D408" s="1271"/>
      <c r="E408" s="1271"/>
      <c r="F408" s="1271"/>
    </row>
    <row r="409" spans="1:6">
      <c r="A409" s="511"/>
      <c r="B409" s="511"/>
      <c r="C409" s="511"/>
      <c r="D409" s="1271"/>
      <c r="E409" s="1271"/>
      <c r="F409" s="1271"/>
    </row>
    <row r="410" spans="1:6">
      <c r="A410" s="511"/>
      <c r="B410" s="511"/>
      <c r="C410" s="511"/>
      <c r="D410" s="1271"/>
      <c r="E410" s="1271"/>
      <c r="F410" s="1271"/>
    </row>
    <row r="411" spans="1:6">
      <c r="A411" s="511"/>
      <c r="B411" s="511"/>
      <c r="C411" s="531"/>
      <c r="D411" s="1271"/>
      <c r="E411" s="1271"/>
      <c r="F411" s="1271"/>
    </row>
    <row r="412" spans="1:6">
      <c r="A412" s="511"/>
      <c r="B412" s="511"/>
      <c r="C412" s="531"/>
      <c r="D412" s="1271"/>
      <c r="E412" s="1271"/>
      <c r="F412" s="1271"/>
    </row>
    <row r="413" spans="1:6">
      <c r="A413" s="511"/>
      <c r="B413" s="511"/>
      <c r="C413" s="511"/>
      <c r="D413" s="1271"/>
      <c r="E413" s="1271"/>
      <c r="F413" s="1271"/>
    </row>
    <row r="414" spans="1:6">
      <c r="A414" s="511"/>
      <c r="B414" s="511"/>
      <c r="C414" s="531"/>
      <c r="D414" s="1271"/>
      <c r="E414" s="1271"/>
      <c r="F414" s="1271"/>
    </row>
    <row r="415" spans="1:6">
      <c r="A415" s="511"/>
      <c r="B415" s="511"/>
      <c r="C415" s="531"/>
      <c r="D415" s="1271"/>
      <c r="E415" s="1271"/>
      <c r="F415" s="1271"/>
    </row>
    <row r="416" spans="1:6">
      <c r="A416" s="511"/>
      <c r="B416" s="511"/>
      <c r="C416" s="531"/>
      <c r="D416" s="1271"/>
      <c r="E416" s="1271"/>
      <c r="F416" s="1271"/>
    </row>
    <row r="417" spans="1:6">
      <c r="A417" s="511"/>
      <c r="B417" s="511"/>
      <c r="C417" s="511"/>
      <c r="D417" s="482"/>
      <c r="E417" s="482"/>
      <c r="F417" s="481"/>
    </row>
    <row r="418" spans="1:6">
      <c r="A418" s="511"/>
      <c r="B418" s="520" t="s">
        <v>2650</v>
      </c>
      <c r="C418" s="511"/>
      <c r="D418" s="1271" t="s">
        <v>1265</v>
      </c>
      <c r="E418" s="1271"/>
      <c r="F418" s="1271"/>
    </row>
    <row r="419" spans="1:6">
      <c r="A419" s="511"/>
      <c r="B419" s="511"/>
      <c r="C419" s="511"/>
      <c r="D419" s="1271"/>
      <c r="E419" s="1271"/>
      <c r="F419" s="1271"/>
    </row>
    <row r="420" spans="1:6">
      <c r="A420" s="511"/>
      <c r="B420" s="511"/>
      <c r="C420" s="511"/>
      <c r="D420" s="486"/>
      <c r="E420" s="486"/>
      <c r="F420" s="486"/>
    </row>
    <row r="421" spans="1:6" ht="14.45" customHeight="1">
      <c r="A421" s="519"/>
      <c r="B421" s="520" t="s">
        <v>2650</v>
      </c>
      <c r="D421" s="1271" t="s">
        <v>2204</v>
      </c>
      <c r="E421" s="1271"/>
      <c r="F421" s="1271"/>
    </row>
    <row r="422" spans="1:6" ht="14.45" customHeight="1">
      <c r="A422" s="519"/>
      <c r="D422" s="1271"/>
      <c r="E422" s="1271"/>
      <c r="F422" s="1271"/>
    </row>
    <row r="423" spans="1:6" ht="14.45" customHeight="1">
      <c r="A423" s="519"/>
      <c r="D423" s="1271"/>
      <c r="E423" s="1271"/>
      <c r="F423" s="1271"/>
    </row>
    <row r="424" spans="1:6" ht="14.45" customHeight="1">
      <c r="A424" s="519"/>
      <c r="D424" s="1271"/>
      <c r="E424" s="1271"/>
      <c r="F424" s="1271"/>
    </row>
    <row r="425" spans="1:6" ht="14.45" customHeight="1">
      <c r="A425" s="519"/>
      <c r="D425" s="1271"/>
      <c r="E425" s="1271"/>
      <c r="F425" s="1271"/>
    </row>
    <row r="426" spans="1:6" ht="14.45" customHeight="1">
      <c r="A426" s="519"/>
      <c r="D426" s="417"/>
      <c r="E426" s="417"/>
      <c r="F426" s="417"/>
    </row>
    <row r="427" spans="1:6" ht="13.7" customHeight="1">
      <c r="A427" s="519"/>
      <c r="B427" s="520" t="s">
        <v>2650</v>
      </c>
      <c r="C427" s="511"/>
      <c r="D427" s="1271" t="s">
        <v>1388</v>
      </c>
      <c r="E427" s="1271"/>
      <c r="F427" s="1271"/>
    </row>
    <row r="428" spans="1:6" ht="14.25">
      <c r="A428" s="532"/>
      <c r="B428" s="532"/>
      <c r="C428" s="511"/>
      <c r="D428" s="1271"/>
      <c r="E428" s="1271"/>
      <c r="F428" s="1271"/>
    </row>
    <row r="429" spans="1:6" ht="14.25">
      <c r="A429" s="532"/>
      <c r="B429" s="532"/>
      <c r="C429" s="511"/>
      <c r="D429" s="1271"/>
      <c r="E429" s="1271"/>
      <c r="F429" s="1271"/>
    </row>
    <row r="430" spans="1:6" ht="14.25">
      <c r="A430" s="532"/>
      <c r="B430" s="532"/>
      <c r="C430" s="511"/>
      <c r="D430" s="1271"/>
      <c r="E430" s="1271"/>
      <c r="F430" s="1271"/>
    </row>
    <row r="431" spans="1:6" ht="15.75" customHeight="1">
      <c r="A431" s="532"/>
      <c r="B431" s="532"/>
      <c r="C431" s="511"/>
      <c r="D431" s="1345" t="s">
        <v>2476</v>
      </c>
      <c r="E431" s="1271"/>
      <c r="F431" s="1271"/>
    </row>
    <row r="432" spans="1:6">
      <c r="D432" s="481"/>
      <c r="E432" s="481"/>
      <c r="F432" s="481"/>
    </row>
    <row r="433" spans="1:6" ht="14.25">
      <c r="A433" s="519"/>
      <c r="B433" s="520" t="s">
        <v>2650</v>
      </c>
      <c r="C433" s="522"/>
      <c r="D433" s="1289" t="s">
        <v>2458</v>
      </c>
      <c r="E433" s="1289"/>
      <c r="F433" s="1289"/>
    </row>
    <row r="434" spans="1:6" ht="14.25">
      <c r="A434" s="519"/>
      <c r="B434" s="519"/>
      <c r="D434" s="1289"/>
      <c r="E434" s="1289"/>
      <c r="F434" s="1289"/>
    </row>
    <row r="435" spans="1:6">
      <c r="D435" s="1289"/>
      <c r="E435" s="1289"/>
      <c r="F435" s="1289"/>
    </row>
    <row r="436" spans="1:6">
      <c r="D436" s="1289"/>
      <c r="E436" s="1289"/>
      <c r="F436" s="1289"/>
    </row>
    <row r="437" spans="1:6">
      <c r="D437" s="1289"/>
      <c r="E437" s="1289"/>
      <c r="F437" s="1289"/>
    </row>
    <row r="438" spans="1:6">
      <c r="D438" s="1289"/>
      <c r="E438" s="1289"/>
      <c r="F438" s="1289"/>
    </row>
    <row r="439" spans="1:6">
      <c r="D439" s="1289"/>
      <c r="E439" s="1289"/>
      <c r="F439" s="1289"/>
    </row>
    <row r="440" spans="1:6">
      <c r="D440" s="1289"/>
      <c r="E440" s="1289"/>
      <c r="F440" s="1289"/>
    </row>
    <row r="441" spans="1:6">
      <c r="D441" s="1289"/>
      <c r="E441" s="1289"/>
      <c r="F441" s="1289"/>
    </row>
    <row r="442" spans="1:6">
      <c r="D442" s="1289"/>
      <c r="E442" s="1289"/>
      <c r="F442" s="1289"/>
    </row>
    <row r="443" spans="1:6">
      <c r="D443" s="1289"/>
      <c r="E443" s="1289"/>
      <c r="F443" s="1289"/>
    </row>
    <row r="444" spans="1:6">
      <c r="D444" s="1289"/>
      <c r="E444" s="1289"/>
      <c r="F444" s="1289"/>
    </row>
    <row r="445" spans="1:6">
      <c r="D445" s="1289"/>
      <c r="E445" s="1289"/>
      <c r="F445" s="1289"/>
    </row>
    <row r="446" spans="1:6">
      <c r="A446" s="434"/>
      <c r="B446" s="434"/>
      <c r="C446" s="434"/>
      <c r="D446" s="1289"/>
      <c r="E446" s="1289"/>
      <c r="F446" s="1289"/>
    </row>
    <row r="447" spans="1:6">
      <c r="A447" s="434"/>
      <c r="B447" s="434"/>
      <c r="C447" s="434"/>
      <c r="D447" s="1289"/>
      <c r="E447" s="1289"/>
      <c r="F447" s="1289"/>
    </row>
    <row r="448" spans="1:6">
      <c r="A448" s="434"/>
      <c r="B448" s="434"/>
      <c r="C448" s="434"/>
      <c r="D448" s="1289"/>
      <c r="E448" s="1289"/>
      <c r="F448" s="1289"/>
    </row>
    <row r="449" spans="1:6">
      <c r="A449" s="434"/>
      <c r="B449" s="434"/>
      <c r="C449" s="434"/>
      <c r="D449" s="1289"/>
      <c r="E449" s="1289"/>
      <c r="F449" s="1289"/>
    </row>
    <row r="450" spans="1:6">
      <c r="A450" s="434"/>
      <c r="B450" s="434"/>
      <c r="C450" s="434"/>
      <c r="D450" s="1289"/>
      <c r="E450" s="1289"/>
      <c r="F450" s="1289"/>
    </row>
    <row r="451" spans="1:6">
      <c r="A451" s="434"/>
      <c r="B451" s="434"/>
      <c r="C451" s="434"/>
      <c r="D451" s="1289"/>
      <c r="E451" s="1289"/>
      <c r="F451" s="1289"/>
    </row>
    <row r="452" spans="1:6">
      <c r="A452" s="434"/>
      <c r="B452" s="434"/>
      <c r="C452" s="434"/>
      <c r="D452" s="1289"/>
      <c r="E452" s="1289"/>
      <c r="F452" s="1289"/>
    </row>
    <row r="453" spans="1:6">
      <c r="A453" s="434"/>
      <c r="B453" s="434"/>
      <c r="C453" s="434"/>
      <c r="D453" s="1289"/>
      <c r="E453" s="1289"/>
      <c r="F453" s="1289"/>
    </row>
    <row r="454" spans="1:6">
      <c r="A454" s="434"/>
      <c r="B454" s="434"/>
      <c r="C454" s="434"/>
      <c r="D454" s="1289"/>
      <c r="E454" s="1289"/>
      <c r="F454" s="1289"/>
    </row>
    <row r="455" spans="1:6">
      <c r="A455" s="434"/>
      <c r="B455" s="434"/>
      <c r="C455" s="434"/>
      <c r="D455" s="1289"/>
      <c r="E455" s="1289"/>
      <c r="F455" s="1289"/>
    </row>
    <row r="456" spans="1:6">
      <c r="A456" s="434"/>
      <c r="B456" s="434"/>
      <c r="C456" s="434"/>
      <c r="D456" s="1289"/>
      <c r="E456" s="1289"/>
      <c r="F456" s="1289"/>
    </row>
    <row r="457" spans="1:6">
      <c r="A457" s="434"/>
      <c r="B457" s="434"/>
      <c r="C457" s="434"/>
      <c r="D457" s="1289"/>
      <c r="E457" s="1289"/>
      <c r="F457" s="1289"/>
    </row>
    <row r="458" spans="1:6">
      <c r="A458" s="434"/>
      <c r="B458" s="434"/>
      <c r="C458" s="434"/>
      <c r="D458" s="1289"/>
      <c r="E458" s="1289"/>
      <c r="F458" s="1289"/>
    </row>
    <row r="459" spans="1:6">
      <c r="A459" s="434"/>
      <c r="B459" s="434"/>
      <c r="C459" s="434"/>
      <c r="D459" s="1289"/>
      <c r="E459" s="1289"/>
      <c r="F459" s="1289"/>
    </row>
    <row r="460" spans="1:6">
      <c r="A460" s="434"/>
      <c r="B460" s="434"/>
      <c r="C460" s="434"/>
      <c r="D460" s="1289"/>
      <c r="E460" s="1289"/>
      <c r="F460" s="1289"/>
    </row>
    <row r="461" spans="1:6">
      <c r="A461" s="434"/>
      <c r="B461" s="434"/>
      <c r="C461" s="434"/>
      <c r="D461" s="1289"/>
      <c r="E461" s="1289"/>
      <c r="F461" s="1289"/>
    </row>
    <row r="462" spans="1:6">
      <c r="D462" s="1289"/>
      <c r="E462" s="1289"/>
      <c r="F462" s="1289"/>
    </row>
    <row r="463" spans="1:6" ht="40.700000000000003" customHeight="1">
      <c r="D463" s="1289"/>
      <c r="E463" s="1289"/>
      <c r="F463" s="1289"/>
    </row>
    <row r="464" spans="1:6">
      <c r="D464" s="481"/>
      <c r="E464" s="481"/>
      <c r="F464" s="481"/>
    </row>
    <row r="465" spans="1:6" ht="14.25">
      <c r="A465" s="519"/>
      <c r="B465" s="520" t="s">
        <v>2650</v>
      </c>
      <c r="C465" s="522"/>
      <c r="D465" s="1289" t="s">
        <v>1270</v>
      </c>
      <c r="E465" s="1289"/>
      <c r="F465" s="1289"/>
    </row>
    <row r="466" spans="1:6">
      <c r="D466" s="1289"/>
      <c r="E466" s="1289"/>
      <c r="F466" s="1289"/>
    </row>
    <row r="467" spans="1:6">
      <c r="D467" s="1289"/>
      <c r="E467" s="1289"/>
      <c r="F467" s="1289"/>
    </row>
    <row r="468" spans="1:6">
      <c r="D468" s="480"/>
      <c r="E468" s="480"/>
      <c r="F468" s="480"/>
    </row>
    <row r="469" spans="1:6" ht="14.25">
      <c r="B469" s="520" t="s">
        <v>2650</v>
      </c>
      <c r="C469" s="519"/>
      <c r="D469" s="1289" t="s">
        <v>1340</v>
      </c>
      <c r="E469" s="1289"/>
      <c r="F469" s="1289"/>
    </row>
    <row r="470" spans="1:6">
      <c r="D470" s="1289"/>
      <c r="E470" s="1289"/>
      <c r="F470" s="1289"/>
    </row>
    <row r="471" spans="1:6">
      <c r="D471" s="481"/>
      <c r="E471" s="481"/>
      <c r="F471" s="481"/>
    </row>
    <row r="472" spans="1:6" ht="14.25">
      <c r="B472" s="520" t="s">
        <v>2650</v>
      </c>
      <c r="C472" s="519"/>
      <c r="D472" s="1289" t="s">
        <v>1272</v>
      </c>
      <c r="E472" s="1289"/>
      <c r="F472" s="1289"/>
    </row>
    <row r="473" spans="1:6">
      <c r="D473" s="1289"/>
      <c r="E473" s="1289"/>
      <c r="F473" s="1289"/>
    </row>
    <row r="474" spans="1:6">
      <c r="D474" s="1289"/>
      <c r="E474" s="1289"/>
      <c r="F474" s="1289"/>
    </row>
    <row r="475" spans="1:6">
      <c r="D475" s="1289"/>
      <c r="E475" s="1289"/>
      <c r="F475" s="1289"/>
    </row>
    <row r="476" spans="1:6">
      <c r="B476" s="520" t="s">
        <v>2650</v>
      </c>
      <c r="D476" s="1289"/>
      <c r="E476" s="1289"/>
      <c r="F476" s="1289"/>
    </row>
    <row r="477" spans="1:6">
      <c r="A477" s="434"/>
      <c r="B477" s="434"/>
      <c r="C477" s="434"/>
      <c r="D477" s="1289"/>
      <c r="E477" s="1289"/>
      <c r="F477" s="1289"/>
    </row>
    <row r="478" spans="1:6">
      <c r="A478" s="434"/>
      <c r="C478" s="434"/>
      <c r="D478" s="1289"/>
      <c r="E478" s="1289"/>
      <c r="F478" s="1289"/>
    </row>
    <row r="479" spans="1:6">
      <c r="A479" s="434"/>
      <c r="B479" s="520" t="s">
        <v>2650</v>
      </c>
      <c r="C479" s="434"/>
      <c r="D479" s="1289"/>
      <c r="E479" s="1289"/>
      <c r="F479" s="1289"/>
    </row>
    <row r="480" spans="1:6">
      <c r="A480" s="434"/>
      <c r="B480" s="434"/>
      <c r="C480" s="434"/>
      <c r="D480" s="1289"/>
      <c r="E480" s="1289"/>
      <c r="F480" s="1289"/>
    </row>
    <row r="481" spans="1:9">
      <c r="A481" s="434"/>
      <c r="C481" s="434"/>
      <c r="D481" s="1289"/>
      <c r="E481" s="1289"/>
      <c r="F481" s="1289"/>
    </row>
    <row r="482" spans="1:9">
      <c r="A482" s="434"/>
      <c r="C482" s="434"/>
      <c r="D482" s="1289"/>
      <c r="E482" s="1289"/>
      <c r="F482" s="1289"/>
    </row>
    <row r="483" spans="1:9">
      <c r="A483" s="434"/>
      <c r="C483" s="434"/>
      <c r="D483" s="1289"/>
      <c r="E483" s="1289"/>
      <c r="F483" s="1289"/>
    </row>
    <row r="484" spans="1:9">
      <c r="A484" s="434"/>
      <c r="B484" s="520" t="s">
        <v>2650</v>
      </c>
      <c r="C484" s="434"/>
      <c r="D484" s="1289"/>
      <c r="E484" s="1289"/>
      <c r="F484" s="1289"/>
    </row>
    <row r="485" spans="1:9">
      <c r="A485" s="434"/>
      <c r="C485" s="434"/>
      <c r="D485" s="1289"/>
      <c r="E485" s="1289"/>
      <c r="F485" s="1289"/>
    </row>
    <row r="486" spans="1:9">
      <c r="A486" s="434"/>
      <c r="B486" s="520" t="s">
        <v>2650</v>
      </c>
      <c r="C486" s="434"/>
      <c r="D486" s="1289" t="s">
        <v>1273</v>
      </c>
      <c r="E486" s="1289"/>
      <c r="F486" s="1289"/>
    </row>
    <row r="487" spans="1:9">
      <c r="A487" s="434"/>
      <c r="B487" s="434"/>
      <c r="C487" s="434"/>
      <c r="D487" s="1289"/>
      <c r="E487" s="1289"/>
      <c r="F487" s="1289"/>
    </row>
    <row r="488" spans="1:9">
      <c r="A488" s="434"/>
      <c r="B488" s="434"/>
      <c r="C488" s="434"/>
      <c r="D488" s="1289"/>
      <c r="E488" s="1289"/>
      <c r="F488" s="1289"/>
    </row>
    <row r="489" spans="1:9">
      <c r="A489" s="434"/>
      <c r="B489" s="434"/>
      <c r="C489" s="434"/>
      <c r="D489" s="1289"/>
      <c r="E489" s="1289"/>
      <c r="F489" s="1289"/>
    </row>
    <row r="490" spans="1:9">
      <c r="D490" s="1289"/>
      <c r="E490" s="1289"/>
      <c r="F490" s="1289"/>
    </row>
    <row r="491" spans="1:9">
      <c r="D491" s="481"/>
      <c r="E491" s="481"/>
      <c r="F491" s="481"/>
    </row>
    <row r="492" spans="1:9">
      <c r="B492" s="520" t="s">
        <v>2650</v>
      </c>
      <c r="D492" s="1290" t="s">
        <v>1274</v>
      </c>
      <c r="E492" s="1290"/>
      <c r="F492" s="1290"/>
    </row>
    <row r="493" spans="1:9">
      <c r="A493" s="481"/>
      <c r="B493" s="481"/>
    </row>
    <row r="494" spans="1:9">
      <c r="A494" s="1277" t="s">
        <v>1115</v>
      </c>
      <c r="B494" s="1277"/>
      <c r="C494" s="1277"/>
      <c r="D494" s="1277"/>
      <c r="E494" s="1277"/>
      <c r="F494" s="1277"/>
      <c r="G494" s="1277"/>
      <c r="H494" s="1071"/>
      <c r="I494" s="1072"/>
    </row>
    <row r="495" spans="1:9">
      <c r="A495" s="481"/>
      <c r="B495" s="481"/>
    </row>
    <row r="496" spans="1:9">
      <c r="D496" s="1274" t="s">
        <v>912</v>
      </c>
      <c r="E496" s="1274"/>
      <c r="F496" s="1274"/>
    </row>
    <row r="497" spans="1:9" ht="14.25">
      <c r="A497" s="519"/>
      <c r="B497" s="519"/>
      <c r="D497" s="1275" t="s">
        <v>1275</v>
      </c>
      <c r="E497" s="1275"/>
      <c r="F497" s="1275"/>
    </row>
    <row r="498" spans="1:9" ht="14.25">
      <c r="A498" s="519"/>
      <c r="B498" s="519"/>
      <c r="D498" s="482"/>
    </row>
    <row r="499" spans="1:9" ht="14.25">
      <c r="A499" s="519"/>
      <c r="B499" s="520" t="s">
        <v>2650</v>
      </c>
      <c r="D499" s="1271" t="s">
        <v>1276</v>
      </c>
      <c r="E499" s="1271"/>
      <c r="F499" s="1271"/>
      <c r="I499" s="436" t="s">
        <v>2168</v>
      </c>
    </row>
    <row r="500" spans="1:9" ht="14.25">
      <c r="A500" s="519"/>
      <c r="B500" s="519"/>
      <c r="D500" s="1271"/>
      <c r="E500" s="1271"/>
      <c r="F500" s="1271"/>
    </row>
    <row r="501" spans="1:9" ht="14.25">
      <c r="A501" s="519"/>
      <c r="B501" s="519"/>
      <c r="D501" s="481"/>
    </row>
    <row r="502" spans="1:9" ht="12.75" customHeight="1">
      <c r="B502" s="520" t="s">
        <v>2650</v>
      </c>
      <c r="D502" s="1276" t="s">
        <v>1431</v>
      </c>
      <c r="E502" s="1276"/>
      <c r="F502" s="1276"/>
      <c r="I502" s="436" t="s">
        <v>2169</v>
      </c>
    </row>
    <row r="503" spans="1:9" ht="14.25">
      <c r="A503" s="519"/>
      <c r="D503" s="1276"/>
      <c r="E503" s="1276"/>
      <c r="F503" s="1276"/>
    </row>
    <row r="504" spans="1:9" ht="14.25">
      <c r="A504" s="519"/>
      <c r="B504" s="519"/>
      <c r="D504" s="1276"/>
      <c r="E504" s="1276"/>
      <c r="F504" s="1276"/>
    </row>
    <row r="505" spans="1:9" ht="14.25">
      <c r="A505" s="519"/>
      <c r="B505" s="519"/>
      <c r="D505" s="1276"/>
      <c r="E505" s="1276"/>
      <c r="F505" s="1276"/>
    </row>
    <row r="506" spans="1:9" ht="14.25">
      <c r="A506" s="519"/>
      <c r="D506" s="555"/>
      <c r="E506" s="555"/>
      <c r="F506" s="555"/>
    </row>
    <row r="507" spans="1:9" ht="14.25">
      <c r="A507" s="519"/>
      <c r="B507" s="520" t="s">
        <v>2650</v>
      </c>
      <c r="D507" s="1290" t="s">
        <v>1279</v>
      </c>
      <c r="E507" s="1290"/>
      <c r="F507" s="1290"/>
      <c r="I507" s="436" t="s">
        <v>2170</v>
      </c>
    </row>
    <row r="508" spans="1:9" ht="14.25">
      <c r="A508" s="519"/>
      <c r="B508" s="519"/>
      <c r="D508" s="481"/>
    </row>
    <row r="509" spans="1:9" ht="14.25">
      <c r="A509" s="519"/>
      <c r="B509" s="520" t="s">
        <v>2650</v>
      </c>
      <c r="D509" s="1289" t="s">
        <v>1280</v>
      </c>
      <c r="E509" s="1289"/>
      <c r="F509" s="1289"/>
      <c r="I509" s="436" t="s">
        <v>2170</v>
      </c>
    </row>
    <row r="510" spans="1:9" ht="14.25">
      <c r="A510" s="519"/>
      <c r="D510" s="1289"/>
      <c r="E510" s="1289"/>
      <c r="F510" s="1289"/>
    </row>
    <row r="511" spans="1:9">
      <c r="A511" s="525"/>
      <c r="B511" s="525"/>
      <c r="D511" s="482"/>
    </row>
    <row r="512" spans="1:9">
      <c r="A512" s="525"/>
      <c r="B512" s="520" t="s">
        <v>2650</v>
      </c>
      <c r="D512" s="1290" t="s">
        <v>1281</v>
      </c>
      <c r="E512" s="1290"/>
      <c r="F512" s="1290"/>
      <c r="I512" s="436" t="s">
        <v>2223</v>
      </c>
    </row>
    <row r="513" spans="1:9" ht="14.25">
      <c r="A513" s="519"/>
      <c r="B513" s="519"/>
      <c r="D513" s="481"/>
    </row>
    <row r="514" spans="1:9">
      <c r="A514" s="1277" t="s">
        <v>1116</v>
      </c>
      <c r="B514" s="1277"/>
      <c r="C514" s="1277"/>
      <c r="D514" s="1277"/>
      <c r="E514" s="1277"/>
      <c r="F514" s="1277"/>
      <c r="G514" s="1277"/>
      <c r="H514" s="1071"/>
      <c r="I514" s="1072"/>
    </row>
    <row r="515" spans="1:9" ht="12" customHeight="1">
      <c r="A515" s="519"/>
      <c r="B515" s="519"/>
      <c r="D515" s="481"/>
    </row>
    <row r="516" spans="1:9">
      <c r="C516" s="517"/>
      <c r="D516" s="1288" t="s">
        <v>817</v>
      </c>
      <c r="E516" s="1288"/>
      <c r="F516" s="1288"/>
    </row>
    <row r="517" spans="1:9">
      <c r="C517" s="517"/>
      <c r="D517" s="541" t="s">
        <v>1342</v>
      </c>
      <c r="E517" s="541"/>
      <c r="F517" s="541"/>
    </row>
    <row r="518" spans="1:9">
      <c r="C518" s="517"/>
      <c r="D518" s="541" t="s">
        <v>1343</v>
      </c>
      <c r="E518" s="541"/>
      <c r="F518" s="541"/>
    </row>
    <row r="519" spans="1:9">
      <c r="C519" s="517"/>
      <c r="D519" s="516"/>
      <c r="E519" s="516"/>
      <c r="F519" s="516"/>
    </row>
    <row r="520" spans="1:9" ht="13.7" customHeight="1">
      <c r="A520" s="518"/>
      <c r="B520" s="520" t="s">
        <v>2738</v>
      </c>
      <c r="C520" s="518"/>
      <c r="D520" s="1271" t="s">
        <v>2459</v>
      </c>
      <c r="E520" s="1271"/>
      <c r="F520" s="1271"/>
      <c r="I520" s="436" t="s">
        <v>2205</v>
      </c>
    </row>
    <row r="521" spans="1:9">
      <c r="A521" s="518"/>
      <c r="B521" s="518"/>
      <c r="C521" s="518"/>
      <c r="D521" s="1271"/>
      <c r="E521" s="1271"/>
      <c r="F521" s="1271"/>
    </row>
    <row r="522" spans="1:9">
      <c r="A522" s="518"/>
      <c r="B522" s="518"/>
      <c r="C522" s="518"/>
      <c r="D522" s="486"/>
      <c r="E522" s="486"/>
      <c r="F522" s="486"/>
      <c r="I522" s="434"/>
    </row>
    <row r="523" spans="1:9" ht="12.75" customHeight="1">
      <c r="A523" s="518"/>
      <c r="B523" s="520" t="s">
        <v>2650</v>
      </c>
      <c r="D523" s="418" t="s">
        <v>2285</v>
      </c>
      <c r="E523" s="417"/>
      <c r="F523" s="417"/>
      <c r="I523" s="436" t="s">
        <v>2171</v>
      </c>
    </row>
    <row r="524" spans="1:9">
      <c r="A524" s="518"/>
      <c r="B524" s="518"/>
      <c r="C524" s="518"/>
      <c r="D524" s="417"/>
      <c r="E524" s="96" t="s">
        <v>2286</v>
      </c>
    </row>
    <row r="525" spans="1:9">
      <c r="A525" s="518"/>
      <c r="B525" s="518"/>
      <c r="D525" s="1319" t="s">
        <v>2460</v>
      </c>
      <c r="E525" s="1319"/>
      <c r="F525" s="1319"/>
    </row>
    <row r="526" spans="1:9">
      <c r="A526" s="518"/>
      <c r="B526" s="518"/>
      <c r="D526" s="1319"/>
      <c r="E526" s="1319"/>
      <c r="F526" s="1319"/>
    </row>
    <row r="527" spans="1:9">
      <c r="A527" s="518"/>
      <c r="B527" s="518"/>
      <c r="C527" s="518"/>
      <c r="D527" s="1319"/>
      <c r="E527" s="1319"/>
      <c r="F527" s="1319"/>
    </row>
    <row r="528" spans="1:9">
      <c r="A528" s="518"/>
      <c r="B528" s="518"/>
      <c r="C528" s="518"/>
      <c r="D528" s="533"/>
      <c r="F528" s="481"/>
    </row>
    <row r="529" spans="1:9" ht="13.15" customHeight="1">
      <c r="A529" s="518"/>
      <c r="B529" s="520" t="s">
        <v>2650</v>
      </c>
      <c r="C529" s="518"/>
      <c r="D529" s="1289" t="s">
        <v>2461</v>
      </c>
      <c r="E529" s="1289"/>
      <c r="F529" s="1289"/>
      <c r="I529" s="436" t="s">
        <v>2171</v>
      </c>
    </row>
    <row r="530" spans="1:9">
      <c r="A530" s="518"/>
      <c r="B530" s="518"/>
      <c r="C530" s="518"/>
      <c r="D530" s="1289"/>
      <c r="E530" s="1289"/>
      <c r="F530" s="1289"/>
    </row>
    <row r="531" spans="1:9" ht="12" customHeight="1">
      <c r="A531" s="481"/>
      <c r="B531" s="481"/>
      <c r="C531" s="522"/>
      <c r="D531" s="481"/>
      <c r="F531" s="483"/>
    </row>
    <row r="532" spans="1:9">
      <c r="A532" s="1277" t="s">
        <v>1117</v>
      </c>
      <c r="B532" s="1277"/>
      <c r="C532" s="1277"/>
      <c r="D532" s="1277"/>
      <c r="E532" s="1277"/>
      <c r="F532" s="1277"/>
      <c r="G532" s="1277"/>
      <c r="H532" s="1071"/>
      <c r="I532" s="1072"/>
    </row>
    <row r="533" spans="1:9">
      <c r="A533" s="481"/>
      <c r="B533" s="481"/>
      <c r="C533" s="522"/>
      <c r="F533" s="483"/>
    </row>
    <row r="534" spans="1:9">
      <c r="B534" s="1292" t="s">
        <v>449</v>
      </c>
      <c r="C534" s="1292"/>
      <c r="D534" s="1292"/>
      <c r="E534" s="1292"/>
      <c r="F534" s="1292"/>
    </row>
    <row r="535" spans="1:9">
      <c r="A535" s="481"/>
      <c r="B535" s="481"/>
      <c r="C535" s="522"/>
      <c r="D535" s="481"/>
      <c r="F535" s="481"/>
    </row>
    <row r="536" spans="1:9">
      <c r="A536" s="1308" t="s">
        <v>1118</v>
      </c>
      <c r="B536" s="1308"/>
      <c r="C536" s="1308"/>
      <c r="D536" s="1308"/>
      <c r="E536" s="1308"/>
      <c r="F536" s="1308"/>
      <c r="G536" s="1308"/>
      <c r="H536" s="1071"/>
      <c r="I536" s="1072"/>
    </row>
    <row r="537" spans="1:9">
      <c r="A537" s="481"/>
      <c r="B537" s="481"/>
      <c r="C537" s="522"/>
      <c r="D537" s="481"/>
      <c r="F537" s="481"/>
    </row>
    <row r="538" spans="1:9">
      <c r="C538" s="522"/>
      <c r="D538" s="1288" t="s">
        <v>692</v>
      </c>
      <c r="E538" s="1288"/>
      <c r="F538" s="1288"/>
    </row>
    <row r="539" spans="1:9">
      <c r="C539" s="522"/>
      <c r="D539" s="1290" t="s">
        <v>1175</v>
      </c>
      <c r="E539" s="1290"/>
      <c r="F539" s="1290"/>
    </row>
    <row r="540" spans="1:9">
      <c r="C540" s="522"/>
      <c r="D540" s="481"/>
      <c r="E540" s="481"/>
      <c r="F540" s="481"/>
    </row>
    <row r="541" spans="1:9" ht="13.7" customHeight="1">
      <c r="A541" s="519"/>
      <c r="B541" s="520" t="s">
        <v>2738</v>
      </c>
      <c r="C541" s="522"/>
      <c r="D541" s="1290" t="s">
        <v>913</v>
      </c>
      <c r="E541" s="1290"/>
      <c r="F541" s="1290"/>
      <c r="I541" s="436" t="s">
        <v>2221</v>
      </c>
    </row>
    <row r="542" spans="1:9" ht="13.7" customHeight="1">
      <c r="A542" s="522"/>
      <c r="B542" s="522"/>
      <c r="C542" s="522"/>
      <c r="D542" s="481"/>
    </row>
    <row r="543" spans="1:9" ht="14.25">
      <c r="A543" s="519"/>
      <c r="B543" s="520" t="s">
        <v>2738</v>
      </c>
      <c r="C543" s="522"/>
      <c r="D543" s="1289" t="s">
        <v>1176</v>
      </c>
      <c r="E543" s="1289"/>
      <c r="F543" s="1289"/>
      <c r="I543" s="436" t="s">
        <v>2221</v>
      </c>
    </row>
    <row r="544" spans="1:9">
      <c r="A544" s="522"/>
      <c r="B544" s="522"/>
      <c r="C544" s="522"/>
      <c r="D544" s="1289"/>
      <c r="E544" s="1289"/>
      <c r="F544" s="1289"/>
    </row>
    <row r="545" spans="1:9">
      <c r="A545" s="522"/>
      <c r="B545" s="522"/>
      <c r="C545" s="522"/>
      <c r="D545" s="481"/>
      <c r="E545" s="481"/>
      <c r="F545" s="481"/>
    </row>
    <row r="546" spans="1:9" ht="14.25">
      <c r="A546" s="519"/>
      <c r="B546" s="520" t="s">
        <v>2738</v>
      </c>
      <c r="C546" s="522"/>
      <c r="D546" s="1289" t="s">
        <v>1177</v>
      </c>
      <c r="E546" s="1289"/>
      <c r="F546" s="1289"/>
      <c r="I546" s="436" t="s">
        <v>2172</v>
      </c>
    </row>
    <row r="547" spans="1:9">
      <c r="A547" s="522"/>
      <c r="B547" s="522"/>
      <c r="C547" s="522"/>
      <c r="D547" s="1289"/>
      <c r="E547" s="1289"/>
      <c r="F547" s="1289"/>
    </row>
    <row r="548" spans="1:9">
      <c r="A548" s="522"/>
      <c r="B548" s="522"/>
      <c r="C548" s="522"/>
      <c r="D548" s="481"/>
      <c r="E548" s="481"/>
      <c r="F548" s="481"/>
    </row>
    <row r="549" spans="1:9" ht="14.25">
      <c r="A549" s="519"/>
      <c r="B549" s="520" t="s">
        <v>2738</v>
      </c>
      <c r="C549" s="522"/>
      <c r="D549" s="1289" t="s">
        <v>1178</v>
      </c>
      <c r="E549" s="1289"/>
      <c r="F549" s="1289"/>
      <c r="I549" s="436" t="s">
        <v>2173</v>
      </c>
    </row>
    <row r="550" spans="1:9">
      <c r="A550" s="522"/>
      <c r="B550" s="522"/>
      <c r="C550" s="522"/>
      <c r="D550" s="1289"/>
      <c r="E550" s="1289"/>
      <c r="F550" s="1289"/>
    </row>
    <row r="551" spans="1:9">
      <c r="A551" s="522"/>
      <c r="B551" s="522"/>
      <c r="C551" s="522"/>
      <c r="D551" s="481"/>
      <c r="E551" s="481"/>
      <c r="F551" s="481"/>
    </row>
    <row r="552" spans="1:9" ht="14.25">
      <c r="A552" s="519"/>
      <c r="B552" s="520" t="s">
        <v>2738</v>
      </c>
      <c r="C552" s="522"/>
      <c r="D552" s="1289" t="s">
        <v>1179</v>
      </c>
      <c r="E552" s="1289"/>
      <c r="F552" s="1289"/>
      <c r="I552" s="436" t="s">
        <v>2222</v>
      </c>
    </row>
    <row r="553" spans="1:9">
      <c r="A553" s="522"/>
      <c r="B553" s="522"/>
      <c r="C553" s="522"/>
      <c r="D553" s="1289"/>
      <c r="E553" s="1289"/>
      <c r="F553" s="1289"/>
    </row>
    <row r="554" spans="1:9">
      <c r="A554" s="522"/>
      <c r="B554" s="522"/>
      <c r="C554" s="522"/>
      <c r="D554" s="1289"/>
      <c r="E554" s="1289"/>
      <c r="F554" s="1289"/>
    </row>
    <row r="555" spans="1:9">
      <c r="A555" s="522"/>
      <c r="B555" s="522"/>
      <c r="C555" s="522"/>
      <c r="D555" s="481"/>
      <c r="E555" s="481"/>
      <c r="F555" s="481"/>
    </row>
    <row r="556" spans="1:9" ht="14.25">
      <c r="A556" s="519"/>
      <c r="B556" s="520" t="s">
        <v>2650</v>
      </c>
      <c r="C556" s="522"/>
      <c r="D556" s="1289" t="s">
        <v>1297</v>
      </c>
      <c r="E556" s="1289"/>
      <c r="F556" s="1289"/>
      <c r="I556" s="436" t="s">
        <v>2221</v>
      </c>
    </row>
    <row r="557" spans="1:9">
      <c r="A557" s="522"/>
      <c r="B557" s="522"/>
      <c r="C557" s="522"/>
      <c r="D557" s="1289"/>
      <c r="E557" s="1289"/>
      <c r="F557" s="1289"/>
    </row>
    <row r="558" spans="1:9">
      <c r="A558" s="522"/>
      <c r="B558" s="522"/>
      <c r="C558" s="522"/>
      <c r="D558" s="481"/>
      <c r="E558" s="481"/>
      <c r="F558" s="481"/>
    </row>
    <row r="559" spans="1:9" ht="14.25">
      <c r="A559" s="519"/>
      <c r="B559" s="520" t="s">
        <v>2738</v>
      </c>
      <c r="C559" s="522"/>
      <c r="D559" s="1289" t="s">
        <v>1181</v>
      </c>
      <c r="E559" s="1289"/>
      <c r="F559" s="1289"/>
      <c r="I559" s="436" t="s">
        <v>2221</v>
      </c>
    </row>
    <row r="560" spans="1:9">
      <c r="A560" s="522"/>
      <c r="B560" s="522"/>
      <c r="C560" s="522"/>
      <c r="D560" s="1289"/>
      <c r="E560" s="1289"/>
      <c r="F560" s="1289"/>
    </row>
    <row r="561" spans="1:9">
      <c r="A561" s="522"/>
      <c r="B561" s="522"/>
      <c r="C561" s="522"/>
      <c r="D561" s="481"/>
      <c r="E561" s="481"/>
      <c r="F561" s="481"/>
    </row>
    <row r="562" spans="1:9" ht="14.25">
      <c r="A562" s="519"/>
      <c r="B562" s="520" t="s">
        <v>2738</v>
      </c>
      <c r="C562" s="522"/>
      <c r="D562" s="1290" t="s">
        <v>1182</v>
      </c>
      <c r="E562" s="1290"/>
      <c r="F562" s="1290"/>
      <c r="I562" s="436" t="s">
        <v>2224</v>
      </c>
    </row>
    <row r="563" spans="1:9">
      <c r="A563" s="525"/>
      <c r="B563" s="525"/>
      <c r="C563" s="522"/>
      <c r="D563" s="1290" t="s">
        <v>2288</v>
      </c>
      <c r="E563" s="1290"/>
      <c r="F563" s="1290"/>
    </row>
    <row r="564" spans="1:9">
      <c r="A564" s="525"/>
      <c r="B564" s="525"/>
      <c r="C564" s="522"/>
      <c r="E564" s="96" t="s">
        <v>2287</v>
      </c>
      <c r="F564" s="436"/>
    </row>
    <row r="565" spans="1:9" ht="14.25">
      <c r="A565" s="519"/>
      <c r="B565" s="519"/>
      <c r="C565" s="522"/>
      <c r="E565" s="481"/>
      <c r="F565" s="481"/>
    </row>
    <row r="566" spans="1:9" ht="14.25">
      <c r="A566" s="519"/>
      <c r="B566" s="520" t="s">
        <v>2738</v>
      </c>
      <c r="C566" s="522"/>
      <c r="D566" s="1290" t="s">
        <v>1184</v>
      </c>
      <c r="E566" s="1290"/>
      <c r="F566" s="1290"/>
      <c r="I566" s="436" t="s">
        <v>2174</v>
      </c>
    </row>
    <row r="567" spans="1:9">
      <c r="C567" s="522"/>
      <c r="D567" s="1289" t="s">
        <v>1185</v>
      </c>
      <c r="E567" s="1289"/>
      <c r="F567" s="1289"/>
    </row>
    <row r="568" spans="1:9">
      <c r="A568" s="522"/>
      <c r="B568" s="522"/>
      <c r="C568" s="522"/>
      <c r="D568" s="1289"/>
      <c r="E568" s="1289"/>
      <c r="F568" s="1289"/>
    </row>
    <row r="569" spans="1:9">
      <c r="A569" s="522"/>
      <c r="B569" s="522"/>
      <c r="C569" s="522"/>
      <c r="D569" s="1289"/>
      <c r="E569" s="1289"/>
      <c r="F569" s="1289"/>
    </row>
    <row r="570" spans="1:9">
      <c r="A570" s="522"/>
      <c r="B570" s="522"/>
      <c r="C570" s="522"/>
      <c r="D570" s="481"/>
      <c r="E570" s="481"/>
      <c r="F570" s="481"/>
    </row>
    <row r="571" spans="1:9" ht="14.25">
      <c r="A571" s="519"/>
      <c r="B571" s="520" t="s">
        <v>2738</v>
      </c>
      <c r="C571" s="522"/>
      <c r="D571" s="1289" t="s">
        <v>2462</v>
      </c>
      <c r="E571" s="1289"/>
      <c r="F571" s="1289"/>
      <c r="I571" s="436" t="s">
        <v>2175</v>
      </c>
    </row>
    <row r="572" spans="1:9" ht="14.25">
      <c r="A572" s="519"/>
      <c r="B572" s="519"/>
      <c r="C572" s="522"/>
      <c r="D572" s="1289"/>
      <c r="E572" s="1289"/>
      <c r="F572" s="1289"/>
    </row>
    <row r="573" spans="1:9" ht="14.25">
      <c r="A573" s="519"/>
      <c r="B573" s="519"/>
      <c r="C573" s="522"/>
      <c r="D573" s="1289"/>
      <c r="E573" s="1289"/>
      <c r="F573" s="1289"/>
    </row>
    <row r="574" spans="1:9" ht="14.25">
      <c r="A574" s="519"/>
      <c r="B574" s="519"/>
      <c r="C574" s="522"/>
      <c r="D574" s="1289"/>
      <c r="E574" s="1289"/>
      <c r="F574" s="1289"/>
    </row>
    <row r="575" spans="1:9" ht="14.25">
      <c r="A575" s="519"/>
      <c r="B575" s="519"/>
      <c r="C575" s="522"/>
      <c r="D575" s="481"/>
      <c r="E575" s="481"/>
      <c r="F575" s="481"/>
    </row>
    <row r="576" spans="1:9">
      <c r="A576" s="1277" t="s">
        <v>1119</v>
      </c>
      <c r="B576" s="1277"/>
      <c r="C576" s="1277"/>
      <c r="D576" s="1277"/>
      <c r="E576" s="1277"/>
      <c r="F576" s="1277"/>
      <c r="G576" s="1277"/>
      <c r="H576" s="1071"/>
      <c r="I576" s="1072"/>
    </row>
    <row r="577" spans="1:9">
      <c r="A577" s="522"/>
      <c r="B577" s="522"/>
      <c r="C577" s="522"/>
      <c r="E577" s="481"/>
      <c r="F577" s="481"/>
    </row>
    <row r="578" spans="1:9" ht="12.75" customHeight="1">
      <c r="C578" s="517"/>
      <c r="D578" s="1291" t="s">
        <v>211</v>
      </c>
      <c r="E578" s="1291"/>
      <c r="F578" s="1291"/>
    </row>
    <row r="579" spans="1:9">
      <c r="A579" s="518"/>
      <c r="B579" s="518"/>
      <c r="C579" s="518"/>
      <c r="D579" s="1276" t="s">
        <v>1135</v>
      </c>
      <c r="E579" s="1276"/>
      <c r="F579" s="1276"/>
    </row>
    <row r="580" spans="1:9">
      <c r="A580" s="434"/>
      <c r="B580" s="434"/>
      <c r="C580" s="518"/>
      <c r="D580" s="534"/>
      <c r="I580" s="436" t="s">
        <v>2176</v>
      </c>
    </row>
    <row r="581" spans="1:9">
      <c r="A581" s="518"/>
      <c r="B581" s="520" t="s">
        <v>2738</v>
      </c>
      <c r="D581" s="1276" t="s">
        <v>919</v>
      </c>
      <c r="E581" s="1276"/>
      <c r="F581" s="1276"/>
    </row>
    <row r="582" spans="1:9">
      <c r="A582" s="525"/>
      <c r="B582" s="525"/>
      <c r="D582" s="511"/>
    </row>
    <row r="583" spans="1:9">
      <c r="A583" s="525"/>
      <c r="B583" s="520" t="s">
        <v>2738</v>
      </c>
      <c r="D583" s="1276" t="s">
        <v>2463</v>
      </c>
      <c r="E583" s="1276"/>
      <c r="F583" s="1276"/>
      <c r="I583" s="436" t="s">
        <v>2178</v>
      </c>
    </row>
    <row r="584" spans="1:9">
      <c r="A584" s="525"/>
      <c r="B584" s="525"/>
      <c r="D584" s="1276"/>
      <c r="E584" s="1276"/>
      <c r="F584" s="1276"/>
      <c r="I584" s="436" t="s">
        <v>2177</v>
      </c>
    </row>
    <row r="585" spans="1:9">
      <c r="A585" s="525"/>
      <c r="B585" s="525"/>
      <c r="D585" s="1276"/>
      <c r="E585" s="1276"/>
      <c r="F585" s="1276"/>
    </row>
    <row r="586" spans="1:9">
      <c r="A586" s="525"/>
      <c r="B586" s="525"/>
      <c r="D586" s="1276"/>
      <c r="E586" s="1276"/>
      <c r="F586" s="1276"/>
    </row>
    <row r="587" spans="1:9">
      <c r="A587" s="525"/>
      <c r="B587" s="520" t="s">
        <v>2650</v>
      </c>
      <c r="D587" s="1276" t="s">
        <v>1137</v>
      </c>
      <c r="E587" s="1276"/>
      <c r="F587" s="1276"/>
    </row>
    <row r="588" spans="1:9">
      <c r="A588" s="525"/>
      <c r="B588" s="525"/>
      <c r="D588" s="1276"/>
      <c r="E588" s="1276"/>
      <c r="F588" s="1276"/>
    </row>
    <row r="589" spans="1:9">
      <c r="A589" s="525"/>
      <c r="B589" s="525"/>
      <c r="D589" s="1276"/>
      <c r="E589" s="1276"/>
      <c r="F589" s="1276"/>
    </row>
    <row r="590" spans="1:9">
      <c r="A590" s="525"/>
      <c r="B590" s="525"/>
      <c r="D590" s="1276"/>
      <c r="E590" s="1276"/>
      <c r="F590" s="1276"/>
    </row>
    <row r="591" spans="1:9">
      <c r="A591" s="525"/>
      <c r="B591" s="525"/>
      <c r="D591" s="474"/>
      <c r="E591" s="474"/>
      <c r="F591" s="474"/>
    </row>
    <row r="592" spans="1:9">
      <c r="A592" s="525"/>
      <c r="B592" s="520" t="s">
        <v>2738</v>
      </c>
      <c r="D592" s="1276" t="s">
        <v>2464</v>
      </c>
      <c r="E592" s="1276"/>
      <c r="F592" s="1276"/>
    </row>
    <row r="593" spans="1:9">
      <c r="A593" s="525"/>
      <c r="B593" s="525"/>
      <c r="D593" s="1276"/>
      <c r="E593" s="1276"/>
      <c r="F593" s="1276"/>
    </row>
    <row r="594" spans="1:9">
      <c r="A594" s="525"/>
      <c r="B594" s="525"/>
      <c r="D594" s="534"/>
    </row>
    <row r="595" spans="1:9">
      <c r="A595" s="525"/>
      <c r="B595" s="520" t="s">
        <v>2650</v>
      </c>
      <c r="D595" s="1276" t="s">
        <v>1139</v>
      </c>
      <c r="E595" s="1276"/>
      <c r="F595" s="1276"/>
      <c r="I595" s="436" t="s">
        <v>2225</v>
      </c>
    </row>
    <row r="596" spans="1:9">
      <c r="A596" s="525"/>
      <c r="B596" s="525"/>
      <c r="D596" s="1276"/>
      <c r="E596" s="1276"/>
      <c r="F596" s="1276"/>
    </row>
    <row r="597" spans="1:9" ht="14.25">
      <c r="A597" s="519"/>
      <c r="B597" s="519"/>
      <c r="D597" s="534"/>
    </row>
    <row r="598" spans="1:9">
      <c r="A598" s="1277" t="s">
        <v>1120</v>
      </c>
      <c r="B598" s="1277"/>
      <c r="C598" s="1277"/>
      <c r="D598" s="1277"/>
      <c r="E598" s="1277"/>
      <c r="F598" s="1277"/>
      <c r="G598" s="1277"/>
      <c r="H598" s="1071"/>
      <c r="I598" s="1072"/>
    </row>
    <row r="599" spans="1:9"/>
    <row r="600" spans="1:9">
      <c r="D600" s="1288" t="s">
        <v>1220</v>
      </c>
      <c r="E600" s="1288"/>
      <c r="F600" s="1288"/>
    </row>
    <row r="601" spans="1:9">
      <c r="D601" s="1311" t="s">
        <v>1221</v>
      </c>
      <c r="E601" s="1311"/>
      <c r="F601" s="1311"/>
    </row>
    <row r="602" spans="1:9">
      <c r="D602" s="479"/>
    </row>
    <row r="603" spans="1:9" ht="14.25" customHeight="1">
      <c r="A603" s="519"/>
      <c r="B603" s="520" t="s">
        <v>2738</v>
      </c>
      <c r="D603" s="1331" t="s">
        <v>2289</v>
      </c>
      <c r="E603" s="1331"/>
      <c r="F603" s="1331"/>
      <c r="I603" s="436" t="s">
        <v>2206</v>
      </c>
    </row>
    <row r="604" spans="1:9">
      <c r="D604" s="1331"/>
      <c r="E604" s="1331"/>
      <c r="F604" s="1331"/>
    </row>
    <row r="605" spans="1:9">
      <c r="D605" s="417"/>
      <c r="E605" s="1080" t="s">
        <v>2290</v>
      </c>
      <c r="F605" s="417"/>
    </row>
    <row r="606" spans="1:9"/>
    <row r="607" spans="1:9">
      <c r="A607" s="1277" t="s">
        <v>1121</v>
      </c>
      <c r="B607" s="1277"/>
      <c r="C607" s="1277"/>
      <c r="D607" s="1277"/>
      <c r="E607" s="1277"/>
      <c r="F607" s="1277"/>
      <c r="G607" s="1277"/>
      <c r="H607" s="1071"/>
      <c r="I607" s="1072"/>
    </row>
    <row r="608" spans="1:9">
      <c r="A608" s="481"/>
      <c r="B608" s="481"/>
    </row>
    <row r="609" spans="1:9">
      <c r="A609" s="517"/>
      <c r="B609" s="517"/>
      <c r="C609" s="517"/>
      <c r="D609" s="1312" t="s">
        <v>1223</v>
      </c>
      <c r="E609" s="1312"/>
      <c r="F609" s="1312"/>
    </row>
    <row r="610" spans="1:9">
      <c r="A610" s="517"/>
      <c r="B610" s="517"/>
      <c r="C610" s="517"/>
      <c r="D610" s="1312"/>
      <c r="E610" s="1312"/>
      <c r="F610" s="1312"/>
    </row>
    <row r="611" spans="1:9">
      <c r="C611" s="518"/>
      <c r="D611" s="1311" t="s">
        <v>1224</v>
      </c>
      <c r="E611" s="1311"/>
      <c r="F611" s="1311"/>
    </row>
    <row r="612" spans="1:9">
      <c r="C612" s="518"/>
      <c r="D612" s="479"/>
      <c r="E612" s="479"/>
      <c r="F612" s="479"/>
    </row>
    <row r="613" spans="1:9" ht="12.75" customHeight="1">
      <c r="A613" s="525"/>
      <c r="B613" s="520" t="s">
        <v>2738</v>
      </c>
      <c r="D613" s="1287" t="s">
        <v>1225</v>
      </c>
      <c r="E613" s="1287"/>
      <c r="F613" s="1287"/>
      <c r="I613" s="436" t="s">
        <v>2226</v>
      </c>
    </row>
    <row r="614" spans="1:9">
      <c r="D614" s="1287"/>
      <c r="E614" s="1287"/>
      <c r="F614" s="1287"/>
    </row>
    <row r="615" spans="1:9"/>
    <row r="616" spans="1:9">
      <c r="B616" s="520" t="s">
        <v>2738</v>
      </c>
      <c r="D616" s="1287" t="s">
        <v>1226</v>
      </c>
      <c r="E616" s="1287"/>
      <c r="F616" s="1287"/>
      <c r="I616" s="436" t="s">
        <v>2179</v>
      </c>
    </row>
    <row r="617" spans="1:9">
      <c r="C617" s="535"/>
      <c r="D617" s="1287"/>
      <c r="E617" s="1287"/>
      <c r="F617" s="1287"/>
    </row>
    <row r="618" spans="1:9">
      <c r="C618" s="535"/>
    </row>
    <row r="619" spans="1:9">
      <c r="B619" s="520" t="s">
        <v>2650</v>
      </c>
      <c r="C619" s="535"/>
      <c r="D619" s="1287" t="s">
        <v>1227</v>
      </c>
      <c r="E619" s="1287"/>
      <c r="F619" s="1287"/>
      <c r="I619" s="436" t="s">
        <v>2227</v>
      </c>
    </row>
    <row r="620" spans="1:9">
      <c r="C620" s="535"/>
      <c r="D620" s="1287"/>
      <c r="E620" s="1287"/>
      <c r="F620" s="1287"/>
      <c r="I620" s="1068" t="s">
        <v>2228</v>
      </c>
    </row>
    <row r="621" spans="1:9">
      <c r="C621" s="535"/>
    </row>
    <row r="622" spans="1:9">
      <c r="A622" s="1277" t="s">
        <v>1122</v>
      </c>
      <c r="B622" s="1277"/>
      <c r="C622" s="1277"/>
      <c r="D622" s="1277"/>
      <c r="E622" s="1277"/>
      <c r="F622" s="1277"/>
      <c r="G622" s="1277"/>
      <c r="H622" s="1071"/>
      <c r="I622" s="1072"/>
    </row>
    <row r="623" spans="1:9">
      <c r="A623" s="517"/>
      <c r="B623" s="517"/>
      <c r="C623" s="517"/>
    </row>
    <row r="624" spans="1:9">
      <c r="C624" s="525"/>
      <c r="D624" s="1288" t="s">
        <v>1228</v>
      </c>
      <c r="E624" s="1288"/>
      <c r="F624" s="1288"/>
    </row>
    <row r="625" spans="1:9">
      <c r="A625" s="525"/>
      <c r="B625" s="525"/>
      <c r="D625" s="436"/>
    </row>
    <row r="626" spans="1:9" ht="14.25" customHeight="1">
      <c r="A626" s="519"/>
      <c r="B626" s="520" t="s">
        <v>2738</v>
      </c>
      <c r="D626" s="1331" t="s">
        <v>2465</v>
      </c>
      <c r="E626" s="1331"/>
      <c r="F626" s="1331"/>
      <c r="I626" s="436" t="s">
        <v>2207</v>
      </c>
    </row>
    <row r="627" spans="1:9">
      <c r="D627" s="1331"/>
      <c r="E627" s="1331"/>
      <c r="F627" s="1331"/>
    </row>
    <row r="628" spans="1:9">
      <c r="D628" s="417"/>
      <c r="E628" s="1080" t="s">
        <v>2292</v>
      </c>
      <c r="F628" s="417"/>
    </row>
    <row r="629" spans="1:9">
      <c r="D629" s="1289" t="s">
        <v>2291</v>
      </c>
      <c r="E629" s="1289"/>
      <c r="F629" s="1289"/>
    </row>
    <row r="630" spans="1:9">
      <c r="D630" s="1289"/>
      <c r="E630" s="1289"/>
      <c r="F630" s="1289"/>
    </row>
    <row r="631" spans="1:9">
      <c r="D631" s="1289"/>
      <c r="E631" s="1289"/>
      <c r="F631" s="1289"/>
    </row>
    <row r="632" spans="1:9">
      <c r="D632" s="480"/>
      <c r="E632" s="480"/>
      <c r="F632" s="480"/>
    </row>
    <row r="633" spans="1:9" ht="14.25">
      <c r="A633" s="519"/>
      <c r="B633" s="520" t="s">
        <v>2650</v>
      </c>
      <c r="D633" s="1289" t="s">
        <v>1230</v>
      </c>
      <c r="E633" s="1289"/>
      <c r="F633" s="1289"/>
      <c r="I633" s="436" t="s">
        <v>2229</v>
      </c>
    </row>
    <row r="634" spans="1:9">
      <c r="A634" s="522"/>
      <c r="B634" s="522"/>
      <c r="C634" s="522"/>
      <c r="D634" s="1289"/>
      <c r="E634" s="1289"/>
      <c r="F634" s="1289"/>
    </row>
    <row r="635" spans="1:9">
      <c r="A635" s="522"/>
      <c r="B635" s="522"/>
      <c r="C635" s="522"/>
      <c r="D635" s="481"/>
      <c r="E635" s="481"/>
      <c r="F635" s="481"/>
    </row>
    <row r="636" spans="1:9" ht="14.25">
      <c r="A636" s="519"/>
      <c r="B636" s="520" t="s">
        <v>2650</v>
      </c>
      <c r="C636" s="522"/>
      <c r="D636" s="1289" t="s">
        <v>1372</v>
      </c>
      <c r="E636" s="1289"/>
      <c r="F636" s="1289"/>
      <c r="I636" s="436" t="s">
        <v>2180</v>
      </c>
    </row>
    <row r="637" spans="1:9" ht="14.25">
      <c r="A637" s="519"/>
      <c r="B637" s="519"/>
      <c r="C637" s="522"/>
      <c r="D637" s="1289"/>
      <c r="E637" s="1289"/>
      <c r="F637" s="1289"/>
    </row>
    <row r="638" spans="1:9" ht="14.25">
      <c r="A638" s="519"/>
      <c r="B638" s="519"/>
      <c r="C638" s="522"/>
      <c r="D638" s="1289"/>
      <c r="E638" s="1289"/>
      <c r="F638" s="1289"/>
    </row>
    <row r="639" spans="1:9">
      <c r="A639" s="522"/>
      <c r="B639" s="520" t="s">
        <v>2650</v>
      </c>
      <c r="C639" s="522"/>
      <c r="D639" s="1290" t="s">
        <v>1232</v>
      </c>
      <c r="E639" s="1290"/>
      <c r="F639" s="1290"/>
      <c r="I639" s="436" t="s">
        <v>2180</v>
      </c>
    </row>
    <row r="640" spans="1:9">
      <c r="A640" s="522"/>
      <c r="B640" s="522"/>
      <c r="C640" s="522"/>
      <c r="D640" s="481"/>
      <c r="E640" s="481"/>
      <c r="F640" s="481"/>
    </row>
    <row r="641" spans="1:9">
      <c r="A641" s="1277" t="s">
        <v>1123</v>
      </c>
      <c r="B641" s="1277"/>
      <c r="C641" s="1277"/>
      <c r="D641" s="1277"/>
      <c r="E641" s="1277"/>
      <c r="F641" s="1277"/>
      <c r="G641" s="1277"/>
      <c r="H641" s="1071"/>
      <c r="I641" s="1072"/>
    </row>
    <row r="642" spans="1:9">
      <c r="A642" s="481"/>
      <c r="B642" s="481"/>
      <c r="C642" s="522"/>
      <c r="D642" s="481"/>
      <c r="E642" s="481"/>
      <c r="F642" s="481"/>
    </row>
    <row r="643" spans="1:9">
      <c r="C643" s="517"/>
      <c r="D643" s="1288" t="s">
        <v>1282</v>
      </c>
      <c r="E643" s="1288"/>
      <c r="F643" s="1288"/>
    </row>
    <row r="644" spans="1:9">
      <c r="A644" s="518"/>
      <c r="B644" s="518"/>
      <c r="C644" s="518"/>
      <c r="D644" s="1290" t="s">
        <v>1283</v>
      </c>
      <c r="E644" s="1290"/>
      <c r="F644" s="1290"/>
    </row>
    <row r="645" spans="1:9">
      <c r="A645" s="518"/>
      <c r="B645" s="518"/>
      <c r="C645" s="518"/>
      <c r="D645" s="481"/>
      <c r="E645" s="481"/>
      <c r="F645" s="481"/>
    </row>
    <row r="646" spans="1:9" ht="12.75" customHeight="1">
      <c r="B646" s="520" t="s">
        <v>2738</v>
      </c>
      <c r="C646" s="522"/>
      <c r="D646" s="1289" t="s">
        <v>1445</v>
      </c>
      <c r="E646" s="1289"/>
      <c r="F646" s="1289"/>
      <c r="I646" s="436" t="s">
        <v>2232</v>
      </c>
    </row>
    <row r="647" spans="1:9">
      <c r="D647" s="1289"/>
      <c r="E647" s="1289"/>
      <c r="F647" s="1289"/>
    </row>
    <row r="648" spans="1:9">
      <c r="D648" s="1289"/>
      <c r="E648" s="1289"/>
      <c r="F648" s="1289"/>
    </row>
    <row r="649" spans="1:9">
      <c r="D649" s="1289"/>
      <c r="E649" s="1289"/>
      <c r="F649" s="1289"/>
    </row>
    <row r="650" spans="1:9" ht="14.45" customHeight="1">
      <c r="A650" s="519"/>
      <c r="B650" s="519"/>
      <c r="C650" s="522"/>
      <c r="D650" s="417"/>
      <c r="E650" s="417"/>
      <c r="F650" s="417"/>
    </row>
    <row r="651" spans="1:9" ht="12.75" customHeight="1">
      <c r="A651" s="518"/>
      <c r="B651" s="520" t="s">
        <v>2738</v>
      </c>
      <c r="C651" s="522"/>
      <c r="D651" s="1289" t="s">
        <v>1447</v>
      </c>
      <c r="E651" s="1289"/>
      <c r="F651" s="1289"/>
      <c r="I651" s="436" t="s">
        <v>2232</v>
      </c>
    </row>
    <row r="652" spans="1:9" ht="14.25">
      <c r="A652" s="518"/>
      <c r="B652" s="519"/>
      <c r="C652" s="522"/>
      <c r="D652" s="1289"/>
      <c r="E652" s="1289"/>
      <c r="F652" s="1289"/>
    </row>
    <row r="653" spans="1:9" ht="14.25">
      <c r="A653" s="518"/>
      <c r="B653" s="519"/>
      <c r="C653" s="522"/>
      <c r="D653" s="1289"/>
      <c r="E653" s="1289"/>
      <c r="F653" s="1289"/>
    </row>
    <row r="654" spans="1:9" ht="14.25">
      <c r="A654" s="518"/>
      <c r="B654" s="519"/>
      <c r="C654" s="522"/>
      <c r="D654" s="1289"/>
      <c r="E654" s="1289"/>
      <c r="F654" s="1289"/>
    </row>
    <row r="655" spans="1:9" ht="14.25">
      <c r="A655" s="518"/>
      <c r="B655" s="519"/>
      <c r="C655" s="522"/>
      <c r="D655" s="1289"/>
      <c r="E655" s="1289"/>
      <c r="F655" s="1289"/>
    </row>
    <row r="656" spans="1:9" ht="14.25" customHeight="1">
      <c r="A656" s="518"/>
      <c r="B656" s="519"/>
      <c r="C656" s="522"/>
      <c r="F656" s="418"/>
    </row>
    <row r="657" spans="1:11" ht="12.75" customHeight="1">
      <c r="A657" s="518"/>
      <c r="B657" s="520" t="s">
        <v>2650</v>
      </c>
      <c r="C657" s="522"/>
      <c r="D657" s="1289" t="s">
        <v>1446</v>
      </c>
      <c r="E657" s="1289"/>
      <c r="F657" s="1289"/>
      <c r="I657" s="436" t="s">
        <v>2232</v>
      </c>
    </row>
    <row r="658" spans="1:11" ht="14.25">
      <c r="A658" s="518"/>
      <c r="B658" s="519"/>
      <c r="C658" s="522"/>
      <c r="D658" s="1289"/>
      <c r="E658" s="1289"/>
      <c r="F658" s="1289"/>
    </row>
    <row r="659" spans="1:11" ht="14.25">
      <c r="A659" s="519"/>
      <c r="B659" s="519"/>
      <c r="C659" s="522"/>
      <c r="D659" s="1289"/>
      <c r="E659" s="1289"/>
      <c r="F659" s="1289"/>
    </row>
    <row r="660" spans="1:11" ht="14.25">
      <c r="A660" s="519"/>
      <c r="B660" s="519"/>
      <c r="C660" s="522"/>
      <c r="D660" s="1289"/>
      <c r="E660" s="1289"/>
      <c r="F660" s="1289"/>
    </row>
    <row r="661" spans="1:11" ht="14.25">
      <c r="A661" s="519"/>
      <c r="B661" s="519"/>
      <c r="C661" s="522"/>
      <c r="D661" s="480"/>
      <c r="E661" s="480"/>
      <c r="F661" s="480"/>
    </row>
    <row r="662" spans="1:11" ht="12.75" customHeight="1">
      <c r="A662" s="518"/>
      <c r="B662" s="520" t="s">
        <v>2650</v>
      </c>
      <c r="C662" s="522"/>
      <c r="D662" s="1289" t="s">
        <v>2466</v>
      </c>
      <c r="E662" s="1289"/>
      <c r="F662" s="1289"/>
      <c r="I662" s="436" t="s">
        <v>2232</v>
      </c>
    </row>
    <row r="663" spans="1:11" ht="12.75" customHeight="1">
      <c r="A663" s="518"/>
      <c r="B663" s="519"/>
      <c r="C663" s="522"/>
      <c r="D663" s="1289"/>
      <c r="E663" s="1289"/>
      <c r="F663" s="1289"/>
    </row>
    <row r="664" spans="1:11" ht="12.75" customHeight="1">
      <c r="A664" s="518"/>
      <c r="B664" s="519"/>
      <c r="C664" s="522"/>
      <c r="D664" s="1289"/>
      <c r="E664" s="1289"/>
      <c r="F664" s="1289"/>
    </row>
    <row r="665" spans="1:11" ht="12.75" customHeight="1">
      <c r="A665" s="518"/>
      <c r="B665" s="519"/>
      <c r="C665" s="522"/>
      <c r="D665" s="1289"/>
      <c r="E665" s="1289"/>
      <c r="F665" s="1289"/>
    </row>
    <row r="666" spans="1:11" ht="12.75" customHeight="1">
      <c r="A666" s="518"/>
      <c r="B666" s="519"/>
      <c r="C666" s="522"/>
      <c r="D666" s="1289"/>
      <c r="E666" s="1289"/>
      <c r="F666" s="1289"/>
    </row>
    <row r="667" spans="1:11" ht="12.75" customHeight="1">
      <c r="A667" s="518"/>
      <c r="B667" s="519"/>
      <c r="C667" s="522"/>
      <c r="D667" s="1289"/>
      <c r="E667" s="1289"/>
      <c r="F667" s="1289"/>
    </row>
    <row r="668" spans="1:11" ht="12.75" customHeight="1">
      <c r="A668" s="518"/>
      <c r="B668" s="519"/>
      <c r="C668" s="522"/>
      <c r="D668" s="1289"/>
      <c r="E668" s="1289"/>
      <c r="F668" s="1289"/>
    </row>
    <row r="669" spans="1:11" ht="12.75" customHeight="1">
      <c r="A669" s="518"/>
      <c r="B669" s="519"/>
      <c r="C669" s="522"/>
      <c r="D669" s="1289"/>
      <c r="E669" s="1289"/>
      <c r="F669" s="1289"/>
    </row>
    <row r="670" spans="1:11" ht="12.75" customHeight="1">
      <c r="A670" s="518"/>
      <c r="B670" s="519"/>
      <c r="C670" s="522"/>
      <c r="D670" s="1289"/>
      <c r="E670" s="1289"/>
      <c r="F670" s="1289"/>
    </row>
    <row r="671" spans="1:11">
      <c r="A671" s="522"/>
      <c r="B671" s="522"/>
      <c r="C671" s="522"/>
      <c r="D671" s="481"/>
      <c r="E671" s="481"/>
      <c r="F671" s="481"/>
    </row>
    <row r="672" spans="1:11">
      <c r="A672" s="1277" t="s">
        <v>1124</v>
      </c>
      <c r="B672" s="1277"/>
      <c r="C672" s="1277"/>
      <c r="D672" s="1277"/>
      <c r="E672" s="1277"/>
      <c r="F672" s="1277"/>
      <c r="G672" s="1277"/>
      <c r="H672" s="1073"/>
      <c r="I672" s="1074"/>
      <c r="J672" s="536"/>
      <c r="K672" s="536"/>
    </row>
    <row r="673" spans="1:11">
      <c r="A673" s="483"/>
      <c r="B673" s="483"/>
      <c r="C673" s="483"/>
      <c r="D673" s="483"/>
      <c r="E673" s="483"/>
      <c r="F673" s="483"/>
      <c r="G673" s="483"/>
      <c r="H673" s="536"/>
      <c r="I673" s="1065"/>
      <c r="J673" s="536"/>
      <c r="K673" s="536"/>
    </row>
    <row r="674" spans="1:11">
      <c r="C674" s="517"/>
      <c r="D674" s="1288" t="s">
        <v>100</v>
      </c>
      <c r="E674" s="1288"/>
      <c r="F674" s="1288"/>
      <c r="H674" s="536"/>
      <c r="I674" s="1065"/>
      <c r="J674" s="536"/>
      <c r="K674" s="536"/>
    </row>
    <row r="675" spans="1:11">
      <c r="A675" s="517"/>
      <c r="B675" s="517"/>
      <c r="C675" s="517"/>
      <c r="D675" s="1288" t="s">
        <v>124</v>
      </c>
      <c r="E675" s="1288"/>
      <c r="F675" s="1288"/>
      <c r="H675" s="536"/>
      <c r="I675" s="1065"/>
      <c r="J675" s="536"/>
      <c r="K675" s="536"/>
    </row>
    <row r="676" spans="1:11">
      <c r="A676" s="518"/>
      <c r="B676" s="518"/>
      <c r="C676" s="518"/>
      <c r="D676" s="1290" t="s">
        <v>1160</v>
      </c>
      <c r="E676" s="1290"/>
      <c r="F676" s="1290"/>
      <c r="H676" s="536"/>
      <c r="I676" s="1065"/>
      <c r="J676" s="536"/>
      <c r="K676" s="536"/>
    </row>
    <row r="677" spans="1:11">
      <c r="A677" s="518"/>
      <c r="B677" s="518"/>
      <c r="C677" s="518"/>
      <c r="H677" s="536"/>
      <c r="I677" s="1065"/>
      <c r="J677" s="536"/>
      <c r="K677" s="536"/>
    </row>
    <row r="678" spans="1:11" ht="14.25">
      <c r="A678" s="519"/>
      <c r="B678" s="520" t="s">
        <v>2738</v>
      </c>
      <c r="C678" s="518"/>
      <c r="D678" s="1290" t="s">
        <v>915</v>
      </c>
      <c r="E678" s="1290"/>
      <c r="F678" s="1290"/>
      <c r="H678" s="536"/>
      <c r="I678" s="1065" t="s">
        <v>2208</v>
      </c>
      <c r="J678" s="536"/>
      <c r="K678" s="536"/>
    </row>
    <row r="679" spans="1:11">
      <c r="A679" s="518"/>
      <c r="B679" s="518"/>
      <c r="C679" s="518"/>
      <c r="D679" s="1290" t="s">
        <v>926</v>
      </c>
      <c r="E679" s="1290"/>
      <c r="F679" s="1290"/>
      <c r="H679" s="536"/>
      <c r="I679" s="1065"/>
      <c r="J679" s="536"/>
      <c r="K679" s="536"/>
    </row>
    <row r="680" spans="1:11" ht="12.75" customHeight="1">
      <c r="A680" s="518"/>
      <c r="B680" s="518"/>
      <c r="C680" s="518"/>
      <c r="E680" s="1080" t="s">
        <v>2294</v>
      </c>
      <c r="F680" s="452"/>
      <c r="H680" s="536"/>
      <c r="I680" s="1065"/>
      <c r="J680" s="536"/>
      <c r="K680" s="536"/>
    </row>
    <row r="681" spans="1:11">
      <c r="A681" s="518"/>
      <c r="B681" s="518"/>
      <c r="C681" s="518"/>
      <c r="E681" s="536" t="s">
        <v>2293</v>
      </c>
      <c r="F681" s="452"/>
      <c r="I681" s="1065"/>
      <c r="J681" s="536"/>
      <c r="K681" s="536"/>
    </row>
    <row r="682" spans="1:11">
      <c r="A682" s="518"/>
      <c r="B682" s="518"/>
      <c r="C682" s="518"/>
      <c r="D682" s="537"/>
      <c r="E682" s="481"/>
      <c r="H682" s="536"/>
      <c r="I682" s="1065"/>
      <c r="J682" s="536"/>
      <c r="K682" s="536"/>
    </row>
    <row r="683" spans="1:11" ht="14.25">
      <c r="A683" s="519"/>
      <c r="B683" s="520" t="s">
        <v>2650</v>
      </c>
      <c r="C683" s="518"/>
      <c r="D683" s="1289" t="s">
        <v>2467</v>
      </c>
      <c r="E683" s="1289"/>
      <c r="F683" s="1289"/>
      <c r="H683" s="536"/>
      <c r="I683" s="1065" t="s">
        <v>2230</v>
      </c>
      <c r="J683" s="536"/>
      <c r="K683" s="536"/>
    </row>
    <row r="684" spans="1:11">
      <c r="A684" s="525"/>
      <c r="B684" s="525"/>
      <c r="C684" s="518"/>
      <c r="D684" s="1289"/>
      <c r="E684" s="1289"/>
      <c r="F684" s="1289"/>
      <c r="H684" s="536"/>
      <c r="I684" s="1065"/>
      <c r="J684" s="536"/>
      <c r="K684" s="536"/>
    </row>
    <row r="685" spans="1:11">
      <c r="A685" s="518"/>
      <c r="B685" s="518"/>
      <c r="C685" s="518"/>
      <c r="D685" s="1289"/>
      <c r="E685" s="1289"/>
      <c r="F685" s="1289"/>
      <c r="H685" s="536"/>
      <c r="I685" s="1065"/>
      <c r="J685" s="536"/>
      <c r="K685" s="536"/>
    </row>
    <row r="686" spans="1:11">
      <c r="A686" s="518"/>
      <c r="B686" s="518"/>
      <c r="C686" s="518"/>
      <c r="H686" s="536"/>
      <c r="I686" s="1065" t="s">
        <v>2209</v>
      </c>
      <c r="J686" s="536"/>
      <c r="K686" s="536"/>
    </row>
    <row r="687" spans="1:11" ht="14.25">
      <c r="A687" s="519"/>
      <c r="B687" s="520" t="s">
        <v>2738</v>
      </c>
      <c r="C687" s="518"/>
      <c r="D687" s="1290" t="s">
        <v>954</v>
      </c>
      <c r="E687" s="1290"/>
      <c r="F687" s="1290"/>
      <c r="H687" s="536"/>
      <c r="I687" s="1065"/>
      <c r="J687" s="536"/>
      <c r="K687" s="536"/>
    </row>
    <row r="688" spans="1:11" ht="14.25">
      <c r="A688" s="519"/>
      <c r="B688" s="519"/>
      <c r="C688" s="518"/>
      <c r="D688" s="1290" t="s">
        <v>926</v>
      </c>
      <c r="E688" s="1290"/>
      <c r="F688" s="1290"/>
      <c r="H688" s="536"/>
      <c r="I688" s="1065"/>
      <c r="J688" s="536"/>
      <c r="K688" s="536"/>
    </row>
    <row r="689" spans="1:11">
      <c r="A689" s="518"/>
      <c r="B689" s="518"/>
      <c r="C689" s="518"/>
      <c r="E689" s="1080" t="s">
        <v>2295</v>
      </c>
      <c r="F689" s="436"/>
      <c r="H689" s="536"/>
      <c r="I689" s="1065"/>
      <c r="J689" s="536"/>
      <c r="K689" s="536"/>
    </row>
    <row r="690" spans="1:11">
      <c r="A690" s="518"/>
      <c r="B690" s="518"/>
      <c r="C690" s="518"/>
      <c r="D690" s="436"/>
      <c r="H690" s="536"/>
      <c r="I690" s="1065"/>
      <c r="J690" s="536"/>
      <c r="K690" s="536"/>
    </row>
    <row r="691" spans="1:11" ht="14.25">
      <c r="A691" s="519"/>
      <c r="B691" s="520" t="s">
        <v>2650</v>
      </c>
      <c r="C691" s="518"/>
      <c r="D691" s="1289" t="s">
        <v>1173</v>
      </c>
      <c r="E691" s="1289"/>
      <c r="F691" s="1289"/>
      <c r="H691" s="536"/>
      <c r="I691" s="1065" t="s">
        <v>2181</v>
      </c>
      <c r="J691" s="536"/>
      <c r="K691" s="536"/>
    </row>
    <row r="692" spans="1:11">
      <c r="A692" s="518"/>
      <c r="B692" s="518"/>
      <c r="C692" s="518"/>
      <c r="D692" s="1289"/>
      <c r="E692" s="1289"/>
      <c r="F692" s="1289"/>
      <c r="H692" s="536"/>
      <c r="I692" s="1065"/>
      <c r="J692" s="536"/>
      <c r="K692" s="536"/>
    </row>
    <row r="693" spans="1:11">
      <c r="A693" s="518"/>
      <c r="B693" s="518"/>
      <c r="C693" s="518"/>
      <c r="D693" s="1289"/>
      <c r="E693" s="1289"/>
      <c r="F693" s="1289"/>
      <c r="H693" s="536"/>
      <c r="I693" s="1065"/>
      <c r="J693" s="536"/>
      <c r="K693" s="536"/>
    </row>
    <row r="694" spans="1:11">
      <c r="A694" s="518"/>
      <c r="B694" s="518"/>
      <c r="C694" s="518"/>
      <c r="D694" s="1289"/>
      <c r="E694" s="1289"/>
      <c r="F694" s="1289"/>
      <c r="H694" s="536"/>
      <c r="I694" s="1065"/>
      <c r="J694" s="536"/>
      <c r="K694" s="536"/>
    </row>
    <row r="695" spans="1:11">
      <c r="A695" s="518"/>
      <c r="B695" s="518"/>
      <c r="C695" s="518"/>
      <c r="D695" s="1289"/>
      <c r="E695" s="1289"/>
      <c r="F695" s="1289"/>
      <c r="H695" s="536"/>
      <c r="I695" s="1065"/>
      <c r="J695" s="536"/>
      <c r="K695" s="536"/>
    </row>
    <row r="696" spans="1:11">
      <c r="A696" s="518"/>
      <c r="B696" s="518"/>
      <c r="C696" s="518"/>
      <c r="D696" s="1289"/>
      <c r="E696" s="1289"/>
      <c r="F696" s="1289"/>
      <c r="H696" s="536"/>
      <c r="I696" s="1065"/>
      <c r="J696" s="536"/>
      <c r="K696" s="536"/>
    </row>
    <row r="697" spans="1:11">
      <c r="A697" s="518"/>
      <c r="B697" s="518"/>
      <c r="C697" s="518"/>
      <c r="D697" s="480"/>
      <c r="E697" s="480"/>
      <c r="F697" s="480"/>
      <c r="H697" s="536"/>
      <c r="I697" s="1065"/>
      <c r="J697" s="536"/>
      <c r="K697" s="536"/>
    </row>
    <row r="698" spans="1:11">
      <c r="A698" s="518"/>
      <c r="B698" s="520" t="s">
        <v>2650</v>
      </c>
      <c r="C698" s="518"/>
      <c r="D698" s="1289" t="s">
        <v>1344</v>
      </c>
      <c r="E698" s="1289"/>
      <c r="F698" s="1289"/>
      <c r="H698" s="536"/>
      <c r="I698" s="1065" t="s">
        <v>2181</v>
      </c>
      <c r="J698" s="536"/>
      <c r="K698" s="536"/>
    </row>
    <row r="699" spans="1:11">
      <c r="A699" s="518"/>
      <c r="B699" s="518"/>
      <c r="C699" s="518"/>
      <c r="D699" s="1289"/>
      <c r="E699" s="1289"/>
      <c r="F699" s="1289"/>
      <c r="H699" s="536"/>
      <c r="I699" s="1065"/>
      <c r="J699" s="536"/>
      <c r="K699" s="536"/>
    </row>
    <row r="700" spans="1:11">
      <c r="A700" s="518"/>
      <c r="B700" s="518"/>
      <c r="C700" s="518"/>
      <c r="D700" s="480"/>
      <c r="E700" s="480"/>
      <c r="F700" s="480"/>
      <c r="H700" s="536"/>
      <c r="I700" s="1065"/>
      <c r="J700" s="536"/>
      <c r="K700" s="536"/>
    </row>
    <row r="701" spans="1:11" ht="14.25">
      <c r="A701" s="519"/>
      <c r="B701" s="520" t="s">
        <v>2650</v>
      </c>
      <c r="C701" s="518"/>
      <c r="D701" s="1289" t="s">
        <v>1164</v>
      </c>
      <c r="E701" s="1289"/>
      <c r="F701" s="1289"/>
      <c r="H701" s="536"/>
      <c r="I701" s="1065" t="s">
        <v>2181</v>
      </c>
      <c r="J701" s="536"/>
      <c r="K701" s="536"/>
    </row>
    <row r="702" spans="1:11">
      <c r="A702" s="518"/>
      <c r="B702" s="518"/>
      <c r="C702" s="518"/>
      <c r="D702" s="1289"/>
      <c r="E702" s="1289"/>
      <c r="F702" s="1289"/>
      <c r="H702" s="536"/>
      <c r="I702" s="1065"/>
      <c r="J702" s="536"/>
      <c r="K702" s="536"/>
    </row>
    <row r="703" spans="1:11">
      <c r="A703" s="518"/>
      <c r="B703" s="518"/>
      <c r="C703" s="518"/>
      <c r="D703" s="1289"/>
      <c r="E703" s="1289"/>
      <c r="F703" s="1289"/>
      <c r="H703" s="536"/>
      <c r="I703" s="1065"/>
      <c r="J703" s="536"/>
      <c r="K703" s="536"/>
    </row>
    <row r="704" spans="1:11" ht="15" customHeight="1">
      <c r="A704" s="518"/>
      <c r="B704" s="518"/>
      <c r="C704" s="518"/>
      <c r="D704" s="1289"/>
      <c r="E704" s="1289"/>
      <c r="F704" s="1289"/>
      <c r="H704" s="536"/>
      <c r="I704" s="1065"/>
      <c r="J704" s="536"/>
      <c r="K704" s="536"/>
    </row>
    <row r="705" spans="1:11" ht="15" customHeight="1">
      <c r="A705" s="518"/>
      <c r="B705" s="518"/>
      <c r="C705" s="518"/>
      <c r="D705" s="1289"/>
      <c r="E705" s="1289"/>
      <c r="F705" s="1289"/>
      <c r="H705" s="536"/>
      <c r="I705" s="1065"/>
      <c r="J705" s="536"/>
      <c r="K705" s="536"/>
    </row>
    <row r="706" spans="1:11">
      <c r="A706" s="518"/>
      <c r="B706" s="518"/>
      <c r="C706" s="518"/>
      <c r="D706" s="1289"/>
      <c r="E706" s="1289"/>
      <c r="F706" s="1289"/>
      <c r="H706" s="536"/>
      <c r="I706" s="1065"/>
      <c r="J706" s="536"/>
      <c r="K706" s="536"/>
    </row>
    <row r="707" spans="1:11">
      <c r="A707" s="518"/>
      <c r="B707" s="518"/>
      <c r="C707" s="518"/>
      <c r="D707" s="1289"/>
      <c r="E707" s="1289"/>
      <c r="F707" s="1289"/>
      <c r="H707" s="536"/>
      <c r="I707" s="1065"/>
      <c r="J707" s="536"/>
      <c r="K707" s="536"/>
    </row>
    <row r="708" spans="1:11">
      <c r="A708" s="518"/>
      <c r="B708" s="518"/>
      <c r="C708" s="518"/>
      <c r="D708" s="1289"/>
      <c r="E708" s="1289"/>
      <c r="F708" s="1289"/>
      <c r="H708" s="536"/>
      <c r="I708" s="1065"/>
      <c r="J708" s="536"/>
      <c r="K708" s="536"/>
    </row>
    <row r="709" spans="1:11" ht="15" customHeight="1">
      <c r="A709" s="518"/>
      <c r="B709" s="518"/>
      <c r="C709" s="518"/>
      <c r="D709" s="1289"/>
      <c r="E709" s="1289"/>
      <c r="F709" s="1289"/>
      <c r="H709" s="536"/>
      <c r="I709" s="1065"/>
      <c r="J709" s="536"/>
      <c r="K709" s="536"/>
    </row>
    <row r="710" spans="1:11">
      <c r="A710" s="518"/>
      <c r="B710" s="518"/>
      <c r="C710" s="518"/>
      <c r="D710" s="1289"/>
      <c r="E710" s="1289"/>
      <c r="F710" s="1289"/>
      <c r="H710" s="536"/>
      <c r="I710" s="1065"/>
      <c r="J710" s="536"/>
      <c r="K710" s="536"/>
    </row>
    <row r="711" spans="1:11">
      <c r="A711" s="518"/>
      <c r="B711" s="518"/>
      <c r="C711" s="518"/>
      <c r="D711" s="1289"/>
      <c r="E711" s="1289"/>
      <c r="F711" s="1289"/>
      <c r="H711" s="536"/>
      <c r="I711" s="1065"/>
      <c r="J711" s="536"/>
      <c r="K711" s="536"/>
    </row>
    <row r="712" spans="1:11">
      <c r="A712" s="518"/>
      <c r="B712" s="518"/>
      <c r="C712" s="518"/>
      <c r="D712" s="1289"/>
      <c r="E712" s="1289"/>
      <c r="F712" s="1289"/>
      <c r="H712" s="536"/>
      <c r="I712" s="1065"/>
      <c r="J712" s="536"/>
      <c r="K712" s="536"/>
    </row>
    <row r="713" spans="1:11">
      <c r="A713" s="518"/>
      <c r="B713" s="518"/>
      <c r="C713" s="518"/>
      <c r="D713" s="1289"/>
      <c r="E713" s="1289"/>
      <c r="F713" s="1289"/>
      <c r="H713" s="536"/>
      <c r="I713" s="1065"/>
      <c r="J713" s="536"/>
      <c r="K713" s="536"/>
    </row>
    <row r="714" spans="1:11">
      <c r="A714" s="518"/>
      <c r="B714" s="520" t="s">
        <v>2650</v>
      </c>
      <c r="C714" s="518"/>
      <c r="D714" s="1289" t="s">
        <v>1171</v>
      </c>
      <c r="E714" s="1289"/>
      <c r="F714" s="1289"/>
      <c r="H714" s="536"/>
      <c r="I714" s="1065" t="s">
        <v>2231</v>
      </c>
      <c r="J714" s="536"/>
      <c r="K714" s="536"/>
    </row>
    <row r="715" spans="1:11">
      <c r="A715" s="518"/>
      <c r="B715" s="518"/>
      <c r="C715" s="518"/>
      <c r="D715" s="1289"/>
      <c r="E715" s="1289"/>
      <c r="F715" s="1289"/>
      <c r="H715" s="536"/>
      <c r="I715" s="1065"/>
      <c r="J715" s="536"/>
      <c r="K715" s="536"/>
    </row>
    <row r="716" spans="1:11">
      <c r="A716" s="518"/>
      <c r="B716" s="518"/>
      <c r="C716" s="518"/>
      <c r="D716" s="480"/>
      <c r="E716" s="480"/>
      <c r="F716" s="480"/>
      <c r="H716" s="536"/>
      <c r="I716" s="1065"/>
      <c r="J716" s="536"/>
      <c r="K716" s="536"/>
    </row>
    <row r="717" spans="1:11">
      <c r="A717" s="518"/>
      <c r="B717" s="520" t="s">
        <v>2650</v>
      </c>
      <c r="C717" s="518"/>
      <c r="D717" s="1289" t="s">
        <v>1165</v>
      </c>
      <c r="E717" s="1289"/>
      <c r="F717" s="1289"/>
      <c r="H717" s="536"/>
      <c r="I717" s="1065" t="s">
        <v>2231</v>
      </c>
      <c r="J717" s="536"/>
      <c r="K717" s="536"/>
    </row>
    <row r="718" spans="1:11">
      <c r="A718" s="518"/>
      <c r="B718" s="518"/>
      <c r="C718" s="518"/>
      <c r="D718" s="1289"/>
      <c r="E718" s="1289"/>
      <c r="F718" s="1289"/>
      <c r="H718" s="536"/>
      <c r="I718" s="1065"/>
      <c r="J718" s="536"/>
      <c r="K718" s="536"/>
    </row>
    <row r="719" spans="1:11">
      <c r="A719" s="518"/>
      <c r="B719" s="518"/>
      <c r="C719" s="518"/>
      <c r="D719" s="1289"/>
      <c r="E719" s="1289"/>
      <c r="F719" s="1289"/>
      <c r="H719" s="536"/>
      <c r="I719" s="1065"/>
      <c r="J719" s="536"/>
      <c r="K719" s="536"/>
    </row>
    <row r="720" spans="1:11">
      <c r="A720" s="518"/>
      <c r="B720" s="518"/>
      <c r="C720" s="518"/>
      <c r="H720" s="536"/>
      <c r="I720" s="1065"/>
      <c r="J720" s="536"/>
      <c r="K720" s="536"/>
    </row>
    <row r="721" spans="1:11">
      <c r="A721" s="518"/>
      <c r="B721" s="520" t="s">
        <v>2650</v>
      </c>
      <c r="C721" s="518"/>
      <c r="D721" s="1289" t="s">
        <v>1166</v>
      </c>
      <c r="E721" s="1289"/>
      <c r="F721" s="1289"/>
      <c r="H721" s="536"/>
      <c r="I721" s="1065" t="s">
        <v>2231</v>
      </c>
      <c r="J721" s="536"/>
      <c r="K721" s="536"/>
    </row>
    <row r="722" spans="1:11">
      <c r="A722" s="518"/>
      <c r="B722" s="518"/>
      <c r="C722" s="518"/>
      <c r="D722" s="1289"/>
      <c r="E722" s="1289"/>
      <c r="F722" s="1289"/>
      <c r="H722" s="536"/>
      <c r="I722" s="1065"/>
      <c r="J722" s="536"/>
      <c r="K722" s="536"/>
    </row>
    <row r="723" spans="1:11">
      <c r="A723" s="518"/>
      <c r="B723" s="518"/>
      <c r="C723" s="518"/>
      <c r="D723" s="1289"/>
      <c r="E723" s="1289"/>
      <c r="F723" s="1289"/>
      <c r="H723" s="536"/>
      <c r="I723" s="1065"/>
      <c r="J723" s="536"/>
      <c r="K723" s="536"/>
    </row>
    <row r="724" spans="1:11">
      <c r="A724" s="518"/>
      <c r="B724" s="518"/>
      <c r="C724" s="518"/>
      <c r="H724" s="536"/>
      <c r="I724" s="1065"/>
      <c r="J724" s="536"/>
      <c r="K724" s="536"/>
    </row>
    <row r="725" spans="1:11" ht="14.25">
      <c r="A725" s="519"/>
      <c r="B725" s="520" t="s">
        <v>2650</v>
      </c>
      <c r="C725" s="518"/>
      <c r="D725" s="1289" t="s">
        <v>1167</v>
      </c>
      <c r="E725" s="1289"/>
      <c r="F725" s="1289"/>
      <c r="H725" s="536"/>
      <c r="I725" s="1065" t="s">
        <v>2182</v>
      </c>
      <c r="J725" s="536"/>
      <c r="K725" s="536"/>
    </row>
    <row r="726" spans="1:11">
      <c r="A726" s="518"/>
      <c r="B726" s="518"/>
      <c r="C726" s="518"/>
      <c r="D726" s="1289"/>
      <c r="E726" s="1289"/>
      <c r="F726" s="1289"/>
      <c r="H726" s="536"/>
      <c r="I726" s="1065"/>
      <c r="J726" s="536"/>
      <c r="K726" s="536"/>
    </row>
    <row r="727" spans="1:11">
      <c r="A727" s="518"/>
      <c r="B727" s="518"/>
      <c r="C727" s="518"/>
      <c r="D727" s="1289"/>
      <c r="E727" s="1289"/>
      <c r="F727" s="1289"/>
      <c r="H727" s="536"/>
      <c r="I727" s="1065"/>
      <c r="J727" s="536"/>
      <c r="K727" s="536"/>
    </row>
    <row r="728" spans="1:11">
      <c r="A728" s="518"/>
      <c r="B728" s="518"/>
      <c r="C728" s="518"/>
      <c r="D728" s="1289"/>
      <c r="E728" s="1289"/>
      <c r="F728" s="1289"/>
      <c r="H728" s="536"/>
      <c r="I728" s="1065"/>
      <c r="J728" s="536"/>
      <c r="K728" s="536"/>
    </row>
    <row r="729" spans="1:11">
      <c r="A729" s="518"/>
      <c r="B729" s="518"/>
      <c r="C729" s="518"/>
      <c r="D729" s="527"/>
      <c r="H729" s="536"/>
      <c r="I729" s="1065"/>
      <c r="J729" s="536"/>
      <c r="K729" s="536"/>
    </row>
    <row r="730" spans="1:11" ht="14.25">
      <c r="A730" s="519"/>
      <c r="B730" s="520" t="s">
        <v>2650</v>
      </c>
      <c r="C730" s="518"/>
      <c r="D730" s="1289" t="s">
        <v>2468</v>
      </c>
      <c r="E730" s="1289"/>
      <c r="F730" s="1289"/>
      <c r="H730" s="536"/>
      <c r="I730" s="1065" t="s">
        <v>2198</v>
      </c>
      <c r="J730" s="536"/>
      <c r="K730" s="536"/>
    </row>
    <row r="731" spans="1:11">
      <c r="A731" s="518"/>
      <c r="B731" s="518"/>
      <c r="C731" s="518"/>
      <c r="D731" s="1289"/>
      <c r="E731" s="1289"/>
      <c r="F731" s="1289"/>
      <c r="H731" s="536"/>
      <c r="I731" s="1065"/>
      <c r="J731" s="536"/>
      <c r="K731" s="536"/>
    </row>
    <row r="732" spans="1:11">
      <c r="A732" s="518"/>
      <c r="B732" s="518"/>
      <c r="C732" s="518"/>
      <c r="D732" s="1289"/>
      <c r="E732" s="1289"/>
      <c r="F732" s="1289"/>
      <c r="H732" s="536"/>
      <c r="I732" s="1065"/>
      <c r="J732" s="536"/>
      <c r="K732" s="536"/>
    </row>
    <row r="733" spans="1:11">
      <c r="A733" s="518"/>
      <c r="B733" s="518"/>
      <c r="C733" s="518"/>
      <c r="D733" s="1289"/>
      <c r="E733" s="1289"/>
      <c r="F733" s="1289"/>
      <c r="H733" s="536"/>
      <c r="I733" s="1065"/>
      <c r="J733" s="536"/>
      <c r="K733" s="536"/>
    </row>
    <row r="734" spans="1:11">
      <c r="A734" s="518"/>
      <c r="B734" s="518"/>
      <c r="C734" s="518"/>
      <c r="D734" s="1289"/>
      <c r="E734" s="1289"/>
      <c r="F734" s="1289"/>
      <c r="H734" s="536"/>
      <c r="I734" s="1065"/>
      <c r="J734" s="536"/>
      <c r="K734" s="536"/>
    </row>
    <row r="735" spans="1:11">
      <c r="A735" s="518"/>
      <c r="B735" s="518"/>
      <c r="C735" s="518"/>
      <c r="D735" s="1289"/>
      <c r="E735" s="1289"/>
      <c r="F735" s="1289"/>
      <c r="H735" s="536"/>
      <c r="I735" s="1065"/>
      <c r="J735" s="536"/>
      <c r="K735" s="536"/>
    </row>
    <row r="736" spans="1:11">
      <c r="A736" s="518"/>
      <c r="B736" s="518"/>
      <c r="C736" s="518"/>
      <c r="D736" s="1289"/>
      <c r="E736" s="1289"/>
      <c r="F736" s="1289"/>
      <c r="H736" s="536"/>
      <c r="I736" s="1065"/>
      <c r="J736" s="536"/>
      <c r="K736" s="536"/>
    </row>
    <row r="737" spans="1:11">
      <c r="A737" s="518"/>
      <c r="B737" s="518"/>
      <c r="C737" s="518"/>
      <c r="D737" s="1306" t="s">
        <v>2477</v>
      </c>
      <c r="E737" s="1306"/>
      <c r="F737" s="1306"/>
      <c r="H737" s="536"/>
      <c r="I737" s="1065"/>
      <c r="J737" s="536"/>
      <c r="K737" s="536"/>
    </row>
    <row r="738" spans="1:11">
      <c r="A738" s="518"/>
      <c r="B738" s="518"/>
      <c r="C738" s="518"/>
      <c r="D738" s="370"/>
      <c r="H738" s="536"/>
      <c r="I738" s="1065"/>
      <c r="J738" s="536"/>
      <c r="K738" s="536"/>
    </row>
    <row r="739" spans="1:11">
      <c r="A739" s="1308" t="s">
        <v>1125</v>
      </c>
      <c r="B739" s="1308"/>
      <c r="C739" s="1308"/>
      <c r="D739" s="1308"/>
      <c r="E739" s="1308"/>
      <c r="F739" s="1308"/>
      <c r="G739" s="1308"/>
      <c r="H739" s="1073"/>
      <c r="I739" s="1074"/>
      <c r="J739" s="536"/>
      <c r="K739" s="536"/>
    </row>
    <row r="740" spans="1:11">
      <c r="A740" s="518"/>
      <c r="B740" s="518"/>
      <c r="C740" s="518"/>
      <c r="D740" s="527"/>
      <c r="G740" s="536"/>
      <c r="H740" s="536"/>
      <c r="I740" s="1065"/>
      <c r="J740" s="536"/>
      <c r="K740" s="536"/>
    </row>
    <row r="741" spans="1:11" ht="13.7" customHeight="1">
      <c r="C741" s="518"/>
      <c r="D741" s="1291" t="s">
        <v>1141</v>
      </c>
      <c r="E741" s="1291"/>
      <c r="F741" s="1291"/>
      <c r="G741" s="536"/>
      <c r="H741" s="536"/>
      <c r="I741" s="1065"/>
      <c r="J741" s="536"/>
      <c r="K741" s="536"/>
    </row>
    <row r="742" spans="1:11">
      <c r="A742" s="518"/>
      <c r="B742" s="518"/>
      <c r="C742" s="518"/>
      <c r="D742" s="1292" t="s">
        <v>1142</v>
      </c>
      <c r="E742" s="1292"/>
      <c r="F742" s="1292"/>
      <c r="G742" s="536"/>
      <c r="H742" s="536"/>
      <c r="I742" s="1065"/>
      <c r="J742" s="536"/>
      <c r="K742" s="536"/>
    </row>
    <row r="743" spans="1:11">
      <c r="A743" s="518"/>
      <c r="B743" s="518"/>
      <c r="C743" s="518"/>
      <c r="G743" s="536"/>
      <c r="H743" s="536"/>
      <c r="I743" s="1065"/>
      <c r="J743" s="536"/>
      <c r="K743" s="536"/>
    </row>
    <row r="744" spans="1:11" ht="14.25">
      <c r="A744" s="519"/>
      <c r="B744" s="520" t="s">
        <v>2738</v>
      </c>
      <c r="D744" s="1289" t="s">
        <v>1143</v>
      </c>
      <c r="E744" s="1289"/>
      <c r="F744" s="1289"/>
      <c r="G744" s="536"/>
      <c r="H744" s="536"/>
      <c r="I744" s="1065" t="s">
        <v>2183</v>
      </c>
      <c r="J744" s="536"/>
      <c r="K744" s="536"/>
    </row>
    <row r="745" spans="1:11" ht="10.5" customHeight="1">
      <c r="D745" s="1289"/>
      <c r="E745" s="1289"/>
      <c r="F745" s="1289"/>
      <c r="G745" s="536"/>
      <c r="H745" s="536"/>
      <c r="I745" s="1065"/>
      <c r="J745" s="536"/>
      <c r="K745" s="536"/>
    </row>
    <row r="746" spans="1:11">
      <c r="D746" s="1289"/>
      <c r="E746" s="1289"/>
      <c r="F746" s="1289"/>
      <c r="G746" s="536"/>
      <c r="H746" s="536"/>
      <c r="I746" s="1065"/>
      <c r="J746" s="536"/>
      <c r="K746" s="536"/>
    </row>
    <row r="747" spans="1:11">
      <c r="D747" s="1289"/>
      <c r="E747" s="1289"/>
      <c r="F747" s="1289"/>
      <c r="G747" s="536"/>
      <c r="H747" s="536"/>
      <c r="I747" s="1065"/>
      <c r="J747" s="536"/>
      <c r="K747" s="536"/>
    </row>
    <row r="748" spans="1:11">
      <c r="D748" s="1289"/>
      <c r="E748" s="1289"/>
      <c r="F748" s="1289"/>
      <c r="G748" s="536"/>
      <c r="H748" s="536"/>
      <c r="I748" s="1065"/>
      <c r="J748" s="536"/>
      <c r="K748" s="536"/>
    </row>
    <row r="749" spans="1:11" ht="15.6" customHeight="1">
      <c r="D749" s="1289"/>
      <c r="E749" s="1289"/>
      <c r="F749" s="1289"/>
      <c r="G749" s="536"/>
      <c r="H749" s="536"/>
      <c r="I749" s="1065"/>
      <c r="J749" s="536"/>
      <c r="K749" s="536"/>
    </row>
    <row r="750" spans="1:11">
      <c r="D750" s="534"/>
      <c r="E750" s="481"/>
      <c r="F750" s="481"/>
      <c r="G750" s="536"/>
      <c r="H750" s="536"/>
      <c r="I750" s="1065"/>
      <c r="J750" s="536"/>
      <c r="K750" s="536"/>
    </row>
    <row r="751" spans="1:11" s="540" customFormat="1" ht="14.25">
      <c r="A751" s="538"/>
      <c r="B751" s="520" t="s">
        <v>2650</v>
      </c>
      <c r="C751" s="539"/>
      <c r="D751" s="1289" t="s">
        <v>1389</v>
      </c>
      <c r="E751" s="1289"/>
      <c r="F751" s="1289"/>
      <c r="I751" s="1066" t="s">
        <v>2183</v>
      </c>
    </row>
    <row r="752" spans="1:11" s="540" customFormat="1">
      <c r="A752" s="539"/>
      <c r="B752" s="539"/>
      <c r="C752" s="539"/>
      <c r="D752" s="1289"/>
      <c r="E752" s="1289"/>
      <c r="F752" s="1289"/>
      <c r="I752" s="1066"/>
    </row>
    <row r="753" spans="1:11" s="540" customFormat="1">
      <c r="A753" s="539"/>
      <c r="B753" s="539"/>
      <c r="C753" s="539"/>
      <c r="D753" s="1289"/>
      <c r="E753" s="1289"/>
      <c r="F753" s="1289"/>
      <c r="I753" s="1066"/>
    </row>
    <row r="754" spans="1:11" s="540" customFormat="1">
      <c r="A754" s="539"/>
      <c r="B754" s="539"/>
      <c r="C754" s="539"/>
      <c r="D754" s="1289"/>
      <c r="E754" s="1289"/>
      <c r="F754" s="1289"/>
      <c r="I754" s="1066"/>
    </row>
    <row r="755" spans="1:11" s="540" customFormat="1">
      <c r="A755" s="539"/>
      <c r="B755" s="539"/>
      <c r="C755" s="539"/>
      <c r="D755" s="534"/>
      <c r="I755" s="1066"/>
    </row>
    <row r="756" spans="1:11" s="540" customFormat="1" ht="14.25">
      <c r="A756" s="519"/>
      <c r="B756" s="520" t="s">
        <v>2650</v>
      </c>
      <c r="C756" s="539"/>
      <c r="D756" s="1287" t="s">
        <v>1390</v>
      </c>
      <c r="E756" s="1287"/>
      <c r="F756" s="1287"/>
      <c r="I756" s="1066" t="s">
        <v>2184</v>
      </c>
    </row>
    <row r="757" spans="1:11" s="540" customFormat="1">
      <c r="A757" s="539"/>
      <c r="B757" s="539"/>
      <c r="C757" s="539"/>
      <c r="D757" s="1287"/>
      <c r="E757" s="1287"/>
      <c r="F757" s="1287"/>
      <c r="I757" s="1066"/>
    </row>
    <row r="758" spans="1:11" s="540" customFormat="1">
      <c r="A758" s="539"/>
      <c r="B758" s="539"/>
      <c r="C758" s="539"/>
      <c r="D758" s="1287"/>
      <c r="E758" s="1287"/>
      <c r="F758" s="1287"/>
      <c r="I758" s="1066"/>
    </row>
    <row r="759" spans="1:11">
      <c r="D759" s="534"/>
      <c r="E759" s="481"/>
      <c r="F759" s="481"/>
      <c r="G759" s="536"/>
      <c r="H759" s="536"/>
      <c r="I759" s="1065"/>
      <c r="J759" s="536"/>
      <c r="K759" s="536"/>
    </row>
    <row r="760" spans="1:11" ht="14.25">
      <c r="A760" s="519"/>
      <c r="B760" s="520" t="s">
        <v>2650</v>
      </c>
      <c r="D760" s="1289" t="s">
        <v>1341</v>
      </c>
      <c r="E760" s="1289"/>
      <c r="F760" s="1289"/>
      <c r="G760" s="536"/>
      <c r="H760" s="536"/>
      <c r="I760" s="1065" t="s">
        <v>2183</v>
      </c>
      <c r="J760" s="536"/>
      <c r="K760" s="536"/>
    </row>
    <row r="761" spans="1:11">
      <c r="D761" s="1289"/>
      <c r="E761" s="1289"/>
      <c r="F761" s="1289"/>
      <c r="G761" s="536"/>
      <c r="H761" s="536"/>
      <c r="I761" s="1065"/>
      <c r="J761" s="536"/>
      <c r="K761" s="536"/>
    </row>
    <row r="762" spans="1:11">
      <c r="D762" s="480"/>
      <c r="E762" s="480"/>
      <c r="F762" s="480"/>
      <c r="G762" s="536"/>
      <c r="H762" s="536"/>
      <c r="I762" s="1065"/>
      <c r="J762" s="536"/>
      <c r="K762" s="536"/>
    </row>
    <row r="763" spans="1:11">
      <c r="B763" s="520" t="s">
        <v>2650</v>
      </c>
      <c r="D763" s="1289" t="s">
        <v>1358</v>
      </c>
      <c r="E763" s="1289"/>
      <c r="F763" s="1289"/>
      <c r="G763" s="536"/>
      <c r="H763" s="536"/>
      <c r="I763" s="1065" t="s">
        <v>2183</v>
      </c>
      <c r="J763" s="536"/>
      <c r="K763" s="536"/>
    </row>
    <row r="764" spans="1:11">
      <c r="D764" s="1289"/>
      <c r="E764" s="1289"/>
      <c r="F764" s="1289"/>
      <c r="G764" s="536"/>
      <c r="H764" s="536"/>
      <c r="I764" s="1065"/>
      <c r="J764" s="536"/>
      <c r="K764" s="536"/>
    </row>
    <row r="765" spans="1:11">
      <c r="D765" s="1289"/>
      <c r="E765" s="1289"/>
      <c r="F765" s="1289"/>
      <c r="G765" s="536"/>
      <c r="H765" s="536"/>
      <c r="I765" s="1065"/>
      <c r="J765" s="536"/>
      <c r="K765" s="536"/>
    </row>
    <row r="766" spans="1:11">
      <c r="D766" s="480"/>
      <c r="E766" s="480"/>
      <c r="F766" s="480"/>
      <c r="G766" s="536"/>
      <c r="H766" s="536"/>
      <c r="I766" s="1065"/>
      <c r="J766" s="536"/>
      <c r="K766" s="536"/>
    </row>
    <row r="767" spans="1:11">
      <c r="A767" s="1341" t="s">
        <v>2063</v>
      </c>
      <c r="B767" s="1341"/>
      <c r="C767" s="1341"/>
      <c r="D767" s="1341"/>
      <c r="E767" s="1341"/>
      <c r="F767" s="1341"/>
      <c r="G767" s="1341"/>
      <c r="H767" s="1071"/>
      <c r="I767" s="1072"/>
    </row>
    <row r="768" spans="1:11">
      <c r="A768" s="57"/>
      <c r="B768" s="57"/>
      <c r="C768" s="386"/>
      <c r="D768" s="3"/>
      <c r="E768" s="3"/>
      <c r="F768" s="3"/>
      <c r="G768" s="3"/>
    </row>
    <row r="769" spans="1:9">
      <c r="A769" s="57"/>
      <c r="B769" s="57"/>
      <c r="C769" s="386"/>
      <c r="D769" s="1342" t="s">
        <v>2117</v>
      </c>
      <c r="E769" s="1342"/>
      <c r="F769" s="1342"/>
      <c r="G769" s="3"/>
    </row>
    <row r="770" spans="1:9">
      <c r="A770" s="57"/>
      <c r="B770" s="57"/>
      <c r="C770" s="386"/>
      <c r="D770" s="1275" t="s">
        <v>2016</v>
      </c>
      <c r="E770" s="1275"/>
      <c r="F770" s="1275"/>
      <c r="G770" s="3"/>
    </row>
    <row r="771" spans="1:9">
      <c r="A771" s="57"/>
      <c r="B771" s="57"/>
      <c r="C771" s="386"/>
      <c r="D771" s="482"/>
      <c r="E771" s="482"/>
      <c r="F771" s="482"/>
      <c r="G771" s="3"/>
    </row>
    <row r="772" spans="1:9">
      <c r="A772" s="57"/>
      <c r="B772" s="520" t="s">
        <v>2738</v>
      </c>
      <c r="C772" s="386"/>
      <c r="D772" s="1302" t="s">
        <v>2017</v>
      </c>
      <c r="E772" s="1302"/>
      <c r="F772" s="1302"/>
      <c r="G772" s="3"/>
      <c r="I772" s="1065" t="s">
        <v>2233</v>
      </c>
    </row>
    <row r="773" spans="1:9">
      <c r="A773" s="57"/>
      <c r="B773" s="57"/>
      <c r="C773" s="386"/>
      <c r="D773" s="1302"/>
      <c r="E773" s="1302"/>
      <c r="F773" s="1302"/>
      <c r="G773" s="3"/>
    </row>
    <row r="774" spans="1:9">
      <c r="A774" s="175"/>
      <c r="B774" s="175"/>
      <c r="C774" s="175"/>
      <c r="D774" s="1302"/>
      <c r="E774" s="1302"/>
      <c r="F774" s="1302"/>
      <c r="G774" s="118"/>
    </row>
    <row r="775" spans="1:9">
      <c r="A775" s="386"/>
      <c r="B775" s="386"/>
      <c r="C775" s="386"/>
      <c r="D775" s="174"/>
      <c r="E775" s="3"/>
      <c r="F775" s="3"/>
      <c r="G775" s="3"/>
    </row>
    <row r="776" spans="1:9">
      <c r="A776" s="172"/>
      <c r="B776" s="520" t="s">
        <v>2650</v>
      </c>
      <c r="C776" s="172"/>
      <c r="D776" s="1302" t="s">
        <v>2018</v>
      </c>
      <c r="E776" s="1302"/>
      <c r="F776" s="1302"/>
      <c r="G776" s="3"/>
      <c r="I776" s="1065" t="s">
        <v>2233</v>
      </c>
    </row>
    <row r="777" spans="1:9">
      <c r="A777" s="172"/>
      <c r="B777" s="172"/>
      <c r="C777" s="172"/>
      <c r="D777" s="1302"/>
      <c r="E777" s="1302"/>
      <c r="F777" s="1302"/>
      <c r="G777" s="3"/>
    </row>
    <row r="778" spans="1:9">
      <c r="A778" s="172"/>
      <c r="B778" s="172"/>
      <c r="C778" s="172"/>
      <c r="D778" s="1302"/>
      <c r="E778" s="1302"/>
      <c r="F778" s="1302"/>
      <c r="G778" s="3"/>
    </row>
    <row r="779" spans="1:9">
      <c r="A779" s="175"/>
      <c r="B779" s="175"/>
      <c r="C779" s="175"/>
      <c r="D779" s="3"/>
      <c r="E779" s="1025"/>
      <c r="F779" s="1025"/>
      <c r="G779" s="1025"/>
    </row>
    <row r="780" spans="1:9" ht="14.25">
      <c r="A780" s="176"/>
      <c r="B780" s="520" t="s">
        <v>2650</v>
      </c>
      <c r="C780" s="1026"/>
      <c r="D780" s="1302" t="s">
        <v>2019</v>
      </c>
      <c r="E780" s="1302"/>
      <c r="F780" s="1302"/>
      <c r="G780" s="1025"/>
      <c r="I780" s="1065" t="s">
        <v>2233</v>
      </c>
    </row>
    <row r="781" spans="1:9" ht="14.25">
      <c r="A781" s="176"/>
      <c r="B781" s="176"/>
      <c r="C781" s="1026"/>
      <c r="D781" s="1302"/>
      <c r="E781" s="1302"/>
      <c r="F781" s="1302"/>
      <c r="G781" s="1025"/>
    </row>
    <row r="782" spans="1:9" ht="14.25">
      <c r="A782" s="176"/>
      <c r="B782" s="176"/>
      <c r="C782" s="1026"/>
      <c r="D782" s="1302"/>
      <c r="E782" s="1302"/>
      <c r="F782" s="1302"/>
      <c r="G782" s="1025"/>
    </row>
    <row r="783" spans="1:9" ht="14.25">
      <c r="A783" s="176"/>
      <c r="B783" s="176"/>
      <c r="C783" s="1026"/>
      <c r="D783" s="118"/>
      <c r="E783" s="3"/>
      <c r="F783" s="3"/>
      <c r="G783" s="1025"/>
    </row>
    <row r="784" spans="1:9" ht="14.25">
      <c r="A784" s="176"/>
      <c r="B784" s="520" t="s">
        <v>2650</v>
      </c>
      <c r="C784" s="1026"/>
      <c r="D784" s="1302" t="s">
        <v>2020</v>
      </c>
      <c r="E784" s="1302"/>
      <c r="F784" s="1302"/>
      <c r="G784" s="1025"/>
      <c r="I784" s="1065" t="s">
        <v>2233</v>
      </c>
    </row>
    <row r="785" spans="1:9" ht="14.25">
      <c r="A785" s="176"/>
      <c r="B785" s="176"/>
      <c r="C785" s="1026"/>
      <c r="D785" s="1302"/>
      <c r="E785" s="1302"/>
      <c r="F785" s="1302"/>
      <c r="G785" s="1025"/>
    </row>
    <row r="786" spans="1:9" ht="14.25">
      <c r="A786" s="176"/>
      <c r="B786" s="176"/>
      <c r="C786" s="1026"/>
      <c r="D786" s="1302"/>
      <c r="E786" s="1302"/>
      <c r="F786" s="1302"/>
      <c r="G786" s="1025"/>
    </row>
    <row r="787" spans="1:9" ht="14.25">
      <c r="A787" s="176"/>
      <c r="B787" s="176"/>
      <c r="C787" s="1026"/>
      <c r="D787" s="1302"/>
      <c r="E787" s="1302"/>
      <c r="F787" s="1302"/>
      <c r="G787" s="1025"/>
    </row>
    <row r="788" spans="1:9" ht="14.25">
      <c r="A788" s="176"/>
      <c r="B788" s="176"/>
      <c r="C788" s="1026"/>
      <c r="D788" s="1302"/>
      <c r="E788" s="1302"/>
      <c r="F788" s="1302"/>
      <c r="G788" s="1025"/>
    </row>
    <row r="789" spans="1:9" ht="14.25">
      <c r="A789" s="176"/>
      <c r="B789" s="176"/>
      <c r="C789" s="1026"/>
      <c r="D789" s="1302"/>
      <c r="E789" s="1302"/>
      <c r="F789" s="1302"/>
      <c r="G789" s="1025"/>
    </row>
    <row r="790" spans="1:9" ht="14.25">
      <c r="A790" s="176"/>
      <c r="B790" s="176"/>
      <c r="C790" s="1026"/>
      <c r="D790" s="1302" t="s">
        <v>2064</v>
      </c>
      <c r="E790" s="1302"/>
      <c r="F790" s="1302"/>
      <c r="G790" s="1025"/>
    </row>
    <row r="791" spans="1:9" ht="14.25">
      <c r="A791" s="176"/>
      <c r="B791" s="176"/>
      <c r="C791" s="1026"/>
      <c r="D791" s="1302"/>
      <c r="E791" s="1302"/>
      <c r="F791" s="1302"/>
      <c r="G791" s="1025"/>
    </row>
    <row r="792" spans="1:9" ht="14.25">
      <c r="A792" s="176"/>
      <c r="B792" s="176"/>
      <c r="C792" s="1026"/>
      <c r="D792" s="1302"/>
      <c r="E792" s="1302"/>
      <c r="F792" s="1302"/>
      <c r="G792" s="1025"/>
    </row>
    <row r="793" spans="1:9" ht="14.25">
      <c r="A793" s="176"/>
      <c r="B793" s="386"/>
      <c r="C793" s="1026"/>
      <c r="D793" s="1027"/>
      <c r="E793" s="1027"/>
      <c r="F793" s="1027"/>
      <c r="G793" s="1025"/>
    </row>
    <row r="794" spans="1:9" ht="14.25">
      <c r="A794" s="176"/>
      <c r="B794" s="520" t="s">
        <v>2650</v>
      </c>
      <c r="C794" s="1026"/>
      <c r="D794" s="1302" t="s">
        <v>2021</v>
      </c>
      <c r="E794" s="1302"/>
      <c r="F794" s="1302"/>
      <c r="G794" s="1025"/>
      <c r="I794" s="1065" t="s">
        <v>2233</v>
      </c>
    </row>
    <row r="795" spans="1:9" ht="14.25">
      <c r="A795" s="176"/>
      <c r="B795" s="176"/>
      <c r="C795" s="1026"/>
      <c r="D795" s="1302"/>
      <c r="E795" s="1302"/>
      <c r="F795" s="1302"/>
      <c r="G795" s="1025"/>
    </row>
    <row r="796" spans="1:9" ht="14.25">
      <c r="A796" s="176"/>
      <c r="B796" s="176"/>
      <c r="C796" s="1026"/>
      <c r="D796" s="1302"/>
      <c r="E796" s="1302"/>
      <c r="F796" s="1302"/>
      <c r="G796" s="1025"/>
    </row>
    <row r="797" spans="1:9" ht="14.25">
      <c r="A797" s="176"/>
      <c r="B797" s="176"/>
      <c r="C797" s="1026"/>
      <c r="D797" s="1302"/>
      <c r="E797" s="1302"/>
      <c r="F797" s="1302"/>
      <c r="G797" s="1025"/>
    </row>
    <row r="798" spans="1:9" ht="14.25">
      <c r="A798" s="176"/>
      <c r="B798" s="176"/>
      <c r="C798" s="1026"/>
      <c r="D798" s="1302"/>
      <c r="E798" s="1302"/>
      <c r="F798" s="1302"/>
      <c r="G798" s="1025"/>
    </row>
    <row r="799" spans="1:9" ht="14.25">
      <c r="A799" s="176"/>
      <c r="B799" s="176"/>
      <c r="C799" s="1026"/>
      <c r="D799" s="1302"/>
      <c r="E799" s="1302"/>
      <c r="F799" s="1302"/>
      <c r="G799" s="1025"/>
    </row>
    <row r="800" spans="1:9" ht="14.25">
      <c r="A800" s="176"/>
      <c r="B800" s="176"/>
      <c r="C800" s="1026"/>
      <c r="D800" s="1019"/>
      <c r="E800" s="1019"/>
      <c r="F800" s="1019"/>
      <c r="G800" s="1025"/>
    </row>
    <row r="801" spans="1:9" ht="14.25">
      <c r="A801" s="176"/>
      <c r="B801" s="520" t="s">
        <v>2650</v>
      </c>
      <c r="C801" s="1026"/>
      <c r="D801" s="1302" t="s">
        <v>2022</v>
      </c>
      <c r="E801" s="1302"/>
      <c r="F801" s="1302"/>
      <c r="G801" s="1025"/>
      <c r="I801" s="1065" t="s">
        <v>2233</v>
      </c>
    </row>
    <row r="802" spans="1:9" ht="14.25">
      <c r="A802" s="176"/>
      <c r="B802" s="176"/>
      <c r="C802" s="1026"/>
      <c r="D802" s="1302"/>
      <c r="E802" s="1302"/>
      <c r="F802" s="1302"/>
      <c r="G802" s="1025"/>
    </row>
    <row r="803" spans="1:9" ht="14.25">
      <c r="A803" s="176"/>
      <c r="B803" s="176"/>
      <c r="C803" s="1026"/>
      <c r="D803" s="1302"/>
      <c r="E803" s="1302"/>
      <c r="F803" s="1302"/>
      <c r="G803" s="1025"/>
    </row>
    <row r="804" spans="1:9" ht="14.25">
      <c r="A804" s="176"/>
      <c r="B804" s="176"/>
      <c r="C804" s="1026"/>
      <c r="D804" s="1302"/>
      <c r="E804" s="1302"/>
      <c r="F804" s="1302"/>
      <c r="G804" s="1025"/>
    </row>
    <row r="805" spans="1:9" ht="14.25">
      <c r="A805" s="176"/>
      <c r="B805" s="176"/>
      <c r="C805" s="1026"/>
      <c r="D805" s="1302"/>
      <c r="E805" s="1302"/>
      <c r="F805" s="1302"/>
      <c r="G805" s="1025"/>
    </row>
    <row r="806" spans="1:9" ht="14.25">
      <c r="A806" s="176"/>
      <c r="B806" s="176"/>
      <c r="C806" s="1026"/>
      <c r="D806" s="1302"/>
      <c r="E806" s="1302"/>
      <c r="F806" s="1302"/>
      <c r="G806" s="1025"/>
    </row>
    <row r="807" spans="1:9" ht="14.25">
      <c r="A807" s="176"/>
      <c r="B807" s="176"/>
      <c r="C807" s="1026"/>
      <c r="D807" s="1019"/>
      <c r="E807" s="1019"/>
      <c r="F807" s="1019"/>
      <c r="G807" s="1025"/>
    </row>
    <row r="808" spans="1:9" ht="14.25">
      <c r="A808" s="176"/>
      <c r="B808" s="520" t="s">
        <v>2650</v>
      </c>
      <c r="C808" s="1026"/>
      <c r="D808" s="1299" t="s">
        <v>2023</v>
      </c>
      <c r="E808" s="1299"/>
      <c r="F808" s="1299"/>
      <c r="G808" s="1025"/>
      <c r="I808" s="1065" t="s">
        <v>2233</v>
      </c>
    </row>
    <row r="809" spans="1:9" ht="14.25">
      <c r="A809" s="176"/>
      <c r="B809" s="176"/>
      <c r="C809" s="1026"/>
      <c r="D809" s="1299"/>
      <c r="E809" s="1299"/>
      <c r="F809" s="1299"/>
      <c r="G809" s="1025"/>
    </row>
    <row r="810" spans="1:9">
      <c r="A810" s="13"/>
      <c r="B810" s="13"/>
      <c r="C810" s="1026"/>
      <c r="D810" s="1299"/>
      <c r="E810" s="1299"/>
      <c r="F810" s="1299"/>
      <c r="G810" s="1025"/>
    </row>
    <row r="811" spans="1:9" ht="14.25">
      <c r="A811" s="176"/>
      <c r="B811" s="13"/>
      <c r="C811" s="1026"/>
      <c r="D811" s="1299"/>
      <c r="E811" s="1299"/>
      <c r="F811" s="1299"/>
      <c r="G811" s="1025"/>
    </row>
    <row r="812" spans="1:9" ht="12.75" customHeight="1">
      <c r="A812" s="176"/>
      <c r="B812" s="13"/>
      <c r="C812" s="1026"/>
      <c r="D812" s="1299"/>
      <c r="E812" s="1299"/>
      <c r="F812" s="1299"/>
      <c r="G812" s="1025"/>
    </row>
    <row r="813" spans="1:9" ht="12.75" customHeight="1">
      <c r="A813" s="176"/>
      <c r="B813" s="13"/>
      <c r="C813" s="1026"/>
      <c r="D813" s="1299"/>
      <c r="E813" s="1299"/>
      <c r="F813" s="1299"/>
      <c r="G813" s="1025"/>
    </row>
    <row r="814" spans="1:9" ht="12.75" customHeight="1">
      <c r="A814" s="13"/>
      <c r="B814" s="13"/>
      <c r="C814" s="1026"/>
      <c r="D814" s="1025"/>
      <c r="E814" s="3"/>
      <c r="F814" s="3"/>
      <c r="G814" s="1025"/>
    </row>
    <row r="815" spans="1:9" ht="12.75" customHeight="1">
      <c r="A815" s="1307" t="s">
        <v>2024</v>
      </c>
      <c r="B815" s="1307"/>
      <c r="C815" s="1307"/>
      <c r="D815" s="1307"/>
      <c r="E815" s="1307"/>
      <c r="F815" s="1307"/>
      <c r="G815" s="1307"/>
      <c r="H815" s="1071"/>
      <c r="I815" s="1072"/>
    </row>
    <row r="816" spans="1:9" ht="12.75" customHeight="1">
      <c r="A816" s="172"/>
      <c r="B816" s="172"/>
      <c r="C816" s="1026"/>
      <c r="D816" s="1025"/>
      <c r="E816" s="1025"/>
      <c r="F816" s="1025"/>
      <c r="G816" s="1025"/>
    </row>
    <row r="817" spans="1:9" ht="12.75" customHeight="1">
      <c r="A817" s="176"/>
      <c r="B817" s="176"/>
      <c r="C817" s="386"/>
      <c r="D817" s="1295" t="s">
        <v>2065</v>
      </c>
      <c r="E817" s="1295"/>
      <c r="F817" s="1295"/>
      <c r="G817" s="3"/>
    </row>
    <row r="818" spans="1:9" ht="14.25" customHeight="1">
      <c r="A818" s="176"/>
      <c r="B818" s="176"/>
      <c r="C818" s="386"/>
      <c r="D818" s="1262" t="s">
        <v>2025</v>
      </c>
      <c r="E818" s="1262"/>
      <c r="F818" s="1262"/>
      <c r="G818" s="3"/>
    </row>
    <row r="819" spans="1:9" ht="12.75" customHeight="1">
      <c r="A819" s="176"/>
      <c r="B819" s="176"/>
      <c r="C819" s="386"/>
      <c r="D819" s="475"/>
      <c r="E819" s="475"/>
      <c r="F819" s="475"/>
      <c r="G819" s="3"/>
    </row>
    <row r="820" spans="1:9" ht="12.75" customHeight="1">
      <c r="A820" s="386"/>
      <c r="B820" s="520" t="s">
        <v>2738</v>
      </c>
      <c r="C820" s="1026"/>
      <c r="D820" s="1262" t="s">
        <v>2026</v>
      </c>
      <c r="E820" s="1262"/>
      <c r="F820" s="1262"/>
      <c r="G820" s="3"/>
      <c r="I820" s="436" t="s">
        <v>2201</v>
      </c>
    </row>
    <row r="821" spans="1:9" ht="14.25" customHeight="1">
      <c r="A821" s="13"/>
      <c r="B821" s="13"/>
      <c r="C821" s="1026"/>
      <c r="E821" s="1080" t="s">
        <v>2277</v>
      </c>
      <c r="F821" s="1082"/>
      <c r="G821" s="3"/>
    </row>
    <row r="822" spans="1:9" ht="12.75" customHeight="1">
      <c r="A822" s="13"/>
      <c r="B822" s="13"/>
      <c r="C822" s="1026"/>
      <c r="D822" s="1028"/>
      <c r="E822" s="3"/>
      <c r="F822" s="3"/>
      <c r="G822" s="3"/>
    </row>
    <row r="823" spans="1:9" ht="14.25" hidden="1" customHeight="1">
      <c r="A823" s="13"/>
      <c r="B823" s="520" t="s">
        <v>308</v>
      </c>
      <c r="C823" s="1026"/>
      <c r="D823" s="1330" t="s">
        <v>2478</v>
      </c>
      <c r="E823" s="1330"/>
      <c r="F823" s="1330"/>
      <c r="G823" s="3"/>
    </row>
    <row r="824" spans="1:9" ht="12.75" hidden="1" customHeight="1">
      <c r="A824" s="13"/>
      <c r="B824" s="13"/>
      <c r="C824" s="1026"/>
      <c r="D824" s="1330"/>
      <c r="E824" s="1330"/>
      <c r="F824" s="1330"/>
      <c r="G824" s="3"/>
    </row>
    <row r="825" spans="1:9" ht="12.75" hidden="1" customHeight="1">
      <c r="A825" s="13"/>
      <c r="B825" s="13"/>
      <c r="C825" s="1026"/>
      <c r="D825" s="1330"/>
      <c r="E825" s="1330"/>
      <c r="F825" s="1330"/>
      <c r="G825" s="3"/>
    </row>
    <row r="826" spans="1:9" ht="12.75" hidden="1" customHeight="1">
      <c r="A826" s="13"/>
      <c r="B826" s="13"/>
      <c r="C826" s="1026"/>
      <c r="D826" s="1330"/>
      <c r="E826" s="1330"/>
      <c r="F826" s="1330"/>
      <c r="G826" s="3"/>
    </row>
    <row r="827" spans="1:9" ht="12.75" hidden="1" customHeight="1">
      <c r="A827" s="13"/>
      <c r="B827" s="13"/>
      <c r="C827" s="1026"/>
      <c r="D827" s="1330"/>
      <c r="E827" s="1330"/>
      <c r="F827" s="1330"/>
      <c r="G827" s="3"/>
    </row>
    <row r="828" spans="1:9" ht="12.75" hidden="1" customHeight="1">
      <c r="A828" s="13"/>
      <c r="B828" s="13"/>
      <c r="C828" s="1026"/>
      <c r="D828" s="1330"/>
      <c r="E828" s="1330"/>
      <c r="F828" s="1330"/>
      <c r="G828" s="3"/>
    </row>
    <row r="829" spans="1:9" ht="12.75" hidden="1" customHeight="1">
      <c r="A829" s="13"/>
      <c r="B829" s="13"/>
      <c r="C829" s="1026"/>
      <c r="D829" s="1330"/>
      <c r="E829" s="1330"/>
      <c r="F829" s="1330"/>
      <c r="G829" s="3"/>
    </row>
    <row r="830" spans="1:9" ht="12.75" hidden="1" customHeight="1">
      <c r="A830" s="13"/>
      <c r="B830" s="13"/>
      <c r="C830" s="1026"/>
      <c r="D830" s="1330"/>
      <c r="E830" s="1330"/>
      <c r="F830" s="1330"/>
      <c r="G830" s="3"/>
    </row>
    <row r="831" spans="1:9" ht="12.75" hidden="1" customHeight="1">
      <c r="A831" s="13"/>
      <c r="B831" s="13"/>
      <c r="C831" s="1026"/>
      <c r="D831" s="1330"/>
      <c r="E831" s="1330"/>
      <c r="F831" s="1330"/>
      <c r="G831" s="3"/>
    </row>
    <row r="832" spans="1:9" ht="12.75" hidden="1" customHeight="1">
      <c r="A832" s="13"/>
      <c r="B832" s="13"/>
      <c r="C832" s="1026"/>
      <c r="D832" s="1330"/>
      <c r="E832" s="1330"/>
      <c r="F832" s="1330"/>
      <c r="G832" s="3"/>
    </row>
    <row r="833" spans="1:9" ht="12.75" hidden="1" customHeight="1">
      <c r="A833" s="13"/>
      <c r="B833" s="13"/>
      <c r="C833" s="1026"/>
      <c r="D833" s="1028"/>
      <c r="E833" s="3"/>
      <c r="F833" s="3"/>
      <c r="G833" s="3"/>
    </row>
    <row r="834" spans="1:9" ht="12.75" customHeight="1">
      <c r="A834" s="176"/>
      <c r="B834" s="520" t="s">
        <v>2738</v>
      </c>
      <c r="C834" s="1026"/>
      <c r="D834" s="1262" t="s">
        <v>2027</v>
      </c>
      <c r="E834" s="1262"/>
      <c r="F834" s="1262"/>
      <c r="G834" s="3"/>
      <c r="I834" s="436" t="s">
        <v>2219</v>
      </c>
    </row>
    <row r="835" spans="1:9" ht="12.75" customHeight="1">
      <c r="A835" s="176"/>
      <c r="B835" s="176"/>
      <c r="C835" s="1026"/>
      <c r="D835" s="1262"/>
      <c r="E835" s="1262"/>
      <c r="F835" s="1262"/>
      <c r="G835" s="3"/>
    </row>
    <row r="836" spans="1:9" ht="12.75" customHeight="1">
      <c r="A836" s="176"/>
      <c r="B836" s="176"/>
      <c r="C836" s="1026"/>
      <c r="D836" s="1262"/>
      <c r="E836" s="1262"/>
      <c r="F836" s="1262"/>
      <c r="G836" s="3"/>
    </row>
    <row r="837" spans="1:9" ht="12.75" customHeight="1">
      <c r="A837" s="176"/>
      <c r="B837" s="176"/>
      <c r="C837" s="1026"/>
      <c r="D837" s="118"/>
      <c r="E837" s="3"/>
      <c r="F837" s="3"/>
      <c r="G837" s="3"/>
    </row>
    <row r="838" spans="1:9" ht="12.75" customHeight="1">
      <c r="A838" s="1029"/>
      <c r="B838" s="520" t="s">
        <v>2650</v>
      </c>
      <c r="C838" s="1026"/>
      <c r="D838" s="1295" t="s">
        <v>2028</v>
      </c>
      <c r="E838" s="1295"/>
      <c r="F838" s="1295"/>
      <c r="G838" s="3"/>
    </row>
    <row r="839" spans="1:9" ht="12.75" customHeight="1">
      <c r="A839" s="386"/>
      <c r="B839" s="1029"/>
      <c r="C839" s="1026"/>
      <c r="D839" s="1295"/>
      <c r="E839" s="1295"/>
      <c r="F839" s="1295"/>
      <c r="G839" s="3"/>
    </row>
    <row r="840" spans="1:9" ht="12.75" customHeight="1">
      <c r="A840" s="176"/>
      <c r="B840" s="386"/>
      <c r="C840" s="1026"/>
      <c r="D840" s="1262" t="s">
        <v>2469</v>
      </c>
      <c r="E840" s="1262"/>
      <c r="F840" s="1262"/>
      <c r="G840" s="3"/>
    </row>
    <row r="841" spans="1:9" ht="12.75" customHeight="1">
      <c r="A841" s="176"/>
      <c r="B841" s="176"/>
      <c r="C841" s="1026"/>
      <c r="D841" s="1262"/>
      <c r="E841" s="1262"/>
      <c r="F841" s="1262"/>
      <c r="G841" s="3"/>
    </row>
    <row r="842" spans="1:9" ht="12.75" customHeight="1">
      <c r="A842" s="176"/>
      <c r="B842" s="176"/>
      <c r="C842" s="1026"/>
      <c r="D842" s="1262"/>
      <c r="E842" s="1262"/>
      <c r="F842" s="1262"/>
      <c r="G842" s="3"/>
    </row>
    <row r="843" spans="1:9" ht="12.75" customHeight="1">
      <c r="A843" s="176"/>
      <c r="B843" s="176"/>
      <c r="C843" s="1026"/>
      <c r="D843" s="1262"/>
      <c r="E843" s="1262"/>
      <c r="F843" s="1262"/>
      <c r="G843" s="3"/>
    </row>
    <row r="844" spans="1:9" ht="12.75" customHeight="1">
      <c r="A844" s="176"/>
      <c r="B844" s="176"/>
      <c r="C844" s="1026"/>
      <c r="D844" s="1262"/>
      <c r="E844" s="1262"/>
      <c r="F844" s="1262"/>
      <c r="G844" s="3"/>
    </row>
    <row r="845" spans="1:9" ht="12.75" customHeight="1">
      <c r="A845" s="176"/>
      <c r="B845" s="176"/>
      <c r="C845" s="1026"/>
      <c r="D845" s="1262"/>
      <c r="E845" s="1262"/>
      <c r="F845" s="1262"/>
      <c r="G845" s="3"/>
    </row>
    <row r="846" spans="1:9" ht="12.75" customHeight="1">
      <c r="A846" s="176"/>
      <c r="B846" s="176"/>
      <c r="C846" s="1026"/>
      <c r="D846" s="118"/>
      <c r="E846" s="3"/>
      <c r="F846" s="3"/>
      <c r="G846" s="3"/>
    </row>
    <row r="847" spans="1:9" ht="12.75" customHeight="1">
      <c r="A847" s="176"/>
      <c r="B847" s="520" t="s">
        <v>2650</v>
      </c>
      <c r="C847" s="1026"/>
      <c r="D847" s="1262" t="s">
        <v>2029</v>
      </c>
      <c r="E847" s="1262"/>
      <c r="F847" s="1262"/>
      <c r="G847" s="3"/>
      <c r="I847" s="436" t="s">
        <v>2202</v>
      </c>
    </row>
    <row r="848" spans="1:9" ht="12.75" customHeight="1">
      <c r="A848" s="176"/>
      <c r="B848" s="176"/>
      <c r="C848" s="1026"/>
      <c r="D848" s="1262" t="s">
        <v>2030</v>
      </c>
      <c r="E848" s="1262"/>
      <c r="F848" s="1262"/>
      <c r="G848" s="3"/>
    </row>
    <row r="849" spans="1:9" ht="12.75" customHeight="1">
      <c r="A849" s="176"/>
      <c r="B849" s="176"/>
      <c r="C849" s="1026"/>
      <c r="E849" s="1080" t="s">
        <v>2279</v>
      </c>
      <c r="F849" s="1082"/>
      <c r="G849" s="3"/>
    </row>
    <row r="850" spans="1:9" ht="12.75" customHeight="1">
      <c r="A850" s="176"/>
      <c r="B850" s="176"/>
      <c r="C850" s="1026"/>
      <c r="D850" s="118"/>
      <c r="E850" s="3"/>
      <c r="F850" s="3"/>
      <c r="G850" s="3"/>
    </row>
    <row r="851" spans="1:9" ht="12.75" customHeight="1">
      <c r="A851" s="176"/>
      <c r="B851" s="520" t="s">
        <v>2650</v>
      </c>
      <c r="C851" s="1026"/>
      <c r="D851" s="1262" t="s">
        <v>2031</v>
      </c>
      <c r="E851" s="1262"/>
      <c r="F851" s="1262"/>
      <c r="G851" s="3"/>
      <c r="I851" s="436" t="s">
        <v>2220</v>
      </c>
    </row>
    <row r="852" spans="1:9" ht="12.75" customHeight="1">
      <c r="A852" s="176"/>
      <c r="B852" s="176"/>
      <c r="C852" s="1026"/>
      <c r="D852" s="1262"/>
      <c r="E852" s="1262"/>
      <c r="F852" s="1262"/>
      <c r="G852" s="3"/>
    </row>
    <row r="853" spans="1:9" ht="12.75" customHeight="1">
      <c r="A853" s="176"/>
      <c r="B853" s="176"/>
      <c r="C853" s="1026"/>
      <c r="D853" s="1262"/>
      <c r="E853" s="1262"/>
      <c r="F853" s="1262"/>
      <c r="G853" s="3"/>
    </row>
    <row r="854" spans="1:9" ht="12.75" customHeight="1">
      <c r="A854" s="176"/>
      <c r="B854" s="176"/>
      <c r="C854" s="1026"/>
      <c r="D854" s="1262"/>
      <c r="E854" s="1262"/>
      <c r="F854" s="1262"/>
      <c r="G854" s="3"/>
    </row>
    <row r="855" spans="1:9" ht="12.75" customHeight="1">
      <c r="A855" s="172"/>
      <c r="B855" s="172"/>
      <c r="C855" s="172"/>
      <c r="D855" s="118"/>
      <c r="E855" s="3"/>
      <c r="F855" s="3"/>
      <c r="G855" s="3"/>
    </row>
    <row r="856" spans="1:9" ht="12.75" customHeight="1">
      <c r="A856" s="1020" t="s">
        <v>2032</v>
      </c>
      <c r="B856" s="1020"/>
      <c r="C856" s="1030"/>
      <c r="D856" s="1030"/>
      <c r="E856" s="1030"/>
      <c r="F856" s="1030"/>
      <c r="G856" s="1030"/>
      <c r="H856" s="1071"/>
      <c r="I856" s="1072"/>
    </row>
    <row r="857" spans="1:9" ht="12.75" customHeight="1">
      <c r="A857" s="172"/>
      <c r="B857" s="172"/>
      <c r="C857" s="172"/>
      <c r="D857" s="1031"/>
      <c r="E857" s="3"/>
      <c r="F857" s="3"/>
      <c r="G857" s="3"/>
    </row>
    <row r="858" spans="1:9" ht="12.75" customHeight="1">
      <c r="A858" s="386"/>
      <c r="B858" s="386"/>
      <c r="C858" s="175"/>
      <c r="D858" s="1278" t="s">
        <v>2066</v>
      </c>
      <c r="E858" s="1278"/>
      <c r="F858" s="1278"/>
      <c r="G858" s="1025"/>
    </row>
    <row r="859" spans="1:9" ht="12.75" customHeight="1">
      <c r="A859" s="386"/>
      <c r="B859" s="386"/>
      <c r="C859" s="175"/>
      <c r="D859" s="1329" t="s">
        <v>2033</v>
      </c>
      <c r="E859" s="1329"/>
      <c r="F859" s="1329"/>
      <c r="G859" s="1025"/>
    </row>
    <row r="860" spans="1:9" ht="12.75" customHeight="1">
      <c r="A860" s="386"/>
      <c r="B860" s="386"/>
      <c r="C860" s="175"/>
      <c r="D860" s="1032"/>
      <c r="E860" s="1032"/>
      <c r="F860" s="1032"/>
      <c r="G860" s="1025"/>
    </row>
    <row r="861" spans="1:9" ht="12.75" customHeight="1">
      <c r="A861" s="176"/>
      <c r="B861" s="520" t="s">
        <v>2738</v>
      </c>
      <c r="C861" s="386"/>
      <c r="D861" s="1273" t="s">
        <v>2034</v>
      </c>
      <c r="E861" s="1273"/>
      <c r="F861" s="1273"/>
      <c r="G861" s="1025"/>
      <c r="I861" s="436" t="s">
        <v>2202</v>
      </c>
    </row>
    <row r="862" spans="1:9" ht="12.75" customHeight="1">
      <c r="A862" s="386"/>
      <c r="B862" s="386"/>
      <c r="C862" s="386"/>
      <c r="D862" s="2" t="s">
        <v>2009</v>
      </c>
      <c r="E862" s="1080" t="s">
        <v>2279</v>
      </c>
      <c r="F862" s="1083"/>
      <c r="G862" s="1025"/>
    </row>
    <row r="863" spans="1:9" ht="12.75" customHeight="1">
      <c r="A863" s="386"/>
      <c r="B863" s="386"/>
      <c r="C863" s="386"/>
      <c r="D863" s="118"/>
      <c r="E863" s="1025"/>
      <c r="F863" s="1025"/>
      <c r="G863" s="1025"/>
    </row>
    <row r="864" spans="1:9" ht="12.75" customHeight="1">
      <c r="A864" s="176"/>
      <c r="B864" s="520" t="s">
        <v>2738</v>
      </c>
      <c r="C864" s="386"/>
      <c r="D864" s="1262" t="s">
        <v>2035</v>
      </c>
      <c r="E864" s="1280"/>
      <c r="F864" s="1280"/>
      <c r="G864" s="3"/>
      <c r="I864" s="436" t="s">
        <v>2220</v>
      </c>
    </row>
    <row r="865" spans="1:9" ht="12.75" customHeight="1">
      <c r="A865" s="386"/>
      <c r="B865" s="386"/>
      <c r="C865" s="386"/>
      <c r="D865" s="1280"/>
      <c r="E865" s="1280"/>
      <c r="F865" s="1280"/>
      <c r="G865" s="3"/>
    </row>
    <row r="866" spans="1:9" ht="12.75" customHeight="1">
      <c r="A866" s="386"/>
      <c r="B866" s="386"/>
      <c r="C866" s="386"/>
      <c r="D866" s="118"/>
      <c r="E866" s="3"/>
      <c r="F866" s="3"/>
      <c r="G866" s="3"/>
    </row>
    <row r="867" spans="1:9" ht="12.75" customHeight="1">
      <c r="A867" s="386"/>
      <c r="B867" s="520" t="s">
        <v>2650</v>
      </c>
      <c r="C867" s="386"/>
      <c r="D867" s="1327" t="s">
        <v>2036</v>
      </c>
      <c r="E867" s="1327"/>
      <c r="F867" s="1327"/>
      <c r="G867" s="1025"/>
    </row>
    <row r="868" spans="1:9" ht="12.75" customHeight="1">
      <c r="A868" s="386"/>
      <c r="B868" s="1033"/>
      <c r="C868" s="386"/>
      <c r="D868" s="1327"/>
      <c r="E868" s="1327"/>
      <c r="F868" s="1327"/>
      <c r="G868" s="1025"/>
    </row>
    <row r="869" spans="1:9" ht="12.75" customHeight="1">
      <c r="A869" s="176"/>
      <c r="B869"/>
      <c r="C869" s="386"/>
      <c r="D869" s="1262" t="s">
        <v>2469</v>
      </c>
      <c r="E869" s="1262"/>
      <c r="F869" s="1262"/>
      <c r="G869" s="1025"/>
    </row>
    <row r="870" spans="1:9" ht="12.75" customHeight="1">
      <c r="A870" s="176"/>
      <c r="B870" s="176"/>
      <c r="C870" s="386"/>
      <c r="D870" s="1262"/>
      <c r="E870" s="1262"/>
      <c r="F870" s="1262"/>
      <c r="G870" s="1025"/>
    </row>
    <row r="871" spans="1:9" ht="12.75" customHeight="1">
      <c r="A871" s="176"/>
      <c r="B871" s="176"/>
      <c r="C871" s="386"/>
      <c r="D871" s="1262"/>
      <c r="E871" s="1262"/>
      <c r="F871" s="1262"/>
      <c r="G871" s="1025"/>
    </row>
    <row r="872" spans="1:9" ht="12.75" customHeight="1">
      <c r="A872" s="176"/>
      <c r="B872" s="176"/>
      <c r="C872" s="386"/>
      <c r="D872" s="1262"/>
      <c r="E872" s="1262"/>
      <c r="F872" s="1262"/>
      <c r="G872" s="1025"/>
    </row>
    <row r="873" spans="1:9" ht="12.75" customHeight="1">
      <c r="A873" s="176"/>
      <c r="B873" s="176"/>
      <c r="C873" s="386"/>
      <c r="D873" s="1262"/>
      <c r="E873" s="1262"/>
      <c r="F873" s="1262"/>
      <c r="G873" s="1025"/>
    </row>
    <row r="874" spans="1:9" ht="12.75" customHeight="1">
      <c r="A874" s="176"/>
      <c r="B874" s="176"/>
      <c r="C874" s="386"/>
      <c r="D874" s="1262"/>
      <c r="E874" s="1262"/>
      <c r="F874" s="1262"/>
      <c r="G874" s="1025"/>
    </row>
    <row r="875" spans="1:9" ht="12.75" customHeight="1">
      <c r="A875" s="176"/>
      <c r="B875" s="176"/>
      <c r="C875" s="386"/>
      <c r="D875" s="118"/>
      <c r="E875" s="1025"/>
      <c r="F875" s="1025"/>
      <c r="G875" s="1025"/>
    </row>
    <row r="876" spans="1:9" ht="12.75" customHeight="1">
      <c r="A876" s="176"/>
      <c r="B876" s="520" t="s">
        <v>2650</v>
      </c>
      <c r="C876" s="386"/>
      <c r="D876" s="1305" t="s">
        <v>2029</v>
      </c>
      <c r="E876" s="1305"/>
      <c r="F876" s="1305"/>
      <c r="G876" s="1025"/>
      <c r="I876" s="436" t="s">
        <v>2202</v>
      </c>
    </row>
    <row r="877" spans="1:9" ht="12.75" customHeight="1">
      <c r="A877" s="176"/>
      <c r="B877" s="176"/>
      <c r="C877" s="386"/>
      <c r="D877" s="1305" t="s">
        <v>2030</v>
      </c>
      <c r="E877" s="1305"/>
      <c r="F877" s="1305"/>
      <c r="G877" s="1025"/>
    </row>
    <row r="878" spans="1:9" ht="12.75" customHeight="1">
      <c r="A878" s="176"/>
      <c r="B878" s="176"/>
      <c r="C878" s="386"/>
      <c r="D878" s="2" t="s">
        <v>1428</v>
      </c>
      <c r="E878" s="1080" t="s">
        <v>2279</v>
      </c>
      <c r="F878" s="1084"/>
      <c r="G878" s="1025"/>
    </row>
    <row r="879" spans="1:9" ht="12.75" customHeight="1">
      <c r="A879" s="176"/>
      <c r="B879" s="176"/>
      <c r="C879" s="386"/>
      <c r="D879" s="118"/>
      <c r="E879" s="1025"/>
      <c r="F879" s="1025"/>
      <c r="G879" s="1025"/>
    </row>
    <row r="880" spans="1:9" ht="12.75" customHeight="1">
      <c r="A880" s="176"/>
      <c r="B880" s="520" t="s">
        <v>2650</v>
      </c>
      <c r="C880" s="386"/>
      <c r="D880" s="1262" t="s">
        <v>2031</v>
      </c>
      <c r="E880" s="1262"/>
      <c r="F880" s="1262"/>
      <c r="G880" s="1025"/>
      <c r="I880" s="436" t="s">
        <v>2220</v>
      </c>
    </row>
    <row r="881" spans="1:9" ht="12.75" customHeight="1">
      <c r="A881" s="176"/>
      <c r="B881" s="176"/>
      <c r="C881" s="386"/>
      <c r="D881" s="1262"/>
      <c r="E881" s="1262"/>
      <c r="F881" s="1262"/>
      <c r="G881" s="1025"/>
    </row>
    <row r="882" spans="1:9" ht="12.75" customHeight="1">
      <c r="A882" s="176"/>
      <c r="B882" s="176"/>
      <c r="C882" s="386"/>
      <c r="D882" s="1262"/>
      <c r="E882" s="1262"/>
      <c r="F882" s="1262"/>
      <c r="G882" s="1025"/>
    </row>
    <row r="883" spans="1:9" ht="12.75" customHeight="1">
      <c r="A883" s="176"/>
      <c r="B883" s="176"/>
      <c r="C883" s="386"/>
      <c r="D883" s="1262"/>
      <c r="E883" s="1262"/>
      <c r="F883" s="1262"/>
      <c r="G883" s="1025"/>
    </row>
    <row r="884" spans="1:9" ht="12.75" customHeight="1">
      <c r="A884" s="118"/>
      <c r="B884" s="118"/>
      <c r="C884" s="1026"/>
      <c r="D884" s="1025"/>
      <c r="E884" s="1025"/>
      <c r="F884" s="1025"/>
      <c r="G884" s="1025"/>
    </row>
    <row r="885" spans="1:9" ht="12.75" customHeight="1">
      <c r="A885" s="1307" t="s">
        <v>2067</v>
      </c>
      <c r="B885" s="1307"/>
      <c r="C885" s="1307"/>
      <c r="D885" s="1307"/>
      <c r="E885" s="1307"/>
      <c r="F885" s="1307"/>
      <c r="G885" s="1307"/>
      <c r="H885" s="1071"/>
      <c r="I885" s="1072"/>
    </row>
    <row r="886" spans="1:9" ht="12.75" customHeight="1">
      <c r="A886" s="57"/>
      <c r="B886" s="57"/>
      <c r="C886" s="57"/>
      <c r="D886" s="57"/>
      <c r="E886" s="57"/>
      <c r="F886" s="57"/>
      <c r="G886" s="57"/>
    </row>
    <row r="887" spans="1:9" ht="12.75" customHeight="1">
      <c r="A887" s="57"/>
      <c r="B887" s="57"/>
      <c r="C887" s="57"/>
      <c r="D887" s="1301" t="s">
        <v>2073</v>
      </c>
      <c r="E887" s="1301"/>
      <c r="F887" s="1301"/>
      <c r="G887" s="57"/>
    </row>
    <row r="888" spans="1:9" ht="12.75" customHeight="1">
      <c r="A888" s="57"/>
      <c r="B888" s="57"/>
      <c r="C888" s="57"/>
      <c r="D888" s="1018"/>
      <c r="E888" s="1018"/>
      <c r="F888" s="1018"/>
      <c r="G888" s="57"/>
    </row>
    <row r="889" spans="1:9" ht="12.75" customHeight="1">
      <c r="A889" s="57"/>
      <c r="B889" s="520" t="s">
        <v>2738</v>
      </c>
      <c r="C889" s="57"/>
      <c r="D889" s="1021" t="s">
        <v>2074</v>
      </c>
      <c r="E889" s="1018"/>
      <c r="F889" s="1018"/>
      <c r="G889" s="57"/>
      <c r="I889" s="436" t="s">
        <v>2234</v>
      </c>
    </row>
    <row r="890" spans="1:9" ht="12.75" customHeight="1">
      <c r="A890" s="57"/>
      <c r="B890" s="57"/>
      <c r="C890" s="57"/>
      <c r="D890" s="1018"/>
      <c r="E890" s="1018"/>
      <c r="F890" s="1018"/>
      <c r="G890" s="57"/>
    </row>
    <row r="891" spans="1:9" ht="12.75" customHeight="1">
      <c r="A891" s="386"/>
      <c r="B891" s="386"/>
      <c r="C891" s="1026"/>
      <c r="D891" s="1301" t="s">
        <v>2068</v>
      </c>
      <c r="E891" s="1301"/>
      <c r="F891" s="1301"/>
      <c r="G891" s="1025"/>
    </row>
    <row r="892" spans="1:9" ht="12.75" customHeight="1">
      <c r="A892" s="172"/>
      <c r="B892" s="172"/>
      <c r="C892" s="172"/>
      <c r="D892" s="1273" t="s">
        <v>2037</v>
      </c>
      <c r="E892" s="1273"/>
      <c r="F892" s="1273"/>
      <c r="G892" s="1025"/>
    </row>
    <row r="893" spans="1:9" ht="12.75" customHeight="1">
      <c r="A893" s="1026"/>
      <c r="B893" s="1026"/>
      <c r="C893" s="1026"/>
      <c r="D893" s="2"/>
      <c r="E893" s="1025"/>
      <c r="F893" s="1025"/>
      <c r="G893" s="1025"/>
    </row>
    <row r="894" spans="1:9" ht="12.75" customHeight="1">
      <c r="A894" s="176"/>
      <c r="B894" s="520" t="s">
        <v>2738</v>
      </c>
      <c r="C894" s="386"/>
      <c r="D894" s="1262" t="s">
        <v>2041</v>
      </c>
      <c r="E894" s="1262"/>
      <c r="F894" s="1262"/>
      <c r="G894" s="3"/>
      <c r="I894" s="436" t="s">
        <v>2186</v>
      </c>
    </row>
    <row r="895" spans="1:9" ht="12.75" customHeight="1">
      <c r="A895" s="386"/>
      <c r="B895" s="386"/>
      <c r="C895" s="386"/>
      <c r="D895" s="1262"/>
      <c r="E895" s="1262"/>
      <c r="F895" s="1262"/>
      <c r="G895" s="3"/>
    </row>
    <row r="896" spans="1:9" ht="12.75" customHeight="1">
      <c r="A896" s="172"/>
      <c r="B896" s="172"/>
      <c r="C896" s="172"/>
      <c r="D896" s="1262" t="s">
        <v>2040</v>
      </c>
      <c r="E896" s="1262"/>
      <c r="F896" s="1262"/>
      <c r="G896" s="1025"/>
    </row>
    <row r="897" spans="1:9" ht="12.75" customHeight="1">
      <c r="A897" s="172"/>
      <c r="B897" s="172"/>
      <c r="C897" s="172"/>
      <c r="D897" s="1262"/>
      <c r="E897" s="1262"/>
      <c r="F897" s="1262"/>
      <c r="G897" s="1025"/>
    </row>
    <row r="898" spans="1:9" ht="12.75" customHeight="1">
      <c r="A898" s="172"/>
      <c r="B898" s="172"/>
      <c r="C898" s="172"/>
      <c r="D898" s="3"/>
      <c r="E898" s="3"/>
      <c r="F898" s="1025"/>
      <c r="G898" s="1025"/>
    </row>
    <row r="899" spans="1:9" ht="12.75" customHeight="1">
      <c r="A899" s="176"/>
      <c r="B899" s="520" t="s">
        <v>2650</v>
      </c>
      <c r="C899" s="175"/>
      <c r="D899" s="1272" t="s">
        <v>2038</v>
      </c>
      <c r="E899" s="1272"/>
      <c r="F899" s="1272"/>
      <c r="G899" s="1025"/>
      <c r="I899" s="436" t="s">
        <v>2185</v>
      </c>
    </row>
    <row r="900" spans="1:9" ht="12.75" customHeight="1">
      <c r="A900" s="176"/>
      <c r="B900" s="176"/>
      <c r="C900" s="175"/>
      <c r="D900" s="1272"/>
      <c r="E900" s="1272"/>
      <c r="F900" s="1272"/>
      <c r="G900" s="1025"/>
    </row>
    <row r="901" spans="1:9" ht="12.75" customHeight="1">
      <c r="A901" s="176"/>
      <c r="B901" s="176"/>
      <c r="C901" s="175"/>
      <c r="D901" s="1272"/>
      <c r="E901" s="1272"/>
      <c r="F901" s="1272"/>
      <c r="G901" s="1025"/>
    </row>
    <row r="902" spans="1:9" ht="12.75" customHeight="1">
      <c r="A902" s="176"/>
      <c r="B902" s="176"/>
      <c r="C902" s="175"/>
      <c r="D902" s="1272"/>
      <c r="E902" s="1272"/>
      <c r="F902" s="1272"/>
      <c r="G902" s="1025"/>
    </row>
    <row r="903" spans="1:9" ht="12.75" customHeight="1">
      <c r="A903" s="176"/>
      <c r="B903" s="176"/>
      <c r="C903" s="175"/>
      <c r="D903" s="1272"/>
      <c r="E903" s="1272"/>
      <c r="F903" s="1272"/>
      <c r="G903" s="1025"/>
    </row>
    <row r="904" spans="1:9" ht="12.75" customHeight="1">
      <c r="A904" s="175"/>
      <c r="B904" s="175"/>
      <c r="C904" s="175"/>
      <c r="D904" s="1272"/>
      <c r="E904" s="1272"/>
      <c r="F904" s="1272"/>
      <c r="G904" s="1025"/>
    </row>
    <row r="905" spans="1:9" ht="12.75" customHeight="1">
      <c r="A905" s="175"/>
      <c r="B905" s="175"/>
      <c r="C905" s="175"/>
      <c r="D905" s="1272"/>
      <c r="E905" s="1272"/>
      <c r="F905" s="1272"/>
      <c r="G905" s="1025"/>
    </row>
    <row r="906" spans="1:9" ht="12.75" customHeight="1">
      <c r="A906" s="175"/>
      <c r="B906" s="175"/>
      <c r="C906" s="175"/>
      <c r="D906" s="1272"/>
      <c r="E906" s="1272"/>
      <c r="F906" s="1272"/>
      <c r="G906" s="1025"/>
    </row>
    <row r="907" spans="1:9" ht="12.75" customHeight="1">
      <c r="A907" s="175"/>
      <c r="B907" s="175"/>
      <c r="C907" s="175"/>
      <c r="D907" s="364"/>
      <c r="E907" s="364"/>
      <c r="F907" s="364"/>
      <c r="G907" s="1025"/>
    </row>
    <row r="908" spans="1:9" ht="12.75" customHeight="1">
      <c r="A908" s="1026"/>
      <c r="B908" s="520" t="s">
        <v>2650</v>
      </c>
      <c r="C908" s="1026"/>
      <c r="D908" s="1262" t="s">
        <v>2042</v>
      </c>
      <c r="E908" s="1262"/>
      <c r="F908" s="1262"/>
      <c r="G908" s="1025"/>
    </row>
    <row r="909" spans="1:9" ht="12.75" customHeight="1">
      <c r="A909" s="1026"/>
      <c r="B909" s="1026"/>
      <c r="C909" s="1026"/>
      <c r="D909" s="1262"/>
      <c r="E909" s="1262"/>
      <c r="F909" s="1262"/>
      <c r="G909" s="1025"/>
    </row>
    <row r="910" spans="1:9" ht="12.75" customHeight="1">
      <c r="A910" s="1026"/>
      <c r="B910" s="1026"/>
      <c r="C910" s="1026"/>
      <c r="D910" s="1025"/>
      <c r="E910" s="1025"/>
      <c r="F910" s="1025"/>
      <c r="G910" s="1025"/>
    </row>
    <row r="911" spans="1:9" ht="12.75" customHeight="1">
      <c r="A911" s="1026"/>
      <c r="B911" s="520" t="s">
        <v>2650</v>
      </c>
      <c r="C911" s="1026"/>
      <c r="D911" s="1299" t="s">
        <v>2043</v>
      </c>
      <c r="E911" s="1299"/>
      <c r="F911" s="1299"/>
      <c r="G911" s="1025"/>
    </row>
    <row r="912" spans="1:9" ht="12.75" customHeight="1">
      <c r="A912" s="1026"/>
      <c r="B912" s="1026"/>
      <c r="C912" s="1026"/>
      <c r="D912" s="1299"/>
      <c r="E912" s="1299"/>
      <c r="F912" s="1299"/>
      <c r="G912" s="1025"/>
    </row>
    <row r="913" spans="1:9" ht="12.75" customHeight="1">
      <c r="A913" s="1026"/>
      <c r="B913" s="1026"/>
      <c r="C913" s="1026"/>
      <c r="D913" s="1299"/>
      <c r="E913" s="1299"/>
      <c r="F913" s="1299"/>
      <c r="G913" s="1025"/>
    </row>
    <row r="914" spans="1:9" ht="12.75" customHeight="1">
      <c r="A914" s="1026"/>
      <c r="B914" s="1026"/>
      <c r="C914" s="1026"/>
      <c r="D914" s="1299"/>
      <c r="E914" s="1299"/>
      <c r="F914" s="1299"/>
      <c r="G914" s="1025"/>
    </row>
    <row r="915" spans="1:9" ht="12.75" customHeight="1">
      <c r="A915" s="1026"/>
      <c r="B915" s="1026"/>
      <c r="C915" s="1026"/>
      <c r="D915" s="118"/>
      <c r="E915" s="1025"/>
      <c r="F915" s="1025"/>
      <c r="G915" s="1025"/>
    </row>
    <row r="916" spans="1:9" ht="12.75" customHeight="1">
      <c r="A916" s="1026"/>
      <c r="B916" s="520" t="s">
        <v>2650</v>
      </c>
      <c r="C916" s="1026"/>
      <c r="D916" s="1273" t="s">
        <v>2470</v>
      </c>
      <c r="E916" s="1273"/>
      <c r="F916" s="1273"/>
      <c r="G916" s="1025"/>
    </row>
    <row r="917" spans="1:9" ht="12.75" customHeight="1">
      <c r="A917" s="1026"/>
      <c r="B917" s="1026"/>
      <c r="C917" s="1026"/>
      <c r="D917" s="118"/>
      <c r="E917" s="1025"/>
      <c r="F917" s="1025"/>
      <c r="G917" s="1025"/>
    </row>
    <row r="918" spans="1:9" ht="12.75" customHeight="1">
      <c r="A918" s="1026"/>
      <c r="B918" s="520" t="s">
        <v>2650</v>
      </c>
      <c r="C918" s="1026"/>
      <c r="D918" s="1273" t="s">
        <v>2471</v>
      </c>
      <c r="E918" s="1273"/>
      <c r="F918" s="1273"/>
      <c r="G918" s="1025"/>
    </row>
    <row r="919" spans="1:9" ht="12.75" customHeight="1">
      <c r="A919" s="175"/>
      <c r="B919" s="175"/>
      <c r="C919" s="175"/>
      <c r="D919" s="2"/>
      <c r="E919" s="3"/>
      <c r="F919" s="1025"/>
      <c r="G919" s="1025"/>
    </row>
    <row r="920" spans="1:9" ht="12.75" customHeight="1">
      <c r="A920" s="1034"/>
      <c r="B920" s="520" t="s">
        <v>2738</v>
      </c>
      <c r="C920" s="1035"/>
      <c r="D920" s="1272" t="s">
        <v>2039</v>
      </c>
      <c r="E920" s="1272"/>
      <c r="F920" s="1272"/>
      <c r="G920" s="1036"/>
      <c r="I920" s="436" t="s">
        <v>2235</v>
      </c>
    </row>
    <row r="921" spans="1:9" ht="12.75" customHeight="1">
      <c r="A921" s="1034"/>
      <c r="B921" s="1034"/>
      <c r="C921" s="1035"/>
      <c r="D921" s="1272"/>
      <c r="E921" s="1272"/>
      <c r="F921" s="1272"/>
      <c r="G921" s="1036"/>
    </row>
    <row r="922" spans="1:9" ht="12.75" customHeight="1">
      <c r="A922" s="1034"/>
      <c r="B922" s="1034"/>
      <c r="C922" s="1035"/>
      <c r="D922" s="1272"/>
      <c r="E922" s="1272"/>
      <c r="F922" s="1272"/>
      <c r="G922" s="1036"/>
    </row>
    <row r="923" spans="1:9" ht="12.75" customHeight="1">
      <c r="A923" s="1034"/>
      <c r="B923" s="1034"/>
      <c r="C923" s="1035"/>
      <c r="D923" s="1272"/>
      <c r="E923" s="1272"/>
      <c r="F923" s="1272"/>
      <c r="G923" s="1036"/>
    </row>
    <row r="924" spans="1:9" ht="12.75" customHeight="1">
      <c r="A924" s="1034"/>
      <c r="B924" s="1034"/>
      <c r="C924" s="1035"/>
      <c r="D924" s="1272"/>
      <c r="E924" s="1272"/>
      <c r="F924" s="1272"/>
      <c r="G924" s="1036"/>
    </row>
    <row r="925" spans="1:9" ht="12.75" customHeight="1">
      <c r="A925" s="1034"/>
      <c r="B925" s="1034"/>
      <c r="C925" s="1035"/>
      <c r="D925" s="1272"/>
      <c r="E925" s="1272"/>
      <c r="F925" s="1272"/>
      <c r="G925" s="1036"/>
    </row>
    <row r="926" spans="1:9" ht="12.75" customHeight="1">
      <c r="A926" s="1034"/>
      <c r="B926" s="1034"/>
      <c r="C926" s="1035"/>
      <c r="D926" s="1272"/>
      <c r="E926" s="1272"/>
      <c r="F926" s="1272"/>
      <c r="G926" s="1036"/>
    </row>
    <row r="927" spans="1:9" ht="12.75" customHeight="1">
      <c r="A927" s="1034"/>
      <c r="B927" s="1034"/>
      <c r="C927" s="1035"/>
      <c r="D927" s="1272"/>
      <c r="E927" s="1272"/>
      <c r="F927" s="1272"/>
      <c r="G927" s="1036"/>
    </row>
    <row r="928" spans="1:9" ht="12.75" customHeight="1">
      <c r="A928" s="1034"/>
      <c r="B928" s="1034"/>
      <c r="C928" s="1035"/>
      <c r="D928" s="1272"/>
      <c r="E928" s="1272"/>
      <c r="F928" s="1272"/>
      <c r="G928" s="1036"/>
    </row>
    <row r="929" spans="1:9" ht="12.75" customHeight="1">
      <c r="A929" s="175"/>
      <c r="B929" s="175"/>
      <c r="C929" s="175"/>
      <c r="D929" s="2"/>
      <c r="E929" s="3"/>
      <c r="F929" s="1025"/>
      <c r="G929" s="1025"/>
    </row>
    <row r="930" spans="1:9" ht="12.75" customHeight="1">
      <c r="A930" s="176"/>
      <c r="B930" s="520" t="s">
        <v>2738</v>
      </c>
      <c r="C930" s="175"/>
      <c r="D930" s="1328" t="s">
        <v>2237</v>
      </c>
      <c r="E930" s="1328"/>
      <c r="F930" s="1328"/>
      <c r="G930" s="1025"/>
      <c r="I930" s="436" t="s">
        <v>2235</v>
      </c>
    </row>
    <row r="931" spans="1:9" ht="12.75" customHeight="1">
      <c r="A931" s="176"/>
      <c r="B931" s="176"/>
      <c r="C931" s="175"/>
      <c r="D931" s="1328"/>
      <c r="E931" s="1328"/>
      <c r="F931" s="1328"/>
      <c r="G931" s="1025"/>
    </row>
    <row r="932" spans="1:9" ht="12.75" customHeight="1">
      <c r="A932" s="176"/>
      <c r="B932" s="176"/>
      <c r="C932" s="175"/>
      <c r="D932" s="1328"/>
      <c r="E932" s="1328"/>
      <c r="F932" s="1328"/>
      <c r="G932" s="1025"/>
    </row>
    <row r="933" spans="1:9" ht="12.75" customHeight="1">
      <c r="A933" s="176"/>
      <c r="B933" s="176"/>
      <c r="C933" s="175"/>
      <c r="D933" s="1328"/>
      <c r="E933" s="1328"/>
      <c r="F933" s="1328"/>
      <c r="G933" s="1025"/>
    </row>
    <row r="934" spans="1:9" ht="12.75" customHeight="1">
      <c r="A934" s="176"/>
      <c r="B934" s="176"/>
      <c r="C934" s="175"/>
      <c r="D934" s="1328"/>
      <c r="E934" s="1328"/>
      <c r="F934" s="1328"/>
      <c r="G934" s="1025"/>
    </row>
    <row r="935" spans="1:9" ht="12.75" customHeight="1">
      <c r="A935" s="176"/>
      <c r="B935" s="176"/>
      <c r="C935" s="175"/>
      <c r="D935" s="1328"/>
      <c r="E935" s="1328"/>
      <c r="F935" s="1328"/>
      <c r="G935" s="1025"/>
    </row>
    <row r="936" spans="1:9" ht="12.75" customHeight="1">
      <c r="A936" s="176"/>
      <c r="B936" s="176"/>
      <c r="C936" s="175"/>
      <c r="D936" s="1328"/>
      <c r="E936" s="1328"/>
      <c r="F936" s="1328"/>
      <c r="G936" s="1025"/>
    </row>
    <row r="937" spans="1:9" ht="12.75" customHeight="1">
      <c r="A937" s="176"/>
      <c r="B937" s="176"/>
      <c r="C937" s="175"/>
      <c r="D937" s="1067"/>
      <c r="E937" s="1067"/>
      <c r="F937" s="1067"/>
      <c r="G937" s="1025"/>
    </row>
    <row r="938" spans="1:9" ht="12.75" customHeight="1">
      <c r="A938" s="176"/>
      <c r="B938" s="520" t="s">
        <v>2650</v>
      </c>
      <c r="C938" s="175"/>
      <c r="D938" s="1271" t="s">
        <v>2565</v>
      </c>
      <c r="E938" s="1271"/>
      <c r="F938" s="1271"/>
      <c r="G938" s="1025"/>
    </row>
    <row r="939" spans="1:9" ht="12.75" customHeight="1">
      <c r="A939" s="176"/>
      <c r="B939" s="176"/>
      <c r="C939" s="175"/>
      <c r="D939" s="1271"/>
      <c r="E939" s="1271"/>
      <c r="F939" s="1271"/>
      <c r="G939" s="1025"/>
    </row>
    <row r="940" spans="1:9" ht="12.75" customHeight="1">
      <c r="A940" s="176"/>
      <c r="B940" s="176"/>
      <c r="C940" s="175"/>
      <c r="D940" s="1271"/>
      <c r="E940" s="1271"/>
      <c r="F940" s="1271"/>
      <c r="G940" s="1025"/>
    </row>
    <row r="941" spans="1:9" ht="12.75" customHeight="1">
      <c r="A941" s="176"/>
      <c r="B941" s="176"/>
      <c r="C941" s="175"/>
      <c r="D941" s="1271"/>
      <c r="E941" s="1271"/>
      <c r="F941" s="1271"/>
      <c r="G941" s="1025"/>
    </row>
    <row r="942" spans="1:9" ht="12.75" customHeight="1">
      <c r="A942" s="176"/>
      <c r="B942" s="176"/>
      <c r="C942" s="175"/>
      <c r="D942" s="1271"/>
      <c r="E942" s="1271"/>
      <c r="F942" s="1271"/>
      <c r="G942" s="1025"/>
    </row>
    <row r="943" spans="1:9" ht="12.75" customHeight="1">
      <c r="A943" s="176"/>
      <c r="B943" s="176"/>
      <c r="C943" s="175"/>
      <c r="D943" s="1271"/>
      <c r="E943" s="1271"/>
      <c r="F943" s="1271"/>
      <c r="G943" s="1025"/>
    </row>
    <row r="944" spans="1:9" ht="12.75" customHeight="1">
      <c r="A944" s="176"/>
      <c r="B944" s="176"/>
      <c r="C944" s="175"/>
      <c r="D944" s="1067"/>
      <c r="E944" s="1067"/>
      <c r="F944" s="1067"/>
      <c r="G944" s="1025"/>
    </row>
    <row r="945" spans="1:9" ht="12.75" customHeight="1">
      <c r="A945" s="1026"/>
      <c r="B945" s="520" t="s">
        <v>2650</v>
      </c>
      <c r="C945" s="1026"/>
      <c r="D945" s="1299" t="s">
        <v>2044</v>
      </c>
      <c r="E945" s="1299"/>
      <c r="F945" s="1299"/>
      <c r="G945" s="1025"/>
    </row>
    <row r="946" spans="1:9" ht="12.75" customHeight="1">
      <c r="A946" s="1026"/>
      <c r="B946" s="1026"/>
      <c r="C946" s="1026"/>
      <c r="D946" s="1299"/>
      <c r="E946" s="1299"/>
      <c r="F946" s="1299"/>
      <c r="G946" s="1025"/>
    </row>
    <row r="947" spans="1:9" ht="12.75" customHeight="1">
      <c r="A947" s="1026"/>
      <c r="B947" s="1026"/>
      <c r="C947" s="1026"/>
      <c r="D947" s="1299"/>
      <c r="E947" s="1299"/>
      <c r="F947" s="1299"/>
      <c r="G947" s="1025"/>
    </row>
    <row r="948" spans="1:9" ht="12.75" customHeight="1">
      <c r="A948" s="176"/>
      <c r="B948" s="176"/>
      <c r="C948" s="175"/>
      <c r="D948" s="1067"/>
      <c r="E948" s="1067"/>
      <c r="F948" s="1067"/>
      <c r="G948" s="1025"/>
    </row>
    <row r="949" spans="1:9" ht="12.75" customHeight="1">
      <c r="A949" s="176"/>
      <c r="B949" s="176"/>
      <c r="C949" s="175"/>
      <c r="D949" s="880"/>
      <c r="E949" s="3"/>
      <c r="F949" s="1025"/>
      <c r="G949" s="1025"/>
    </row>
    <row r="950" spans="1:9" ht="12.75" customHeight="1">
      <c r="A950" s="176"/>
      <c r="B950" s="520" t="s">
        <v>2650</v>
      </c>
      <c r="C950" s="175"/>
      <c r="D950" s="1272" t="s">
        <v>2236</v>
      </c>
      <c r="E950" s="1272"/>
      <c r="F950" s="1272"/>
      <c r="G950" s="1025"/>
      <c r="I950" s="436" t="s">
        <v>2235</v>
      </c>
    </row>
    <row r="951" spans="1:9" ht="12.75" customHeight="1">
      <c r="A951" s="176"/>
      <c r="B951" s="176"/>
      <c r="C951" s="175"/>
      <c r="D951" s="1272"/>
      <c r="E951" s="1272"/>
      <c r="F951" s="1272"/>
      <c r="G951" s="1025"/>
    </row>
    <row r="952" spans="1:9" ht="12.75" customHeight="1">
      <c r="A952" s="176"/>
      <c r="B952" s="176"/>
      <c r="C952" s="175"/>
      <c r="D952" s="1272"/>
      <c r="E952" s="1272"/>
      <c r="F952" s="1272"/>
      <c r="G952" s="1025"/>
    </row>
    <row r="953" spans="1:9" ht="12.75" customHeight="1">
      <c r="A953" s="176"/>
      <c r="B953" s="176"/>
      <c r="C953" s="175"/>
      <c r="D953" s="1272"/>
      <c r="E953" s="1272"/>
      <c r="F953" s="1272"/>
      <c r="G953" s="1025"/>
    </row>
    <row r="954" spans="1:9" ht="12.75" customHeight="1">
      <c r="A954" s="1026"/>
      <c r="B954" s="1026"/>
      <c r="C954" s="1026"/>
      <c r="D954" s="1017"/>
      <c r="E954" s="1017"/>
      <c r="F954" s="1017"/>
      <c r="G954" s="1017"/>
    </row>
    <row r="955" spans="1:9" ht="12.75" customHeight="1">
      <c r="A955" s="386"/>
      <c r="B955" s="386"/>
      <c r="C955" s="386"/>
      <c r="D955" s="1278" t="s">
        <v>2045</v>
      </c>
      <c r="E955" s="1278"/>
      <c r="F955" s="1278"/>
      <c r="G955" s="3"/>
    </row>
    <row r="956" spans="1:9" ht="12.75" customHeight="1">
      <c r="A956" s="176"/>
      <c r="B956" s="520" t="s">
        <v>2738</v>
      </c>
      <c r="C956" s="386"/>
      <c r="D956" s="1273" t="s">
        <v>2069</v>
      </c>
      <c r="E956" s="1273"/>
      <c r="F956" s="1273"/>
      <c r="G956" s="3"/>
      <c r="I956" s="436" t="s">
        <v>2235</v>
      </c>
    </row>
    <row r="957" spans="1:9" ht="12.75" customHeight="1">
      <c r="A957" s="386"/>
      <c r="B957" s="386"/>
      <c r="C957" s="386"/>
      <c r="D957" s="3"/>
      <c r="E957" s="3"/>
      <c r="F957" s="3"/>
      <c r="G957" s="3"/>
    </row>
    <row r="958" spans="1:9" ht="12.75" customHeight="1">
      <c r="A958" s="386"/>
      <c r="B958" s="386"/>
      <c r="C958" s="386"/>
      <c r="D958" s="1278" t="s">
        <v>2046</v>
      </c>
      <c r="E958" s="1278"/>
      <c r="F958" s="1278"/>
      <c r="G958"/>
    </row>
    <row r="959" spans="1:9" ht="12.75" customHeight="1">
      <c r="A959" s="176"/>
      <c r="B959" s="520" t="s">
        <v>2650</v>
      </c>
      <c r="C959" s="386"/>
      <c r="D959" s="1262" t="s">
        <v>2472</v>
      </c>
      <c r="E959" s="1262"/>
      <c r="F959" s="1262"/>
      <c r="G959"/>
      <c r="I959" s="436" t="s">
        <v>2235</v>
      </c>
    </row>
    <row r="960" spans="1:9" ht="12.75" customHeight="1">
      <c r="A960" s="176"/>
      <c r="B960" s="176"/>
      <c r="C960" s="386"/>
      <c r="D960" s="1262"/>
      <c r="E960" s="1262"/>
      <c r="F960" s="1262"/>
      <c r="G960"/>
    </row>
    <row r="961" spans="1:9" ht="12.75" customHeight="1">
      <c r="A961" s="176"/>
      <c r="B961" s="176"/>
      <c r="C961" s="386"/>
      <c r="D961" s="1262"/>
      <c r="E961" s="1262"/>
      <c r="F961" s="1262"/>
      <c r="G961"/>
    </row>
    <row r="962" spans="1:9" ht="12.75" customHeight="1">
      <c r="A962" s="176"/>
      <c r="B962" s="176"/>
      <c r="C962" s="386"/>
      <c r="D962" s="1262"/>
      <c r="E962" s="1262"/>
      <c r="F962" s="1262"/>
      <c r="G962"/>
    </row>
    <row r="963" spans="1:9" ht="12.75" customHeight="1">
      <c r="A963" s="176"/>
      <c r="B963" s="176"/>
      <c r="C963" s="386"/>
      <c r="D963" s="1262"/>
      <c r="E963" s="1262"/>
      <c r="F963" s="1262"/>
      <c r="G963"/>
    </row>
    <row r="964" spans="1:9" ht="12.75" customHeight="1">
      <c r="A964" s="176"/>
      <c r="B964" s="176"/>
      <c r="C964" s="386"/>
      <c r="D964" s="1262"/>
      <c r="E964" s="1262"/>
      <c r="F964" s="1262"/>
      <c r="G964"/>
    </row>
    <row r="965" spans="1:9" ht="12.75" customHeight="1">
      <c r="A965" s="176"/>
      <c r="B965" s="176"/>
      <c r="C965" s="386"/>
      <c r="D965" s="1262"/>
      <c r="E965" s="1262"/>
      <c r="F965" s="1262"/>
      <c r="G965"/>
    </row>
    <row r="966" spans="1:9" ht="12.75" customHeight="1">
      <c r="A966" s="176"/>
      <c r="B966" s="176"/>
      <c r="C966" s="386"/>
      <c r="D966" s="1262"/>
      <c r="E966" s="1262"/>
      <c r="F966" s="1262"/>
      <c r="G966"/>
    </row>
    <row r="967" spans="1:9" ht="12.75" customHeight="1">
      <c r="A967" s="176"/>
      <c r="B967" s="176"/>
      <c r="C967" s="386"/>
      <c r="D967" s="1262"/>
      <c r="E967" s="1262"/>
      <c r="F967" s="1262"/>
      <c r="G967"/>
    </row>
    <row r="968" spans="1:9" ht="12.75" customHeight="1">
      <c r="A968" s="176"/>
      <c r="B968" s="176"/>
      <c r="C968" s="386"/>
      <c r="D968" s="1262"/>
      <c r="E968" s="1262"/>
      <c r="F968" s="1262"/>
      <c r="G968"/>
    </row>
    <row r="969" spans="1:9" ht="12.75" customHeight="1">
      <c r="A969" s="176"/>
      <c r="B969" s="176"/>
      <c r="C969" s="386"/>
      <c r="D969" s="1262"/>
      <c r="E969" s="1262"/>
      <c r="F969" s="1262"/>
      <c r="G969"/>
    </row>
    <row r="970" spans="1:9" ht="12.75" customHeight="1">
      <c r="A970" s="176"/>
      <c r="B970" s="176"/>
      <c r="C970" s="386"/>
      <c r="D970" s="1262"/>
      <c r="E970" s="1262"/>
      <c r="F970" s="1262"/>
      <c r="G970"/>
    </row>
    <row r="971" spans="1:9" ht="12.75" customHeight="1">
      <c r="A971" s="176"/>
      <c r="B971" s="176"/>
      <c r="C971" s="386"/>
      <c r="D971" s="1262"/>
      <c r="E971" s="1262"/>
      <c r="F971" s="1262"/>
      <c r="G971"/>
    </row>
    <row r="972" spans="1:9" ht="12.75" customHeight="1">
      <c r="A972" s="176"/>
      <c r="B972" s="176"/>
      <c r="C972" s="386"/>
      <c r="D972" s="1262"/>
      <c r="E972" s="1262"/>
      <c r="F972" s="1262"/>
      <c r="G972"/>
    </row>
    <row r="973" spans="1:9" ht="12.75" customHeight="1">
      <c r="A973" s="176"/>
      <c r="B973" s="176"/>
      <c r="C973" s="386"/>
      <c r="D973" s="1262"/>
      <c r="E973" s="1262"/>
      <c r="F973" s="1262"/>
      <c r="G973" s="3"/>
    </row>
    <row r="974" spans="1:9" ht="12.75" customHeight="1">
      <c r="A974" s="386"/>
      <c r="B974" s="386"/>
      <c r="C974" s="386"/>
      <c r="D974" s="3"/>
      <c r="E974" s="3"/>
      <c r="F974" s="3"/>
      <c r="G974" s="3"/>
    </row>
    <row r="975" spans="1:9" ht="12.75" customHeight="1">
      <c r="A975" s="1307" t="s">
        <v>2047</v>
      </c>
      <c r="B975" s="1307"/>
      <c r="C975" s="1307"/>
      <c r="D975" s="1307"/>
      <c r="E975" s="1307"/>
      <c r="F975" s="1307"/>
      <c r="G975" s="1307"/>
      <c r="H975" s="1071"/>
      <c r="I975" s="1072"/>
    </row>
    <row r="976" spans="1:9" ht="12.75" customHeight="1">
      <c r="A976" s="118"/>
      <c r="B976" s="118"/>
      <c r="C976" s="386"/>
      <c r="D976" s="3"/>
      <c r="E976" s="3"/>
      <c r="F976" s="3"/>
      <c r="G976" s="3"/>
    </row>
    <row r="977" spans="1:9" ht="12.75" customHeight="1">
      <c r="A977" s="386"/>
      <c r="B977" s="386"/>
      <c r="C977" s="1026"/>
      <c r="D977" s="1278" t="s">
        <v>2070</v>
      </c>
      <c r="E977" s="1278"/>
      <c r="F977" s="1278"/>
      <c r="G977" s="3"/>
    </row>
    <row r="978" spans="1:9" ht="12.75" customHeight="1">
      <c r="A978" s="172"/>
      <c r="B978" s="172"/>
      <c r="C978" s="172"/>
      <c r="D978" s="1273" t="s">
        <v>2048</v>
      </c>
      <c r="E978" s="1273"/>
      <c r="F978" s="1273"/>
      <c r="G978" s="3"/>
    </row>
    <row r="979" spans="1:9" ht="12.75" customHeight="1">
      <c r="A979" s="172"/>
      <c r="B979" s="172"/>
      <c r="C979" s="172"/>
      <c r="D979" s="3"/>
      <c r="E979" s="3"/>
      <c r="F979" s="1025"/>
      <c r="G979"/>
    </row>
    <row r="980" spans="1:9" ht="12.75" customHeight="1">
      <c r="A980" s="386"/>
      <c r="B980" s="520" t="s">
        <v>2738</v>
      </c>
      <c r="C980" s="386"/>
      <c r="D980" s="1326" t="s">
        <v>2297</v>
      </c>
      <c r="E980" s="1326"/>
      <c r="F980" s="1326"/>
      <c r="G980"/>
      <c r="I980" s="436" t="s">
        <v>2215</v>
      </c>
    </row>
    <row r="981" spans="1:9" ht="12.75" customHeight="1">
      <c r="A981" s="386"/>
      <c r="B981" s="386"/>
      <c r="C981" s="386"/>
      <c r="D981" s="1326"/>
      <c r="E981" s="1326"/>
      <c r="F981" s="1326"/>
      <c r="G981"/>
    </row>
    <row r="982" spans="1:9" ht="12.75" customHeight="1">
      <c r="A982" s="386"/>
      <c r="B982" s="386"/>
      <c r="C982" s="386"/>
      <c r="D982" s="1082"/>
      <c r="E982" s="1080" t="s">
        <v>2298</v>
      </c>
      <c r="F982" s="1082"/>
      <c r="G982"/>
    </row>
    <row r="983" spans="1:9" ht="12.75" customHeight="1">
      <c r="A983" s="386"/>
      <c r="B983" s="386"/>
      <c r="C983" s="386"/>
      <c r="D983" s="1266" t="s">
        <v>2296</v>
      </c>
      <c r="E983" s="1266"/>
      <c r="F983" s="1266"/>
      <c r="G983"/>
    </row>
    <row r="984" spans="1:9" ht="12.75" customHeight="1">
      <c r="A984" s="386"/>
      <c r="B984" s="386"/>
      <c r="C984" s="386"/>
      <c r="D984" s="1266"/>
      <c r="E984" s="1266"/>
      <c r="F984" s="1266"/>
      <c r="G984"/>
    </row>
    <row r="985" spans="1:9" ht="12.75" customHeight="1">
      <c r="A985" s="175"/>
      <c r="B985" s="175"/>
      <c r="C985" s="175"/>
      <c r="D985" s="1266"/>
      <c r="E985" s="1266"/>
      <c r="F985" s="1266"/>
      <c r="G985"/>
    </row>
    <row r="986" spans="1:9" ht="12.75" customHeight="1">
      <c r="A986" s="175"/>
      <c r="B986" s="175"/>
      <c r="C986" s="175"/>
      <c r="D986" s="1266"/>
      <c r="E986" s="1266"/>
      <c r="F986" s="1266"/>
      <c r="G986"/>
    </row>
    <row r="987" spans="1:9" ht="12.75" customHeight="1">
      <c r="A987" s="175"/>
      <c r="B987" s="175"/>
      <c r="C987" s="175"/>
      <c r="D987" s="364"/>
      <c r="E987" s="364"/>
      <c r="F987" s="364"/>
      <c r="G987"/>
    </row>
    <row r="988" spans="1:9" ht="12.75" customHeight="1">
      <c r="A988" s="175"/>
      <c r="B988" s="520" t="s">
        <v>2650</v>
      </c>
      <c r="C988" s="175"/>
      <c r="D988" s="1262" t="s">
        <v>2049</v>
      </c>
      <c r="E988" s="1262"/>
      <c r="F988" s="1262"/>
      <c r="G988"/>
    </row>
    <row r="989" spans="1:9" ht="12.75" customHeight="1">
      <c r="A989" s="175"/>
      <c r="B989" s="175"/>
      <c r="C989" s="175"/>
      <c r="D989" s="1262"/>
      <c r="E989" s="1262"/>
      <c r="F989" s="1262"/>
      <c r="G989"/>
    </row>
    <row r="990" spans="1:9" ht="12.75" customHeight="1">
      <c r="A990" s="175"/>
      <c r="B990" s="175"/>
      <c r="C990" s="175"/>
      <c r="D990" s="1262"/>
      <c r="E990" s="1262"/>
      <c r="F990" s="1262"/>
      <c r="G990"/>
    </row>
    <row r="991" spans="1:9" ht="12.75" customHeight="1">
      <c r="A991" s="175"/>
      <c r="B991" s="175"/>
      <c r="C991" s="175"/>
      <c r="D991" s="1262"/>
      <c r="E991" s="1262"/>
      <c r="F991" s="1262"/>
      <c r="G991"/>
    </row>
    <row r="992" spans="1:9" ht="12.75" customHeight="1">
      <c r="A992" s="175"/>
      <c r="B992" s="175"/>
      <c r="C992" s="175"/>
      <c r="D992" s="475"/>
      <c r="E992" s="475"/>
      <c r="F992" s="475"/>
      <c r="G992"/>
    </row>
    <row r="993" spans="1:7" ht="12.75" customHeight="1">
      <c r="A993" s="175"/>
      <c r="B993" s="520" t="s">
        <v>2650</v>
      </c>
      <c r="C993" s="175"/>
      <c r="D993" s="1262" t="s">
        <v>2050</v>
      </c>
      <c r="E993" s="1262"/>
      <c r="F993" s="1262"/>
      <c r="G993"/>
    </row>
    <row r="994" spans="1:7" ht="12.75" customHeight="1">
      <c r="A994" s="175"/>
      <c r="B994" s="175"/>
      <c r="C994" s="175"/>
      <c r="D994" s="1262"/>
      <c r="E994" s="1262"/>
      <c r="F994" s="1262"/>
      <c r="G994"/>
    </row>
    <row r="995" spans="1:7" ht="12.75" customHeight="1">
      <c r="A995" s="175"/>
      <c r="B995" s="175"/>
      <c r="C995" s="175"/>
      <c r="D995" s="475"/>
      <c r="E995" s="475"/>
      <c r="F995" s="475"/>
      <c r="G995"/>
    </row>
    <row r="996" spans="1:7" ht="12.75" customHeight="1">
      <c r="A996" s="176"/>
      <c r="B996" s="520" t="s">
        <v>2650</v>
      </c>
      <c r="C996" s="386"/>
      <c r="D996" s="1273" t="s">
        <v>2051</v>
      </c>
      <c r="E996" s="1273"/>
      <c r="F996" s="1273"/>
      <c r="G996"/>
    </row>
    <row r="997" spans="1:7" ht="12.75" customHeight="1">
      <c r="A997" s="386"/>
      <c r="B997" s="386"/>
      <c r="C997" s="386"/>
      <c r="D997" s="3"/>
      <c r="E997" s="3"/>
      <c r="F997" s="3"/>
      <c r="G997"/>
    </row>
    <row r="998" spans="1:7" ht="12.75" customHeight="1">
      <c r="A998" s="176"/>
      <c r="B998" s="520" t="s">
        <v>2650</v>
      </c>
      <c r="C998" s="386"/>
      <c r="D998" s="1273" t="s">
        <v>2052</v>
      </c>
      <c r="E998" s="1273"/>
      <c r="F998" s="1273"/>
      <c r="G998"/>
    </row>
    <row r="999" spans="1:7" ht="12.75" customHeight="1">
      <c r="A999" s="386"/>
      <c r="B999" s="386"/>
      <c r="C999" s="386"/>
      <c r="D999" s="118"/>
      <c r="E999" s="3"/>
      <c r="F999" s="3"/>
      <c r="G999"/>
    </row>
    <row r="1000" spans="1:7" ht="12.75" customHeight="1">
      <c r="A1000" s="176"/>
      <c r="B1000" s="520" t="s">
        <v>2738</v>
      </c>
      <c r="C1000" s="386"/>
      <c r="D1000" s="1273" t="s">
        <v>2053</v>
      </c>
      <c r="E1000" s="1273"/>
      <c r="F1000" s="1273"/>
      <c r="G1000"/>
    </row>
    <row r="1001" spans="1:7" ht="12.75" customHeight="1">
      <c r="A1001" s="386"/>
      <c r="B1001" s="386"/>
      <c r="C1001" s="386"/>
      <c r="D1001" s="118"/>
      <c r="E1001" s="3"/>
      <c r="F1001" s="3"/>
      <c r="G1001"/>
    </row>
    <row r="1002" spans="1:7" ht="12.75" customHeight="1">
      <c r="A1002" s="176"/>
      <c r="B1002" s="520" t="s">
        <v>2738</v>
      </c>
      <c r="C1002" s="386"/>
      <c r="D1002" s="1262" t="s">
        <v>2054</v>
      </c>
      <c r="E1002" s="1262"/>
      <c r="F1002" s="1262"/>
      <c r="G1002"/>
    </row>
    <row r="1003" spans="1:7" ht="12.75" customHeight="1">
      <c r="A1003" s="176"/>
      <c r="B1003" s="176"/>
      <c r="C1003" s="386"/>
      <c r="D1003" s="1262"/>
      <c r="E1003" s="1262"/>
      <c r="F1003" s="1262"/>
      <c r="G1003"/>
    </row>
    <row r="1004" spans="1:7" ht="12.75" customHeight="1">
      <c r="A1004" s="176"/>
      <c r="B1004" s="176"/>
      <c r="C1004" s="386"/>
      <c r="D1004" s="118"/>
      <c r="E1004" s="3"/>
      <c r="F1004" s="3"/>
      <c r="G1004" s="3"/>
    </row>
    <row r="1005" spans="1:7" ht="12.75" customHeight="1">
      <c r="A1005" s="272"/>
      <c r="B1005" s="520" t="s">
        <v>2650</v>
      </c>
      <c r="C1005" s="1037"/>
      <c r="D1005" s="1302" t="s">
        <v>2055</v>
      </c>
      <c r="E1005" s="1302"/>
      <c r="F1005" s="1302"/>
      <c r="G1005" s="1038"/>
    </row>
    <row r="1006" spans="1:7" ht="12.75" customHeight="1">
      <c r="A1006" s="1037"/>
      <c r="B1006" s="1037"/>
      <c r="C1006" s="1037"/>
      <c r="D1006" s="1302"/>
      <c r="E1006" s="1302"/>
      <c r="F1006" s="1302"/>
      <c r="G1006" s="1038"/>
    </row>
    <row r="1007" spans="1:7" ht="12.75" customHeight="1">
      <c r="A1007" s="1037"/>
      <c r="B1007" s="1037"/>
      <c r="C1007" s="1037"/>
      <c r="D1007" s="1021"/>
      <c r="E1007" s="1038"/>
      <c r="F1007" s="1038"/>
      <c r="G1007" s="1038"/>
    </row>
    <row r="1008" spans="1:7" ht="12.75" customHeight="1">
      <c r="A1008" s="272"/>
      <c r="B1008" s="520" t="s">
        <v>2650</v>
      </c>
      <c r="C1008" s="1037"/>
      <c r="D1008" s="1320" t="s">
        <v>2056</v>
      </c>
      <c r="E1008" s="1320"/>
      <c r="F1008" s="1320"/>
      <c r="G1008" s="1038"/>
    </row>
    <row r="1009" spans="1:9" ht="12.75" customHeight="1">
      <c r="A1009" s="1037"/>
      <c r="B1009" s="1037"/>
      <c r="C1009" s="1037"/>
      <c r="D1009" s="1021"/>
      <c r="E1009" s="1038"/>
      <c r="F1009" s="1038"/>
      <c r="G1009" s="1038"/>
    </row>
    <row r="1010" spans="1:9" ht="12.75" customHeight="1">
      <c r="A1010" s="176"/>
      <c r="B1010" s="520" t="s">
        <v>2650</v>
      </c>
      <c r="C1010" s="386"/>
      <c r="D1010" s="1273" t="s">
        <v>2057</v>
      </c>
      <c r="E1010" s="1273"/>
      <c r="F1010" s="1273"/>
      <c r="G1010" s="3"/>
    </row>
    <row r="1011" spans="1:9" ht="12.75" customHeight="1">
      <c r="A1011" s="176"/>
      <c r="B1011" s="176"/>
      <c r="C1011" s="386"/>
      <c r="D1011" s="118"/>
      <c r="E1011" s="3"/>
      <c r="F1011" s="3"/>
      <c r="G1011" s="3"/>
    </row>
    <row r="1012" spans="1:9" ht="12.75" customHeight="1">
      <c r="A1012" s="176"/>
      <c r="B1012" s="520" t="s">
        <v>2650</v>
      </c>
      <c r="C1012" s="386"/>
      <c r="D1012" s="1262" t="s">
        <v>2058</v>
      </c>
      <c r="E1012" s="1262"/>
      <c r="F1012" s="1262"/>
      <c r="G1012" s="3"/>
    </row>
    <row r="1013" spans="1:9" ht="12.75" customHeight="1">
      <c r="A1013" s="176"/>
      <c r="B1013" s="176"/>
      <c r="C1013" s="386"/>
      <c r="D1013" s="1262"/>
      <c r="E1013" s="1262"/>
      <c r="F1013" s="1262"/>
      <c r="G1013" s="3"/>
    </row>
    <row r="1014" spans="1:9" ht="12.75" customHeight="1">
      <c r="A1014" s="386"/>
      <c r="B1014" s="386"/>
      <c r="C1014" s="386"/>
      <c r="D1014" s="3"/>
      <c r="E1014" s="3"/>
      <c r="F1014" s="3"/>
      <c r="G1014" s="3"/>
    </row>
    <row r="1015" spans="1:9" ht="12.75" customHeight="1">
      <c r="A1015" s="1307" t="s">
        <v>2059</v>
      </c>
      <c r="B1015" s="1307"/>
      <c r="C1015" s="1307"/>
      <c r="D1015" s="1307"/>
      <c r="E1015" s="1307"/>
      <c r="F1015" s="1307"/>
      <c r="G1015" s="1307"/>
      <c r="H1015" s="1071"/>
      <c r="I1015" s="1072"/>
    </row>
    <row r="1016" spans="1:9" ht="12.75" customHeight="1">
      <c r="A1016" s="386"/>
      <c r="B1016" s="386"/>
      <c r="C1016" s="386"/>
      <c r="D1016" s="3"/>
      <c r="E1016" s="3"/>
      <c r="F1016" s="3"/>
      <c r="G1016" s="3"/>
    </row>
    <row r="1017" spans="1:9" ht="12.75" customHeight="1">
      <c r="A1017" s="386"/>
      <c r="B1017" s="386"/>
      <c r="C1017" s="386"/>
      <c r="D1017" s="1301" t="s">
        <v>2060</v>
      </c>
      <c r="E1017" s="1301"/>
      <c r="F1017" s="1301"/>
      <c r="G1017" s="3"/>
    </row>
    <row r="1018" spans="1:9" ht="12.75" customHeight="1">
      <c r="A1018" s="386"/>
      <c r="B1018" s="386"/>
      <c r="C1018" s="386"/>
      <c r="D1018" s="1320" t="s">
        <v>2061</v>
      </c>
      <c r="E1018" s="1320"/>
      <c r="F1018" s="1320"/>
      <c r="G1018" s="3"/>
    </row>
    <row r="1019" spans="1:9" ht="12.75" customHeight="1">
      <c r="A1019" s="172"/>
      <c r="B1019" s="172"/>
      <c r="C1019" s="172"/>
      <c r="D1019" s="3"/>
      <c r="E1019" s="3"/>
      <c r="F1019" s="3"/>
      <c r="G1019" s="3"/>
    </row>
    <row r="1020" spans="1:9" ht="12.75" customHeight="1">
      <c r="A1020" s="176"/>
      <c r="B1020" s="176"/>
      <c r="C1020" s="175"/>
      <c r="D1020" s="1301" t="s">
        <v>2075</v>
      </c>
      <c r="E1020" s="1301"/>
      <c r="F1020" s="1301"/>
      <c r="G1020" s="3"/>
      <c r="I1020" s="436" t="s">
        <v>2187</v>
      </c>
    </row>
    <row r="1021" spans="1:9" ht="12.75" customHeight="1">
      <c r="A1021" s="386"/>
      <c r="B1021" s="520" t="s">
        <v>2738</v>
      </c>
      <c r="C1021" s="386"/>
      <c r="D1021" s="1320" t="s">
        <v>1429</v>
      </c>
      <c r="E1021" s="1320"/>
      <c r="F1021" s="1320"/>
      <c r="G1021" s="3"/>
    </row>
    <row r="1022" spans="1:9" ht="12.75" customHeight="1">
      <c r="A1022" s="386"/>
      <c r="B1022" s="176"/>
      <c r="C1022" s="386"/>
      <c r="D1022" s="1320" t="s">
        <v>2062</v>
      </c>
      <c r="E1022" s="1320"/>
      <c r="F1022" s="1320"/>
      <c r="G1022" s="3"/>
    </row>
    <row r="1023" spans="1:9" ht="12.75" customHeight="1">
      <c r="A1023" s="386"/>
      <c r="B1023" s="386"/>
      <c r="C1023" s="386"/>
      <c r="D1023" s="1320"/>
      <c r="E1023" s="1320"/>
      <c r="F1023" s="1320"/>
      <c r="G1023" s="3"/>
    </row>
    <row r="1024" spans="1:9" ht="12.75" customHeight="1">
      <c r="A1024" s="1307" t="s">
        <v>2071</v>
      </c>
      <c r="B1024" s="1307"/>
      <c r="C1024" s="1307"/>
      <c r="D1024" s="1307"/>
      <c r="E1024" s="1307"/>
      <c r="F1024" s="1307"/>
      <c r="G1024" s="1307"/>
      <c r="H1024" s="1071"/>
      <c r="I1024" s="1072"/>
    </row>
    <row r="1025" spans="1:9" ht="12.75" customHeight="1">
      <c r="A1025" s="118"/>
      <c r="B1025" s="118"/>
      <c r="C1025" s="386"/>
      <c r="D1025" s="3"/>
      <c r="E1025" s="3"/>
      <c r="F1025" s="3"/>
      <c r="G1025" s="3"/>
    </row>
    <row r="1026" spans="1:9" ht="12.75" customHeight="1">
      <c r="A1026" s="118"/>
      <c r="B1026" s="434"/>
      <c r="D1026" s="1309" t="s">
        <v>1430</v>
      </c>
      <c r="E1026" s="1309"/>
      <c r="F1026" s="1309"/>
      <c r="G1026" s="3"/>
    </row>
    <row r="1027" spans="1:9" ht="12.75" customHeight="1">
      <c r="A1027" s="118"/>
      <c r="B1027" s="520" t="s">
        <v>2738</v>
      </c>
      <c r="D1027" s="1311" t="s">
        <v>1429</v>
      </c>
      <c r="E1027" s="1311"/>
      <c r="F1027" s="1311"/>
      <c r="G1027" s="3"/>
    </row>
    <row r="1028" spans="1:9" ht="12.75" customHeight="1">
      <c r="A1028" s="118"/>
      <c r="B1028" s="434"/>
      <c r="D1028" s="1311" t="s">
        <v>2072</v>
      </c>
      <c r="E1028" s="1311"/>
      <c r="F1028" s="1311"/>
      <c r="G1028" s="3"/>
    </row>
    <row r="1029" spans="1:9" ht="12.75" customHeight="1">
      <c r="A1029" s="118"/>
      <c r="B1029" s="434"/>
      <c r="D1029" s="479"/>
      <c r="E1029" s="479"/>
      <c r="F1029" s="479"/>
      <c r="G1029" s="3"/>
    </row>
    <row r="1030" spans="1:9" ht="12.75" customHeight="1">
      <c r="A1030" s="118"/>
      <c r="B1030" s="118"/>
      <c r="C1030" s="386"/>
      <c r="D1030" s="1321" t="s">
        <v>1132</v>
      </c>
      <c r="E1030" s="1321"/>
      <c r="F1030" s="1321"/>
      <c r="G1030" s="3"/>
      <c r="I1030" s="436" t="s">
        <v>2216</v>
      </c>
    </row>
    <row r="1031" spans="1:9" ht="12.75" customHeight="1">
      <c r="A1031" s="346"/>
      <c r="B1031" s="346"/>
      <c r="C1031" s="346"/>
      <c r="D1031" s="1305" t="s">
        <v>1149</v>
      </c>
      <c r="E1031" s="1305"/>
      <c r="F1031" s="1305"/>
      <c r="G1031" s="98"/>
    </row>
    <row r="1032" spans="1:9" ht="12.75" customHeight="1">
      <c r="A1032" s="176"/>
      <c r="B1032" s="520" t="s">
        <v>2650</v>
      </c>
      <c r="C1032" s="386"/>
      <c r="D1032" s="1305" t="s">
        <v>1026</v>
      </c>
      <c r="E1032" s="1305"/>
      <c r="F1032" s="1305"/>
      <c r="G1032" s="3"/>
    </row>
    <row r="1033" spans="1:9" ht="12.75" customHeight="1">
      <c r="A1033" s="386"/>
      <c r="B1033" s="386"/>
      <c r="C1033" s="386"/>
      <c r="D1033" s="1080" t="s">
        <v>2299</v>
      </c>
      <c r="E1033" s="96"/>
      <c r="F1033" s="96"/>
      <c r="G1033" s="3"/>
    </row>
    <row r="1034" spans="1:9">
      <c r="A1034" s="434"/>
      <c r="B1034" s="434"/>
      <c r="C1034" s="434"/>
    </row>
    <row r="1035" spans="1:9">
      <c r="A1035" s="1307" t="s">
        <v>2092</v>
      </c>
      <c r="B1035" s="1307"/>
      <c r="C1035" s="1307"/>
      <c r="D1035" s="1307"/>
      <c r="E1035" s="1307"/>
      <c r="F1035" s="1307"/>
      <c r="G1035" s="1307"/>
      <c r="H1035" s="1071"/>
      <c r="I1035" s="1072"/>
    </row>
    <row r="1036" spans="1:9">
      <c r="A1036" s="434"/>
      <c r="B1036" s="434"/>
      <c r="C1036" s="434"/>
    </row>
    <row r="1037" spans="1:9">
      <c r="A1037" s="434"/>
      <c r="B1037" s="434"/>
      <c r="C1037" s="434"/>
      <c r="D1037" s="436" t="s">
        <v>2078</v>
      </c>
    </row>
    <row r="1038" spans="1:9">
      <c r="A1038" s="434"/>
      <c r="B1038" s="434"/>
      <c r="C1038" s="434"/>
      <c r="D1038" s="434" t="s">
        <v>2077</v>
      </c>
    </row>
    <row r="1039" spans="1:9">
      <c r="A1039" s="434"/>
      <c r="B1039" s="434"/>
      <c r="C1039" s="434"/>
      <c r="D1039" s="436"/>
    </row>
    <row r="1040" spans="1:9">
      <c r="A1040" s="434"/>
      <c r="B1040" s="520" t="s">
        <v>2650</v>
      </c>
      <c r="C1040" s="434"/>
      <c r="D1040" s="1323" t="s">
        <v>2076</v>
      </c>
      <c r="E1040" s="1323"/>
      <c r="F1040" s="1323"/>
      <c r="I1040" s="436" t="s">
        <v>2188</v>
      </c>
    </row>
    <row r="1041" spans="1:9">
      <c r="A1041" s="434"/>
      <c r="B1041" s="434"/>
      <c r="C1041" s="434"/>
      <c r="D1041" s="1323"/>
      <c r="E1041" s="1323"/>
      <c r="F1041" s="1323"/>
    </row>
    <row r="1042" spans="1:9">
      <c r="A1042" s="434"/>
      <c r="B1042" s="434"/>
      <c r="C1042" s="434"/>
      <c r="D1042" s="1323"/>
      <c r="E1042" s="1323"/>
      <c r="F1042" s="1323"/>
    </row>
    <row r="1043" spans="1:9">
      <c r="A1043" s="434"/>
      <c r="B1043" s="434"/>
      <c r="C1043" s="434"/>
      <c r="D1043" s="1323"/>
      <c r="E1043" s="1323"/>
      <c r="F1043" s="1323"/>
    </row>
    <row r="1044" spans="1:9">
      <c r="A1044" s="434"/>
      <c r="B1044" s="434"/>
      <c r="C1044" s="434"/>
    </row>
    <row r="1045" spans="1:9">
      <c r="A1045" s="434"/>
      <c r="B1045" s="434"/>
      <c r="C1045" s="434"/>
      <c r="D1045" s="436" t="s">
        <v>1485</v>
      </c>
    </row>
    <row r="1046" spans="1:9">
      <c r="A1046" s="434"/>
      <c r="B1046" s="434"/>
      <c r="C1046" s="434"/>
      <c r="D1046" s="434" t="s">
        <v>2079</v>
      </c>
    </row>
    <row r="1047" spans="1:9">
      <c r="A1047" s="434"/>
      <c r="B1047" s="434"/>
      <c r="C1047" s="434"/>
    </row>
    <row r="1048" spans="1:9">
      <c r="A1048" s="434"/>
      <c r="B1048" s="520" t="s">
        <v>2738</v>
      </c>
      <c r="C1048" s="434"/>
      <c r="D1048" s="434" t="s">
        <v>2074</v>
      </c>
      <c r="I1048" s="436" t="s">
        <v>2189</v>
      </c>
    </row>
    <row r="1049" spans="1:9">
      <c r="A1049" s="434"/>
      <c r="B1049" s="434"/>
      <c r="C1049" s="434"/>
    </row>
    <row r="1050" spans="1:9">
      <c r="A1050" s="434"/>
      <c r="B1050" s="520" t="s">
        <v>2650</v>
      </c>
      <c r="C1050" s="434"/>
      <c r="D1050" s="1323" t="s">
        <v>2080</v>
      </c>
      <c r="E1050" s="1323"/>
      <c r="F1050" s="1323"/>
      <c r="I1050" s="436" t="s">
        <v>2190</v>
      </c>
    </row>
    <row r="1051" spans="1:9">
      <c r="A1051" s="434"/>
      <c r="B1051" s="434"/>
      <c r="C1051" s="434"/>
      <c r="D1051" s="1323"/>
      <c r="E1051" s="1323"/>
      <c r="F1051" s="1323"/>
    </row>
    <row r="1052" spans="1:9">
      <c r="A1052" s="434"/>
      <c r="B1052" s="434"/>
      <c r="C1052" s="434"/>
      <c r="D1052" s="1323"/>
      <c r="E1052" s="1323"/>
      <c r="F1052" s="1323"/>
    </row>
    <row r="1053" spans="1:9">
      <c r="A1053" s="434"/>
      <c r="B1053" s="434"/>
      <c r="C1053" s="434"/>
      <c r="D1053" s="1323"/>
      <c r="E1053" s="1323"/>
      <c r="F1053" s="1323"/>
    </row>
    <row r="1054" spans="1:9">
      <c r="A1054" s="434"/>
      <c r="B1054" s="434"/>
      <c r="C1054" s="434"/>
      <c r="D1054" s="1323"/>
      <c r="E1054" s="1323"/>
      <c r="F1054" s="1323"/>
    </row>
    <row r="1055" spans="1:9">
      <c r="A1055" s="434"/>
      <c r="B1055" s="434"/>
      <c r="C1055" s="434"/>
    </row>
    <row r="1056" spans="1:9">
      <c r="A1056" s="1307" t="s">
        <v>2081</v>
      </c>
      <c r="B1056" s="1307"/>
      <c r="C1056" s="1307"/>
      <c r="D1056" s="1307"/>
      <c r="E1056" s="1307"/>
      <c r="F1056" s="1307"/>
      <c r="G1056" s="1307"/>
      <c r="H1056" s="1071"/>
      <c r="I1056" s="1072"/>
    </row>
    <row r="1057" spans="1:9">
      <c r="A1057" s="434"/>
      <c r="B1057" s="434"/>
      <c r="C1057" s="434"/>
    </row>
    <row r="1058" spans="1:9">
      <c r="A1058" s="434"/>
      <c r="B1058" s="434"/>
      <c r="C1058" s="434"/>
    </row>
    <row r="1059" spans="1:9">
      <c r="A1059" s="434"/>
      <c r="B1059" s="520" t="s">
        <v>2738</v>
      </c>
      <c r="C1059" s="434"/>
      <c r="D1059" s="562" t="s">
        <v>2084</v>
      </c>
      <c r="I1059" s="436" t="s">
        <v>2191</v>
      </c>
    </row>
    <row r="1060" spans="1:9">
      <c r="A1060" s="434"/>
      <c r="B1060" s="434"/>
      <c r="C1060" s="434"/>
      <c r="D1060" s="562" t="s">
        <v>2086</v>
      </c>
    </row>
    <row r="1061" spans="1:9">
      <c r="A1061" s="434"/>
      <c r="B1061" s="434"/>
      <c r="C1061" s="434"/>
      <c r="D1061" s="562"/>
    </row>
    <row r="1062" spans="1:9">
      <c r="A1062" s="434"/>
      <c r="B1062" s="520" t="s">
        <v>2650</v>
      </c>
      <c r="C1062" s="434"/>
      <c r="D1062" s="562" t="s">
        <v>2087</v>
      </c>
      <c r="I1062" s="436" t="s">
        <v>2192</v>
      </c>
    </row>
    <row r="1063" spans="1:9">
      <c r="A1063" s="434"/>
      <c r="B1063" s="434"/>
      <c r="C1063" s="434"/>
      <c r="D1063" s="562" t="s">
        <v>2085</v>
      </c>
    </row>
    <row r="1064" spans="1:9">
      <c r="A1064" s="434"/>
      <c r="B1064" s="434"/>
      <c r="C1064" s="434"/>
      <c r="D1064" s="562"/>
    </row>
    <row r="1065" spans="1:9">
      <c r="A1065" s="434"/>
      <c r="B1065" s="520" t="s">
        <v>2650</v>
      </c>
      <c r="C1065" s="434"/>
      <c r="D1065" s="119" t="s">
        <v>2090</v>
      </c>
      <c r="I1065" s="436" t="s">
        <v>2193</v>
      </c>
    </row>
    <row r="1066" spans="1:9">
      <c r="A1066" s="434"/>
      <c r="B1066" s="434"/>
      <c r="C1066" s="434"/>
      <c r="D1066" s="1262" t="s">
        <v>2091</v>
      </c>
      <c r="E1066" s="1262"/>
      <c r="F1066" s="1262"/>
    </row>
    <row r="1067" spans="1:9">
      <c r="A1067" s="434"/>
      <c r="B1067" s="434"/>
      <c r="C1067" s="434"/>
      <c r="D1067" s="1262"/>
      <c r="E1067" s="1262"/>
      <c r="F1067" s="1262"/>
    </row>
    <row r="1068" spans="1:9">
      <c r="A1068" s="434"/>
      <c r="B1068" s="434"/>
      <c r="C1068" s="434"/>
      <c r="D1068" s="1262"/>
      <c r="E1068" s="1262"/>
      <c r="F1068" s="1262"/>
    </row>
    <row r="1069" spans="1:9">
      <c r="A1069" s="434"/>
      <c r="B1069" s="434"/>
      <c r="C1069" s="434"/>
      <c r="D1069" s="1262"/>
      <c r="E1069" s="1262"/>
      <c r="F1069" s="1262"/>
    </row>
    <row r="1070" spans="1:9">
      <c r="A1070" s="434"/>
      <c r="B1070" s="434"/>
      <c r="C1070" s="434"/>
      <c r="D1070" s="119" t="s">
        <v>2089</v>
      </c>
    </row>
    <row r="1071" spans="1:9">
      <c r="A1071" s="434"/>
      <c r="B1071" s="434"/>
      <c r="C1071" s="434"/>
      <c r="D1071" s="119"/>
    </row>
    <row r="1072" spans="1:9">
      <c r="A1072" s="434"/>
      <c r="B1072" s="434"/>
      <c r="C1072" s="434"/>
      <c r="D1072" s="562" t="s">
        <v>2082</v>
      </c>
      <c r="I1072" s="436" t="s">
        <v>2194</v>
      </c>
    </row>
    <row r="1073" spans="1:9">
      <c r="A1073" s="434"/>
      <c r="B1073" s="520" t="s">
        <v>2650</v>
      </c>
      <c r="C1073" s="434"/>
      <c r="D1073" s="1322" t="s">
        <v>2083</v>
      </c>
      <c r="E1073" s="1322"/>
      <c r="F1073" s="1322"/>
    </row>
    <row r="1074" spans="1:9">
      <c r="A1074" s="434"/>
      <c r="B1074" s="434"/>
      <c r="C1074" s="434"/>
      <c r="D1074" s="1322"/>
      <c r="E1074" s="1322"/>
      <c r="F1074" s="1322"/>
    </row>
    <row r="1075" spans="1:9">
      <c r="A1075" s="434"/>
      <c r="B1075" s="434"/>
      <c r="C1075" s="434"/>
      <c r="D1075" s="1322"/>
      <c r="E1075" s="1322"/>
      <c r="F1075" s="1322"/>
    </row>
    <row r="1076" spans="1:9">
      <c r="A1076" s="434"/>
      <c r="B1076" s="434"/>
      <c r="C1076" s="434"/>
      <c r="D1076" s="1322"/>
      <c r="E1076" s="1322"/>
      <c r="F1076" s="1322"/>
    </row>
    <row r="1077" spans="1:9">
      <c r="A1077" s="434"/>
      <c r="B1077" s="434"/>
      <c r="C1077" s="434"/>
      <c r="D1077" s="1322"/>
      <c r="E1077" s="1322"/>
      <c r="F1077" s="1322"/>
    </row>
    <row r="1078" spans="1:9">
      <c r="A1078" s="434"/>
      <c r="B1078" s="434"/>
      <c r="C1078" s="434"/>
      <c r="D1078" s="562" t="s">
        <v>2088</v>
      </c>
    </row>
    <row r="1079" spans="1:9">
      <c r="A1079" s="434"/>
      <c r="B1079" s="434"/>
      <c r="C1079" s="434"/>
    </row>
    <row r="1080" spans="1:9">
      <c r="A1080" s="1307" t="s">
        <v>2093</v>
      </c>
      <c r="B1080" s="1307"/>
      <c r="C1080" s="1307"/>
      <c r="D1080" s="1307"/>
      <c r="E1080" s="1307"/>
      <c r="F1080" s="1307"/>
      <c r="G1080" s="1307"/>
      <c r="H1080" s="1071"/>
      <c r="I1080" s="1072"/>
    </row>
    <row r="1081" spans="1:9">
      <c r="A1081" s="434"/>
      <c r="B1081" s="434"/>
      <c r="C1081" s="434"/>
    </row>
    <row r="1082" spans="1:9">
      <c r="A1082" s="434"/>
      <c r="B1082" s="434"/>
      <c r="C1082" s="434"/>
    </row>
    <row r="1083" spans="1:9" ht="12.75" customHeight="1">
      <c r="A1083" s="434"/>
      <c r="B1083" s="520" t="s">
        <v>2650</v>
      </c>
      <c r="C1083" s="434"/>
      <c r="D1083" s="1324" t="s">
        <v>2311</v>
      </c>
      <c r="E1083" s="1324"/>
      <c r="F1083" s="1324"/>
      <c r="I1083" s="436" t="s">
        <v>2195</v>
      </c>
    </row>
    <row r="1084" spans="1:9">
      <c r="A1084" s="434"/>
      <c r="B1084" s="434"/>
      <c r="C1084" s="434"/>
      <c r="D1084" s="1324"/>
      <c r="E1084" s="1324"/>
      <c r="F1084" s="1324"/>
    </row>
    <row r="1085" spans="1:9">
      <c r="A1085" s="434"/>
      <c r="B1085" s="434"/>
      <c r="C1085" s="434"/>
      <c r="D1085" s="1325" t="s">
        <v>2623</v>
      </c>
      <c r="E1085" s="1262"/>
      <c r="F1085" s="1262"/>
    </row>
    <row r="1086" spans="1:9">
      <c r="A1086" s="434"/>
      <c r="B1086" s="434"/>
      <c r="C1086" s="434"/>
      <c r="D1086" s="562"/>
    </row>
    <row r="1087" spans="1:9">
      <c r="A1087" s="434"/>
      <c r="B1087" s="520" t="s">
        <v>2650</v>
      </c>
      <c r="C1087" s="434"/>
      <c r="D1087" s="1322" t="s">
        <v>2094</v>
      </c>
      <c r="E1087" s="1322"/>
      <c r="F1087" s="1322"/>
      <c r="I1087" s="436" t="s">
        <v>2196</v>
      </c>
    </row>
    <row r="1088" spans="1:9">
      <c r="A1088" s="434"/>
      <c r="B1088" s="434"/>
      <c r="C1088" s="434"/>
      <c r="D1088" s="1322"/>
      <c r="E1088" s="1322"/>
      <c r="F1088" s="1322"/>
    </row>
    <row r="1089" spans="1:9">
      <c r="A1089" s="434"/>
      <c r="B1089" s="434"/>
      <c r="C1089" s="434"/>
      <c r="D1089" s="562"/>
    </row>
    <row r="1090" spans="1:9">
      <c r="A1090" s="434"/>
      <c r="B1090" s="520" t="s">
        <v>2650</v>
      </c>
      <c r="C1090" s="434"/>
      <c r="D1090" s="1322" t="s">
        <v>2240</v>
      </c>
      <c r="E1090" s="1322"/>
      <c r="F1090" s="1322"/>
      <c r="I1090" s="436" t="s">
        <v>2238</v>
      </c>
    </row>
    <row r="1091" spans="1:9">
      <c r="A1091" s="434"/>
      <c r="B1091" s="434"/>
      <c r="C1091" s="434"/>
      <c r="D1091" s="1322"/>
      <c r="E1091" s="1322"/>
      <c r="F1091" s="1322"/>
    </row>
    <row r="1092" spans="1:9">
      <c r="A1092" s="434"/>
      <c r="B1092" s="434"/>
      <c r="C1092" s="434"/>
      <c r="D1092" s="1322"/>
      <c r="E1092" s="1322"/>
      <c r="F1092" s="1322"/>
    </row>
    <row r="1093" spans="1:9">
      <c r="A1093" s="434"/>
      <c r="B1093" s="434"/>
      <c r="C1093" s="434"/>
      <c r="D1093" s="1322"/>
      <c r="E1093" s="1322"/>
      <c r="F1093" s="1322"/>
    </row>
    <row r="1094" spans="1:9">
      <c r="A1094" s="434"/>
      <c r="B1094" s="434"/>
      <c r="C1094" s="434"/>
      <c r="D1094" s="1322"/>
      <c r="E1094" s="1322"/>
      <c r="F1094" s="1322"/>
    </row>
    <row r="1095" spans="1:9">
      <c r="A1095" s="434"/>
      <c r="B1095" s="434"/>
      <c r="C1095" s="434"/>
      <c r="D1095" s="1322"/>
      <c r="E1095" s="1322"/>
      <c r="F1095" s="1322"/>
    </row>
    <row r="1096" spans="1:9">
      <c r="A1096" s="434"/>
      <c r="B1096" s="434"/>
      <c r="C1096" s="434"/>
      <c r="D1096" s="562" t="s">
        <v>2239</v>
      </c>
      <c r="I1096" s="434"/>
    </row>
    <row r="1097" spans="1:9">
      <c r="A1097" s="434"/>
      <c r="B1097" s="520" t="s">
        <v>2650</v>
      </c>
      <c r="C1097" s="434"/>
      <c r="D1097" s="1322" t="s">
        <v>2095</v>
      </c>
      <c r="E1097" s="1322"/>
      <c r="F1097" s="1322"/>
      <c r="I1097" s="436" t="s">
        <v>2197</v>
      </c>
    </row>
    <row r="1098" spans="1:9">
      <c r="A1098" s="434"/>
      <c r="B1098" s="434"/>
      <c r="C1098" s="434"/>
      <c r="D1098" s="1322"/>
      <c r="E1098" s="1322"/>
      <c r="F1098" s="1322"/>
    </row>
    <row r="1099" spans="1:9">
      <c r="A1099" s="434"/>
      <c r="B1099" s="434"/>
      <c r="C1099" s="434"/>
      <c r="D1099" s="1322"/>
      <c r="E1099" s="1322"/>
      <c r="F1099" s="1322"/>
    </row>
    <row r="1100" spans="1:9">
      <c r="A1100" s="434"/>
      <c r="B1100" s="434"/>
      <c r="C1100" s="434"/>
      <c r="D1100" s="562"/>
    </row>
    <row r="1101" spans="1:9">
      <c r="A1101" s="434"/>
      <c r="B1101" s="520" t="s">
        <v>2738</v>
      </c>
      <c r="C1101" s="434"/>
      <c r="D1101" s="1266" t="s">
        <v>2241</v>
      </c>
      <c r="E1101" s="1266"/>
      <c r="F1101" s="1266"/>
      <c r="I1101" s="436" t="s">
        <v>2198</v>
      </c>
    </row>
    <row r="1102" spans="1:9">
      <c r="A1102" s="434"/>
      <c r="B1102" s="434"/>
      <c r="C1102" s="434"/>
      <c r="D1102" s="1266"/>
      <c r="E1102" s="1266"/>
      <c r="F1102" s="1266"/>
    </row>
    <row r="1103" spans="1:9">
      <c r="A1103" s="434"/>
      <c r="B1103" s="434"/>
      <c r="C1103" s="434"/>
      <c r="D1103" s="1266"/>
      <c r="E1103" s="1266"/>
      <c r="F1103" s="1266"/>
    </row>
    <row r="1104" spans="1:9">
      <c r="A1104" s="434"/>
      <c r="B1104" s="434"/>
      <c r="C1104" s="434"/>
      <c r="D1104" s="1017"/>
      <c r="E1104" s="1017"/>
      <c r="F1104" s="1017"/>
    </row>
    <row r="1105" spans="1:9" ht="15.75" customHeight="1">
      <c r="A1105" s="434"/>
      <c r="B1105" s="520" t="s">
        <v>2650</v>
      </c>
      <c r="C1105" s="434"/>
      <c r="D1105" s="1262" t="s">
        <v>2243</v>
      </c>
      <c r="E1105" s="1262"/>
      <c r="F1105" s="1262"/>
      <c r="I1105" s="436" t="s">
        <v>2242</v>
      </c>
    </row>
    <row r="1106" spans="1:9">
      <c r="A1106" s="434"/>
      <c r="B1106" s="434"/>
      <c r="C1106" s="434"/>
      <c r="D1106" s="1262"/>
      <c r="E1106" s="1262"/>
      <c r="F1106" s="1262"/>
    </row>
    <row r="1107" spans="1:9">
      <c r="A1107" s="434"/>
      <c r="B1107" s="434"/>
      <c r="C1107" s="434"/>
      <c r="D1107" s="1262"/>
      <c r="E1107" s="1262"/>
      <c r="F1107" s="1262"/>
    </row>
    <row r="1108" spans="1:9">
      <c r="A1108" s="434"/>
      <c r="B1108" s="434"/>
      <c r="C1108" s="434"/>
      <c r="D1108" s="1262"/>
      <c r="E1108" s="1262"/>
      <c r="F1108" s="1262"/>
    </row>
    <row r="1109" spans="1:9">
      <c r="A1109" s="434"/>
      <c r="B1109" s="434"/>
      <c r="C1109" s="434"/>
      <c r="D1109" s="1017"/>
      <c r="E1109" s="1017"/>
      <c r="F1109" s="1017"/>
    </row>
    <row r="1110" spans="1:9" ht="38.25">
      <c r="A1110" s="434"/>
      <c r="B1110" s="434"/>
      <c r="C1110" s="434"/>
      <c r="I1110" s="448" t="s">
        <v>2473</v>
      </c>
    </row>
    <row r="1111" spans="1:9">
      <c r="A1111" s="434"/>
      <c r="B1111" s="434"/>
      <c r="C1111" s="434"/>
    </row>
    <row r="1112" spans="1:9">
      <c r="A1112" s="434"/>
      <c r="B1112" s="434"/>
      <c r="C1112" s="434"/>
    </row>
    <row r="1113" spans="1:9">
      <c r="A1113" s="434"/>
      <c r="B1113" s="434"/>
      <c r="C1113" s="434"/>
    </row>
    <row r="1114" spans="1:9">
      <c r="A1114" s="434"/>
      <c r="B1114" s="434"/>
      <c r="C1114" s="434"/>
    </row>
    <row r="1115" spans="1:9">
      <c r="A1115" s="434"/>
      <c r="B1115" s="434"/>
      <c r="C1115" s="434"/>
    </row>
    <row r="1116" spans="1:9">
      <c r="A1116" s="434"/>
      <c r="B1116" s="434"/>
      <c r="C1116" s="434"/>
    </row>
    <row r="1117" spans="1:9">
      <c r="A1117" s="434"/>
      <c r="B1117" s="434"/>
      <c r="C1117" s="434"/>
    </row>
    <row r="1118" spans="1:9">
      <c r="A1118" s="434"/>
      <c r="B1118" s="434"/>
      <c r="C1118" s="434"/>
    </row>
    <row r="1119" spans="1:9">
      <c r="A1119" s="434"/>
      <c r="B1119" s="434"/>
      <c r="C1119" s="434"/>
    </row>
    <row r="1120" spans="1:9">
      <c r="A1120" s="434"/>
      <c r="B1120" s="434"/>
      <c r="C1120" s="434"/>
    </row>
    <row r="1121" spans="1:3">
      <c r="A1121" s="434"/>
      <c r="B1121" s="434"/>
      <c r="C1121" s="434"/>
    </row>
    <row r="1122" spans="1:3">
      <c r="A1122" s="434"/>
      <c r="B1122" s="434"/>
      <c r="C1122" s="434"/>
    </row>
    <row r="1123" spans="1:3">
      <c r="A1123" s="434"/>
      <c r="B1123" s="434"/>
      <c r="C1123" s="434"/>
    </row>
    <row r="1124" spans="1:3">
      <c r="A1124" s="434"/>
      <c r="B1124" s="434"/>
      <c r="C1124" s="434"/>
    </row>
    <row r="1125" spans="1:3">
      <c r="A1125" s="434"/>
      <c r="B1125" s="434"/>
      <c r="C1125" s="434"/>
    </row>
    <row r="1126" spans="1:3">
      <c r="A1126" s="434"/>
      <c r="B1126" s="434"/>
      <c r="C1126" s="434"/>
    </row>
    <row r="1127" spans="1:3">
      <c r="A1127" s="434"/>
      <c r="B1127" s="434"/>
      <c r="C1127" s="434"/>
    </row>
    <row r="1128" spans="1:3"/>
    <row r="1129" spans="1:3"/>
    <row r="1130" spans="1:3"/>
    <row r="1131" spans="1:3"/>
    <row r="1132" spans="1:3"/>
    <row r="1133" spans="1:3"/>
    <row r="1134" spans="1:3"/>
    <row r="1135" spans="1:3">
      <c r="A1135" s="434"/>
      <c r="B1135" s="434"/>
      <c r="C1135" s="434"/>
    </row>
    <row r="1136" spans="1:3">
      <c r="A1136" s="434"/>
      <c r="B1136" s="434"/>
      <c r="C1136" s="434"/>
    </row>
    <row r="1137" spans="1:3">
      <c r="A1137" s="434"/>
      <c r="B1137" s="434"/>
      <c r="C1137" s="434"/>
    </row>
    <row r="1138" spans="1:3">
      <c r="A1138" s="434"/>
      <c r="B1138" s="434"/>
      <c r="C1138" s="434"/>
    </row>
    <row r="1139" spans="1:3">
      <c r="A1139" s="434"/>
      <c r="B1139" s="434"/>
      <c r="C1139" s="434"/>
    </row>
    <row r="1140" spans="1:3">
      <c r="A1140" s="434"/>
      <c r="B1140" s="434"/>
      <c r="C1140" s="434"/>
    </row>
    <row r="1141" spans="1:3">
      <c r="A1141" s="434"/>
      <c r="B1141" s="434"/>
      <c r="C1141" s="434"/>
    </row>
    <row r="1142" spans="1:3">
      <c r="A1142" s="434"/>
      <c r="B1142" s="434"/>
      <c r="C1142" s="434"/>
    </row>
    <row r="1143" spans="1:3">
      <c r="A1143" s="434"/>
      <c r="B1143" s="434"/>
      <c r="C1143" s="434"/>
    </row>
    <row r="1144" spans="1:3">
      <c r="A1144" s="434"/>
      <c r="B1144" s="434"/>
      <c r="C1144" s="434"/>
    </row>
    <row r="1145" spans="1:3">
      <c r="A1145" s="434"/>
      <c r="B1145" s="434"/>
      <c r="C1145" s="434"/>
    </row>
    <row r="1146" spans="1:3">
      <c r="A1146" s="434"/>
      <c r="B1146" s="434"/>
      <c r="C1146" s="434"/>
    </row>
    <row r="1147" spans="1:3">
      <c r="A1147" s="434"/>
      <c r="B1147" s="434"/>
      <c r="C1147" s="434"/>
    </row>
    <row r="1148" spans="1:3">
      <c r="A1148" s="434"/>
      <c r="B1148" s="434"/>
      <c r="C1148" s="434"/>
    </row>
    <row r="1149" spans="1:3">
      <c r="A1149" s="434"/>
      <c r="B1149" s="434"/>
      <c r="C1149" s="434"/>
    </row>
    <row r="1150" spans="1:3">
      <c r="A1150" s="434"/>
      <c r="B1150" s="434"/>
      <c r="C1150" s="434"/>
    </row>
    <row r="1151" spans="1:3">
      <c r="A1151" s="434"/>
      <c r="B1151" s="434"/>
      <c r="C1151" s="434"/>
    </row>
    <row r="1152" spans="1:3">
      <c r="A1152" s="434"/>
      <c r="B1152" s="434"/>
      <c r="C1152" s="434"/>
    </row>
    <row r="1153" spans="1:3">
      <c r="A1153" s="434"/>
      <c r="B1153" s="434"/>
      <c r="C1153" s="434"/>
    </row>
    <row r="1154" spans="1:3">
      <c r="A1154" s="434"/>
      <c r="B1154" s="434"/>
      <c r="C1154" s="434"/>
    </row>
    <row r="1155" spans="1:3">
      <c r="A1155" s="434"/>
      <c r="B1155" s="434"/>
      <c r="C1155" s="434"/>
    </row>
    <row r="1156" spans="1:3">
      <c r="A1156" s="434"/>
      <c r="B1156" s="434"/>
      <c r="C1156" s="434"/>
    </row>
    <row r="1157" spans="1:3">
      <c r="A1157" s="434"/>
      <c r="B1157" s="434"/>
      <c r="C1157" s="434"/>
    </row>
    <row r="1158" spans="1:3">
      <c r="A1158" s="434"/>
      <c r="B1158" s="434"/>
      <c r="C1158" s="434"/>
    </row>
    <row r="1159" spans="1:3">
      <c r="A1159" s="434"/>
      <c r="B1159" s="434"/>
      <c r="C1159" s="434"/>
    </row>
    <row r="1160" spans="1:3">
      <c r="A1160" s="434"/>
      <c r="B1160" s="434"/>
      <c r="C1160" s="434"/>
    </row>
    <row r="1161" spans="1:3">
      <c r="A1161" s="434"/>
      <c r="B1161" s="434"/>
      <c r="C1161" s="434"/>
    </row>
    <row r="1162" spans="1:3">
      <c r="A1162" s="434"/>
      <c r="B1162" s="434"/>
      <c r="C1162" s="434"/>
    </row>
    <row r="1163" spans="1:3">
      <c r="A1163" s="434"/>
      <c r="B1163" s="434"/>
      <c r="C1163" s="434"/>
    </row>
    <row r="1164" spans="1:3">
      <c r="A1164" s="434"/>
      <c r="B1164" s="434"/>
      <c r="C1164" s="434"/>
    </row>
    <row r="1165" spans="1:3">
      <c r="A1165" s="434"/>
      <c r="B1165" s="434"/>
      <c r="C1165" s="434"/>
    </row>
    <row r="1166" spans="1:3">
      <c r="A1166" s="434"/>
      <c r="B1166" s="434"/>
      <c r="C1166" s="434"/>
    </row>
    <row r="1167" spans="1:3">
      <c r="A1167" s="434"/>
      <c r="B1167" s="434"/>
      <c r="C1167" s="434"/>
    </row>
    <row r="1168" spans="1:3">
      <c r="A1168" s="434"/>
      <c r="B1168" s="434"/>
      <c r="C1168" s="434"/>
    </row>
    <row r="1169" spans="1:3">
      <c r="A1169" s="434"/>
      <c r="B1169" s="434"/>
      <c r="C1169" s="434"/>
    </row>
    <row r="1170" spans="1:3">
      <c r="A1170" s="434"/>
      <c r="B1170" s="434"/>
      <c r="C1170" s="434"/>
    </row>
    <row r="1171" spans="1:3">
      <c r="A1171" s="434"/>
      <c r="B1171" s="434"/>
      <c r="C1171" s="434"/>
    </row>
    <row r="1172" spans="1:3">
      <c r="A1172" s="434"/>
      <c r="B1172" s="434"/>
      <c r="C1172" s="434"/>
    </row>
    <row r="1173" spans="1:3">
      <c r="A1173" s="434"/>
      <c r="B1173" s="434"/>
      <c r="C1173" s="434"/>
    </row>
    <row r="1174" spans="1:3">
      <c r="A1174" s="434"/>
      <c r="B1174" s="434"/>
      <c r="C1174" s="434"/>
    </row>
    <row r="1175" spans="1:3">
      <c r="A1175" s="434"/>
      <c r="B1175" s="434"/>
      <c r="C1175" s="434"/>
    </row>
    <row r="1176" spans="1:3">
      <c r="A1176" s="434"/>
      <c r="B1176" s="434"/>
      <c r="C1176" s="434"/>
    </row>
    <row r="1177" spans="1:3">
      <c r="A1177" s="434"/>
      <c r="B1177" s="434"/>
      <c r="C1177" s="434"/>
    </row>
    <row r="1178" spans="1:3">
      <c r="A1178" s="434"/>
      <c r="B1178" s="434"/>
      <c r="C1178" s="434"/>
    </row>
    <row r="1179" spans="1:3">
      <c r="A1179" s="434"/>
      <c r="B1179" s="434"/>
      <c r="C1179" s="434"/>
    </row>
    <row r="1180" spans="1:3">
      <c r="A1180" s="434"/>
      <c r="B1180" s="434"/>
      <c r="C1180" s="434"/>
    </row>
    <row r="1181" spans="1:3">
      <c r="A1181" s="434"/>
      <c r="B1181" s="434"/>
      <c r="C1181" s="434"/>
    </row>
    <row r="1182" spans="1:3">
      <c r="A1182" s="434"/>
      <c r="B1182" s="434"/>
      <c r="C1182" s="434"/>
    </row>
    <row r="1183" spans="1:3">
      <c r="A1183" s="434"/>
      <c r="B1183" s="434"/>
      <c r="C1183" s="434"/>
    </row>
    <row r="1184" spans="1:3">
      <c r="A1184" s="434"/>
      <c r="B1184" s="434"/>
      <c r="C1184" s="434"/>
    </row>
    <row r="1185" spans="1:3">
      <c r="A1185" s="434"/>
      <c r="B1185" s="434"/>
      <c r="C1185" s="434"/>
    </row>
    <row r="1186" spans="1:3">
      <c r="A1186" s="434"/>
      <c r="B1186" s="434"/>
      <c r="C1186" s="434"/>
    </row>
    <row r="1187" spans="1:3">
      <c r="A1187" s="434"/>
      <c r="B1187" s="434"/>
      <c r="C1187" s="434"/>
    </row>
    <row r="1188" spans="1:3">
      <c r="A1188" s="434"/>
      <c r="B1188" s="434"/>
      <c r="C1188" s="434"/>
    </row>
    <row r="1189" spans="1:3">
      <c r="A1189" s="434"/>
      <c r="B1189" s="434"/>
      <c r="C1189" s="434"/>
    </row>
    <row r="1190" spans="1:3">
      <c r="A1190" s="434"/>
      <c r="B1190" s="434"/>
      <c r="C1190" s="434"/>
    </row>
    <row r="1191" spans="1:3">
      <c r="A1191" s="434"/>
      <c r="B1191" s="434"/>
      <c r="C1191" s="434"/>
    </row>
    <row r="1192" spans="1:3">
      <c r="A1192" s="434"/>
      <c r="B1192" s="434"/>
      <c r="C1192" s="434"/>
    </row>
    <row r="1193" spans="1:3">
      <c r="A1193" s="434"/>
      <c r="B1193" s="434"/>
      <c r="C1193" s="434"/>
    </row>
    <row r="1194" spans="1:3">
      <c r="A1194" s="434"/>
      <c r="B1194" s="434"/>
      <c r="C1194" s="434"/>
    </row>
    <row r="1195" spans="1:3">
      <c r="A1195" s="434"/>
      <c r="B1195" s="434"/>
      <c r="C1195" s="434"/>
    </row>
    <row r="1196" spans="1:3">
      <c r="A1196" s="434"/>
      <c r="B1196" s="434"/>
      <c r="C1196" s="434"/>
    </row>
    <row r="1197" spans="1:3">
      <c r="A1197" s="434"/>
      <c r="B1197" s="434"/>
      <c r="C1197" s="434"/>
    </row>
    <row r="1198" spans="1:3">
      <c r="A1198" s="434"/>
      <c r="B1198" s="434"/>
      <c r="C1198" s="434"/>
    </row>
    <row r="1199" spans="1:3">
      <c r="A1199" s="434"/>
      <c r="B1199" s="434"/>
      <c r="C1199" s="434"/>
    </row>
    <row r="1200" spans="1:3">
      <c r="A1200" s="434"/>
      <c r="B1200" s="434"/>
      <c r="C1200" s="434"/>
    </row>
    <row r="1201" spans="1:3">
      <c r="A1201" s="434"/>
      <c r="B1201" s="434"/>
      <c r="C1201" s="434"/>
    </row>
    <row r="1202" spans="1:3">
      <c r="A1202" s="434"/>
      <c r="B1202" s="434"/>
      <c r="C1202" s="434"/>
    </row>
    <row r="1203" spans="1:3">
      <c r="A1203" s="434"/>
      <c r="B1203" s="434"/>
      <c r="C1203" s="434"/>
    </row>
    <row r="1204" spans="1:3">
      <c r="A1204" s="434"/>
      <c r="B1204" s="434"/>
      <c r="C1204" s="434"/>
    </row>
    <row r="1205" spans="1:3">
      <c r="A1205" s="434"/>
      <c r="B1205" s="434"/>
      <c r="C1205" s="434"/>
    </row>
    <row r="1206" spans="1:3">
      <c r="A1206" s="434"/>
      <c r="B1206" s="434"/>
      <c r="C1206" s="434"/>
    </row>
    <row r="1207" spans="1:3">
      <c r="A1207" s="434"/>
      <c r="B1207" s="434"/>
      <c r="C1207" s="434"/>
    </row>
    <row r="1208" spans="1:3">
      <c r="A1208" s="434"/>
      <c r="B1208" s="434"/>
      <c r="C1208" s="434"/>
    </row>
    <row r="1209" spans="1:3">
      <c r="A1209" s="434"/>
      <c r="B1209" s="434"/>
      <c r="C1209" s="434"/>
    </row>
    <row r="1210" spans="1:3">
      <c r="A1210" s="434"/>
      <c r="B1210" s="434"/>
      <c r="C1210" s="434"/>
    </row>
    <row r="1211" spans="1:3">
      <c r="A1211" s="434"/>
      <c r="B1211" s="434"/>
      <c r="C1211" s="434"/>
    </row>
    <row r="1212" spans="1:3">
      <c r="A1212" s="434"/>
      <c r="B1212" s="434"/>
      <c r="C1212" s="434"/>
    </row>
    <row r="1213" spans="1:3">
      <c r="A1213" s="434"/>
      <c r="B1213" s="434"/>
      <c r="C1213" s="434"/>
    </row>
    <row r="1214" spans="1:3">
      <c r="A1214" s="434"/>
      <c r="B1214" s="434"/>
      <c r="C1214" s="434"/>
    </row>
    <row r="1215" spans="1:3">
      <c r="A1215" s="434"/>
      <c r="B1215" s="434"/>
      <c r="C1215" s="434"/>
    </row>
    <row r="1216" spans="1:3">
      <c r="A1216" s="434"/>
      <c r="B1216" s="434"/>
      <c r="C1216" s="434"/>
    </row>
    <row r="1217" spans="1:3">
      <c r="A1217" s="434"/>
      <c r="B1217" s="434"/>
      <c r="C1217" s="434"/>
    </row>
    <row r="1218" spans="1:3">
      <c r="A1218" s="434"/>
      <c r="B1218" s="434"/>
      <c r="C1218" s="434"/>
    </row>
    <row r="1219" spans="1:3">
      <c r="A1219" s="434"/>
      <c r="B1219" s="434"/>
      <c r="C1219" s="434"/>
    </row>
    <row r="1220" spans="1:3">
      <c r="A1220" s="434"/>
      <c r="B1220" s="434"/>
      <c r="C1220" s="434"/>
    </row>
    <row r="1221" spans="1:3">
      <c r="A1221" s="434"/>
      <c r="B1221" s="434"/>
      <c r="C1221" s="434"/>
    </row>
    <row r="1222" spans="1:3">
      <c r="A1222" s="434"/>
      <c r="B1222" s="434"/>
      <c r="C1222" s="434"/>
    </row>
    <row r="1223" spans="1:3">
      <c r="A1223" s="434"/>
      <c r="B1223" s="434"/>
      <c r="C1223" s="434"/>
    </row>
    <row r="1224" spans="1:3">
      <c r="A1224" s="434"/>
      <c r="B1224" s="434"/>
      <c r="C1224" s="434"/>
    </row>
    <row r="1225" spans="1:3">
      <c r="A1225" s="434"/>
      <c r="B1225" s="434"/>
      <c r="C1225" s="434"/>
    </row>
    <row r="1226" spans="1:3">
      <c r="A1226" s="434"/>
      <c r="B1226" s="434"/>
      <c r="C1226" s="434"/>
    </row>
    <row r="1227" spans="1:3">
      <c r="A1227" s="434"/>
      <c r="B1227" s="434"/>
      <c r="C1227" s="434"/>
    </row>
    <row r="1228" spans="1:3">
      <c r="A1228" s="434"/>
      <c r="B1228" s="434"/>
      <c r="C1228" s="434"/>
    </row>
    <row r="1229" spans="1:3">
      <c r="A1229" s="434"/>
      <c r="B1229" s="434"/>
      <c r="C1229" s="434"/>
    </row>
    <row r="1230" spans="1:3">
      <c r="A1230" s="434"/>
      <c r="B1230" s="434"/>
      <c r="C1230" s="434"/>
    </row>
    <row r="1231" spans="1:3">
      <c r="A1231" s="434"/>
      <c r="B1231" s="434"/>
      <c r="C1231" s="434"/>
    </row>
    <row r="1232" spans="1:3">
      <c r="A1232" s="434"/>
      <c r="B1232" s="434"/>
      <c r="C1232" s="434"/>
    </row>
    <row r="1233" spans="1:3">
      <c r="A1233" s="434"/>
      <c r="B1233" s="434"/>
      <c r="C1233" s="434"/>
    </row>
    <row r="1234" spans="1:3">
      <c r="A1234" s="434"/>
      <c r="B1234" s="434"/>
      <c r="C1234" s="434"/>
    </row>
    <row r="1235" spans="1:3">
      <c r="A1235" s="434"/>
      <c r="B1235" s="434"/>
      <c r="C1235" s="434"/>
    </row>
    <row r="1236" spans="1:3">
      <c r="A1236" s="434"/>
      <c r="B1236" s="434"/>
      <c r="C1236" s="434"/>
    </row>
    <row r="1237" spans="1:3">
      <c r="A1237" s="434"/>
      <c r="B1237" s="434"/>
      <c r="C1237" s="434"/>
    </row>
    <row r="1238" spans="1:3">
      <c r="A1238" s="434"/>
      <c r="B1238" s="434"/>
      <c r="C1238" s="434"/>
    </row>
    <row r="1239" spans="1:3">
      <c r="A1239" s="434"/>
      <c r="B1239" s="434"/>
      <c r="C1239" s="434"/>
    </row>
    <row r="1240" spans="1:3">
      <c r="A1240" s="434"/>
      <c r="B1240" s="434"/>
      <c r="C1240" s="434"/>
    </row>
    <row r="1241" spans="1:3">
      <c r="A1241" s="434"/>
      <c r="B1241" s="434"/>
      <c r="C1241" s="434"/>
    </row>
    <row r="1242" spans="1:3">
      <c r="A1242" s="434"/>
      <c r="B1242" s="434"/>
      <c r="C1242" s="434"/>
    </row>
    <row r="1243" spans="1:3">
      <c r="A1243" s="434"/>
      <c r="B1243" s="434"/>
      <c r="C1243" s="434"/>
    </row>
    <row r="1244" spans="1:3">
      <c r="A1244" s="434"/>
      <c r="B1244" s="434"/>
      <c r="C1244" s="434"/>
    </row>
    <row r="1245" spans="1:3">
      <c r="A1245" s="434"/>
      <c r="B1245" s="434"/>
      <c r="C1245" s="434"/>
    </row>
    <row r="1246" spans="1:3">
      <c r="A1246" s="434"/>
      <c r="B1246" s="434"/>
      <c r="C1246" s="434"/>
    </row>
    <row r="1247" spans="1:3">
      <c r="A1247" s="434"/>
      <c r="B1247" s="434"/>
      <c r="C1247" s="434"/>
    </row>
    <row r="1248" spans="1:3">
      <c r="A1248" s="434"/>
      <c r="B1248" s="434"/>
      <c r="C1248" s="434"/>
    </row>
    <row r="1249" spans="1:3">
      <c r="A1249" s="434"/>
      <c r="B1249" s="434"/>
      <c r="C1249" s="434"/>
    </row>
    <row r="1250" spans="1:3">
      <c r="A1250" s="434"/>
      <c r="B1250" s="434"/>
      <c r="C1250" s="434"/>
    </row>
    <row r="1251" spans="1:3">
      <c r="A1251" s="434"/>
      <c r="B1251" s="434"/>
      <c r="C1251" s="434"/>
    </row>
    <row r="1252" spans="1:3">
      <c r="A1252" s="434"/>
      <c r="B1252" s="434"/>
      <c r="C1252" s="434"/>
    </row>
    <row r="1253" spans="1:3">
      <c r="A1253" s="434"/>
      <c r="B1253" s="434"/>
      <c r="C1253" s="434"/>
    </row>
    <row r="1254" spans="1:3">
      <c r="A1254" s="434"/>
      <c r="B1254" s="434"/>
      <c r="C1254" s="434"/>
    </row>
    <row r="1255" spans="1:3">
      <c r="A1255" s="434"/>
      <c r="B1255" s="434"/>
      <c r="C1255" s="434"/>
    </row>
    <row r="1256" spans="1:3">
      <c r="A1256" s="434"/>
      <c r="B1256" s="434"/>
      <c r="C1256" s="434"/>
    </row>
    <row r="1257" spans="1:3">
      <c r="A1257" s="434"/>
      <c r="B1257" s="434"/>
      <c r="C1257" s="434"/>
    </row>
    <row r="1258" spans="1:3">
      <c r="A1258" s="434"/>
      <c r="B1258" s="434"/>
      <c r="C1258" s="434"/>
    </row>
    <row r="1259" spans="1:3">
      <c r="A1259" s="434"/>
      <c r="B1259" s="434"/>
      <c r="C1259" s="434"/>
    </row>
    <row r="1260" spans="1:3">
      <c r="A1260" s="434"/>
      <c r="B1260" s="434"/>
      <c r="C1260" s="434"/>
    </row>
    <row r="1261" spans="1:3">
      <c r="A1261" s="434"/>
      <c r="B1261" s="434"/>
      <c r="C1261" s="434"/>
    </row>
    <row r="1262" spans="1:3">
      <c r="A1262" s="434"/>
      <c r="B1262" s="434"/>
      <c r="C1262" s="434"/>
    </row>
    <row r="1263" spans="1:3">
      <c r="A1263" s="434"/>
      <c r="B1263" s="434"/>
      <c r="C1263" s="434"/>
    </row>
    <row r="1264" spans="1:3">
      <c r="A1264" s="434"/>
      <c r="B1264" s="434"/>
      <c r="C1264" s="434"/>
    </row>
    <row r="1265" spans="1:3">
      <c r="A1265" s="434"/>
      <c r="B1265" s="434"/>
      <c r="C1265" s="434"/>
    </row>
    <row r="1266" spans="1:3">
      <c r="A1266" s="434"/>
      <c r="B1266" s="434"/>
      <c r="C1266" s="434"/>
    </row>
    <row r="1267" spans="1:3">
      <c r="A1267" s="434"/>
      <c r="B1267" s="434"/>
      <c r="C1267" s="434"/>
    </row>
    <row r="1268" spans="1:3">
      <c r="A1268" s="434"/>
      <c r="B1268" s="434"/>
      <c r="C1268" s="434"/>
    </row>
    <row r="1269" spans="1:3">
      <c r="A1269" s="434"/>
      <c r="B1269" s="434"/>
      <c r="C1269" s="434"/>
    </row>
    <row r="1270" spans="1:3">
      <c r="A1270" s="434"/>
      <c r="B1270" s="434"/>
      <c r="C1270" s="434"/>
    </row>
    <row r="1271" spans="1:3">
      <c r="A1271" s="434"/>
      <c r="B1271" s="434"/>
      <c r="C1271" s="434"/>
    </row>
    <row r="1272" spans="1:3">
      <c r="A1272" s="434"/>
      <c r="B1272" s="434"/>
      <c r="C1272" s="434"/>
    </row>
    <row r="1273" spans="1:3">
      <c r="A1273" s="434"/>
      <c r="B1273" s="434"/>
      <c r="C1273" s="434"/>
    </row>
    <row r="1274" spans="1:3">
      <c r="A1274" s="434"/>
      <c r="B1274" s="434"/>
      <c r="C1274" s="434"/>
    </row>
    <row r="1275" spans="1:3">
      <c r="A1275" s="434"/>
      <c r="B1275" s="434"/>
      <c r="C1275" s="434"/>
    </row>
    <row r="1276" spans="1:3">
      <c r="A1276" s="434"/>
      <c r="B1276" s="434"/>
      <c r="C1276" s="434"/>
    </row>
    <row r="1277" spans="1:3">
      <c r="A1277" s="434"/>
      <c r="B1277" s="434"/>
      <c r="C1277" s="434"/>
    </row>
    <row r="1278" spans="1:3">
      <c r="A1278" s="434"/>
      <c r="B1278" s="434"/>
      <c r="C1278" s="434"/>
    </row>
    <row r="1279" spans="1:3">
      <c r="A1279" s="434"/>
      <c r="B1279" s="434"/>
      <c r="C1279" s="434"/>
    </row>
    <row r="1280" spans="1:3">
      <c r="A1280" s="434"/>
      <c r="B1280" s="434"/>
      <c r="C1280" s="434"/>
    </row>
    <row r="1281" spans="1:3">
      <c r="A1281" s="434"/>
      <c r="B1281" s="434"/>
      <c r="C1281" s="434"/>
    </row>
    <row r="1282" spans="1:3">
      <c r="A1282" s="434"/>
      <c r="B1282" s="434"/>
      <c r="C1282" s="434"/>
    </row>
    <row r="1283" spans="1:3">
      <c r="A1283" s="434"/>
      <c r="B1283" s="434"/>
      <c r="C1283" s="434"/>
    </row>
    <row r="1284" spans="1:3">
      <c r="A1284" s="434"/>
      <c r="B1284" s="434"/>
      <c r="C1284" s="434"/>
    </row>
    <row r="1285" spans="1:3">
      <c r="A1285" s="434"/>
      <c r="B1285" s="434"/>
      <c r="C1285" s="434"/>
    </row>
    <row r="1286" spans="1:3">
      <c r="A1286" s="434"/>
      <c r="B1286" s="434"/>
      <c r="C1286" s="434"/>
    </row>
    <row r="1287" spans="1:3">
      <c r="A1287" s="434"/>
      <c r="B1287" s="434"/>
      <c r="C1287" s="434"/>
    </row>
    <row r="1288" spans="1:3">
      <c r="A1288" s="434"/>
      <c r="B1288" s="434"/>
      <c r="C1288" s="434"/>
    </row>
    <row r="1289" spans="1:3">
      <c r="A1289" s="434"/>
      <c r="B1289" s="434"/>
      <c r="C1289" s="434"/>
    </row>
    <row r="1290" spans="1:3">
      <c r="A1290" s="434"/>
      <c r="B1290" s="434"/>
      <c r="C1290" s="434"/>
    </row>
    <row r="1291" spans="1:3">
      <c r="A1291" s="434"/>
      <c r="B1291" s="434"/>
      <c r="C1291" s="434"/>
    </row>
    <row r="1292" spans="1:3">
      <c r="A1292" s="434"/>
      <c r="B1292" s="434"/>
      <c r="C1292" s="434"/>
    </row>
    <row r="1293" spans="1:3">
      <c r="A1293" s="434"/>
      <c r="B1293" s="434"/>
      <c r="C1293" s="434"/>
    </row>
    <row r="1294" spans="1:3">
      <c r="A1294" s="434"/>
      <c r="B1294" s="434"/>
      <c r="C1294" s="434"/>
    </row>
    <row r="1295" spans="1:3">
      <c r="A1295" s="434"/>
      <c r="B1295" s="434"/>
      <c r="C1295" s="434"/>
    </row>
    <row r="1296" spans="1:3">
      <c r="A1296" s="434"/>
      <c r="B1296" s="434"/>
      <c r="C1296" s="434"/>
    </row>
    <row r="1297" spans="1:3">
      <c r="A1297" s="434"/>
      <c r="B1297" s="434"/>
      <c r="C1297" s="434"/>
    </row>
    <row r="1298" spans="1:3">
      <c r="A1298" s="434"/>
      <c r="B1298" s="434"/>
      <c r="C1298" s="434"/>
    </row>
    <row r="1299" spans="1:3">
      <c r="A1299" s="434"/>
      <c r="B1299" s="434"/>
      <c r="C1299" s="434"/>
    </row>
    <row r="1300" spans="1:3">
      <c r="A1300" s="434"/>
      <c r="B1300" s="434"/>
      <c r="C1300" s="434"/>
    </row>
    <row r="1301" spans="1:3">
      <c r="A1301" s="434"/>
      <c r="B1301" s="434"/>
      <c r="C1301" s="434"/>
    </row>
    <row r="1302" spans="1:3">
      <c r="A1302" s="434"/>
      <c r="B1302" s="434"/>
      <c r="C1302" s="434"/>
    </row>
    <row r="1303" spans="1:3">
      <c r="A1303" s="434"/>
      <c r="B1303" s="434"/>
      <c r="C1303" s="434"/>
    </row>
    <row r="1304" spans="1:3">
      <c r="A1304" s="434"/>
      <c r="B1304" s="434"/>
      <c r="C1304" s="434"/>
    </row>
    <row r="1305" spans="1:3">
      <c r="A1305" s="434"/>
      <c r="B1305" s="434"/>
      <c r="C1305" s="434"/>
    </row>
    <row r="1306" spans="1:3">
      <c r="A1306" s="434"/>
      <c r="B1306" s="434"/>
      <c r="C1306" s="434"/>
    </row>
    <row r="1307" spans="1:3">
      <c r="A1307" s="434"/>
      <c r="B1307" s="434"/>
      <c r="C1307" s="434"/>
    </row>
    <row r="1308" spans="1:3">
      <c r="A1308" s="434"/>
      <c r="B1308" s="434"/>
      <c r="C1308" s="434"/>
    </row>
    <row r="1309" spans="1:3">
      <c r="A1309" s="434"/>
      <c r="B1309" s="434"/>
      <c r="C1309" s="434"/>
    </row>
    <row r="1310" spans="1:3">
      <c r="A1310" s="434"/>
      <c r="B1310" s="434"/>
      <c r="C1310" s="434"/>
    </row>
    <row r="1311" spans="1:3">
      <c r="A1311" s="434"/>
      <c r="B1311" s="434"/>
      <c r="C1311" s="434"/>
    </row>
    <row r="1312" spans="1:3">
      <c r="A1312" s="434"/>
      <c r="B1312" s="434"/>
      <c r="C1312" s="434"/>
    </row>
    <row r="1313" spans="1:3">
      <c r="A1313" s="434"/>
      <c r="B1313" s="434"/>
      <c r="C1313" s="434"/>
    </row>
    <row r="1314" spans="1:3">
      <c r="A1314" s="434"/>
      <c r="B1314" s="434"/>
      <c r="C1314" s="434"/>
    </row>
    <row r="1315" spans="1:3">
      <c r="A1315" s="434"/>
      <c r="B1315" s="434"/>
      <c r="C1315" s="434"/>
    </row>
    <row r="1316" spans="1:3">
      <c r="A1316" s="434"/>
      <c r="B1316" s="434"/>
      <c r="C1316" s="434"/>
    </row>
    <row r="1317" spans="1:3">
      <c r="A1317" s="434"/>
      <c r="B1317" s="434"/>
      <c r="C1317" s="434"/>
    </row>
    <row r="1318" spans="1:3">
      <c r="A1318" s="434"/>
      <c r="B1318" s="434"/>
      <c r="C1318" s="434"/>
    </row>
    <row r="1319" spans="1:3">
      <c r="A1319" s="434"/>
      <c r="B1319" s="434"/>
      <c r="C1319" s="434"/>
    </row>
    <row r="1320" spans="1:3">
      <c r="A1320" s="434"/>
      <c r="B1320" s="434"/>
      <c r="C1320" s="434"/>
    </row>
    <row r="1321" spans="1:3">
      <c r="A1321" s="434"/>
      <c r="B1321" s="434"/>
      <c r="C1321" s="434"/>
    </row>
    <row r="1322" spans="1:3">
      <c r="A1322" s="434"/>
      <c r="B1322" s="434"/>
      <c r="C1322" s="434"/>
    </row>
    <row r="1323" spans="1:3">
      <c r="A1323" s="434"/>
      <c r="B1323" s="434"/>
      <c r="C1323" s="434"/>
    </row>
    <row r="1324" spans="1:3">
      <c r="A1324" s="434"/>
      <c r="B1324" s="434"/>
      <c r="C1324" s="434"/>
    </row>
    <row r="1325" spans="1:3">
      <c r="A1325" s="434"/>
      <c r="B1325" s="434"/>
      <c r="C1325" s="434"/>
    </row>
    <row r="1326" spans="1:3">
      <c r="A1326" s="434"/>
      <c r="B1326" s="434"/>
      <c r="C1326" s="434"/>
    </row>
    <row r="1327" spans="1:3">
      <c r="A1327" s="434"/>
      <c r="B1327" s="434"/>
      <c r="C1327" s="434"/>
    </row>
    <row r="1328" spans="1:3">
      <c r="A1328" s="434"/>
      <c r="B1328" s="434"/>
      <c r="C1328" s="434"/>
    </row>
    <row r="1329" spans="1:3">
      <c r="A1329" s="434"/>
      <c r="B1329" s="434"/>
      <c r="C1329" s="434"/>
    </row>
    <row r="1330" spans="1:3">
      <c r="A1330" s="434"/>
      <c r="B1330" s="434"/>
      <c r="C1330" s="434"/>
    </row>
    <row r="1331" spans="1:3">
      <c r="A1331" s="434"/>
      <c r="B1331" s="434"/>
      <c r="C1331" s="434"/>
    </row>
    <row r="1332" spans="1:3">
      <c r="A1332" s="434"/>
      <c r="B1332" s="434"/>
      <c r="C1332" s="434"/>
    </row>
    <row r="1333" spans="1:3">
      <c r="A1333" s="434"/>
      <c r="B1333" s="434"/>
      <c r="C1333" s="434"/>
    </row>
    <row r="1334" spans="1:3">
      <c r="A1334" s="434"/>
      <c r="B1334" s="434"/>
      <c r="C1334" s="434"/>
    </row>
    <row r="1335" spans="1:3">
      <c r="A1335" s="434"/>
      <c r="B1335" s="434"/>
      <c r="C1335" s="434"/>
    </row>
    <row r="1336" spans="1:3">
      <c r="A1336" s="434"/>
      <c r="B1336" s="434"/>
      <c r="C1336" s="434"/>
    </row>
    <row r="1337" spans="1:3">
      <c r="A1337" s="434"/>
      <c r="B1337" s="434"/>
      <c r="C1337" s="434"/>
    </row>
    <row r="1338" spans="1:3">
      <c r="A1338" s="434"/>
      <c r="B1338" s="434"/>
      <c r="C1338" s="434"/>
    </row>
    <row r="1339" spans="1:3">
      <c r="A1339" s="434"/>
      <c r="B1339" s="434"/>
      <c r="C1339" s="434"/>
    </row>
    <row r="1340" spans="1:3">
      <c r="A1340" s="434"/>
      <c r="B1340" s="434"/>
      <c r="C1340" s="434"/>
    </row>
    <row r="1341" spans="1:3">
      <c r="A1341" s="434"/>
      <c r="B1341" s="434"/>
      <c r="C1341" s="434"/>
    </row>
    <row r="1342" spans="1:3">
      <c r="A1342" s="434"/>
      <c r="B1342" s="434"/>
      <c r="C1342" s="434"/>
    </row>
    <row r="1343" spans="1:3">
      <c r="A1343" s="434"/>
      <c r="B1343" s="434"/>
      <c r="C1343" s="434"/>
    </row>
    <row r="1344" spans="1:3">
      <c r="A1344" s="434"/>
      <c r="B1344" s="434"/>
      <c r="C1344" s="434"/>
    </row>
    <row r="1345" spans="1:3">
      <c r="A1345" s="434"/>
      <c r="B1345" s="434"/>
      <c r="C1345" s="434"/>
    </row>
    <row r="1346" spans="1:3">
      <c r="A1346" s="434"/>
      <c r="B1346" s="434"/>
      <c r="C1346" s="434"/>
    </row>
    <row r="1347" spans="1:3">
      <c r="A1347" s="434"/>
      <c r="B1347" s="434"/>
      <c r="C1347" s="434"/>
    </row>
    <row r="1348" spans="1:3">
      <c r="A1348" s="434"/>
      <c r="B1348" s="434"/>
      <c r="C1348" s="434"/>
    </row>
    <row r="1349" spans="1:3">
      <c r="A1349" s="434"/>
      <c r="B1349" s="434"/>
      <c r="C1349" s="434"/>
    </row>
    <row r="1350" spans="1:3">
      <c r="A1350" s="434"/>
      <c r="B1350" s="434"/>
      <c r="C1350" s="434"/>
    </row>
    <row r="1351" spans="1:3">
      <c r="A1351" s="434"/>
      <c r="B1351" s="434"/>
      <c r="C1351" s="434"/>
    </row>
    <row r="1352" spans="1:3">
      <c r="A1352" s="434"/>
      <c r="B1352" s="434"/>
      <c r="C1352" s="434"/>
    </row>
    <row r="1353" spans="1:3">
      <c r="A1353" s="434"/>
      <c r="B1353" s="434"/>
      <c r="C1353" s="434"/>
    </row>
    <row r="1354" spans="1:3">
      <c r="A1354" s="434"/>
      <c r="B1354" s="434"/>
      <c r="C1354" s="434"/>
    </row>
    <row r="1355" spans="1:3">
      <c r="A1355" s="434"/>
      <c r="B1355" s="434"/>
      <c r="C1355" s="434"/>
    </row>
    <row r="1356" spans="1:3">
      <c r="A1356" s="434"/>
      <c r="B1356" s="434"/>
      <c r="C1356" s="434"/>
    </row>
    <row r="1357" spans="1:3">
      <c r="A1357" s="434"/>
      <c r="B1357" s="434"/>
      <c r="C1357" s="434"/>
    </row>
    <row r="1358" spans="1:3">
      <c r="A1358" s="434"/>
      <c r="B1358" s="434"/>
      <c r="C1358" s="434"/>
    </row>
    <row r="1359" spans="1:3">
      <c r="A1359" s="434"/>
      <c r="B1359" s="434"/>
      <c r="C1359" s="434"/>
    </row>
    <row r="1360" spans="1:3">
      <c r="A1360" s="434"/>
      <c r="B1360" s="434"/>
      <c r="C1360" s="434"/>
    </row>
    <row r="1361" spans="1:3">
      <c r="A1361" s="434"/>
      <c r="B1361" s="434"/>
      <c r="C1361" s="434"/>
    </row>
    <row r="1362" spans="1:3">
      <c r="A1362" s="434"/>
      <c r="B1362" s="434"/>
      <c r="C1362" s="434"/>
    </row>
    <row r="1363" spans="1:3">
      <c r="A1363" s="434"/>
      <c r="B1363" s="434"/>
      <c r="C1363" s="434"/>
    </row>
    <row r="1364" spans="1:3">
      <c r="A1364" s="434"/>
      <c r="B1364" s="434"/>
      <c r="C1364" s="434"/>
    </row>
    <row r="1365" spans="1:3">
      <c r="A1365" s="434"/>
      <c r="B1365" s="434"/>
      <c r="C1365" s="434"/>
    </row>
    <row r="1366" spans="1:3">
      <c r="A1366" s="434"/>
      <c r="B1366" s="434"/>
      <c r="C1366" s="434"/>
    </row>
    <row r="1367" spans="1:3">
      <c r="A1367" s="434"/>
      <c r="B1367" s="434"/>
      <c r="C1367" s="434"/>
    </row>
    <row r="1368" spans="1:3">
      <c r="A1368" s="434"/>
      <c r="B1368" s="434"/>
      <c r="C1368" s="434"/>
    </row>
    <row r="1369" spans="1:3">
      <c r="A1369" s="434"/>
      <c r="B1369" s="434"/>
      <c r="C1369" s="434"/>
    </row>
    <row r="1370" spans="1:3">
      <c r="A1370" s="434"/>
      <c r="B1370" s="434"/>
      <c r="C1370" s="434"/>
    </row>
    <row r="1371" spans="1:3">
      <c r="A1371" s="434"/>
      <c r="B1371" s="434"/>
      <c r="C1371" s="434"/>
    </row>
    <row r="1372" spans="1:3">
      <c r="A1372" s="434"/>
      <c r="B1372" s="434"/>
      <c r="C1372" s="434"/>
    </row>
    <row r="1373" spans="1:3">
      <c r="A1373" s="434"/>
      <c r="B1373" s="434"/>
      <c r="C1373" s="434"/>
    </row>
    <row r="1374" spans="1:3">
      <c r="A1374" s="434"/>
      <c r="B1374" s="434"/>
      <c r="C1374" s="434"/>
    </row>
    <row r="1375" spans="1:3"/>
    <row r="1376" spans="1:3"/>
    <row r="1377" spans="1:3">
      <c r="A1377" s="434"/>
      <c r="B1377" s="434"/>
      <c r="C1377" s="434"/>
    </row>
    <row r="1378" spans="1:3">
      <c r="A1378" s="434"/>
      <c r="B1378" s="434"/>
      <c r="C1378" s="434"/>
    </row>
    <row r="1379" spans="1:3">
      <c r="A1379" s="434"/>
      <c r="B1379" s="434"/>
      <c r="C1379" s="434"/>
    </row>
    <row r="1380" spans="1:3">
      <c r="A1380" s="434"/>
      <c r="B1380" s="434"/>
      <c r="C1380" s="434"/>
    </row>
    <row r="1381" spans="1:3">
      <c r="A1381" s="434"/>
      <c r="B1381" s="434"/>
      <c r="C1381" s="434"/>
    </row>
    <row r="1382" spans="1:3">
      <c r="A1382" s="434"/>
      <c r="B1382" s="434"/>
      <c r="C1382" s="434"/>
    </row>
    <row r="1383" spans="1:3">
      <c r="A1383" s="434"/>
      <c r="B1383" s="434"/>
      <c r="C1383" s="434"/>
    </row>
    <row r="1384" spans="1:3">
      <c r="A1384" s="434"/>
      <c r="B1384" s="434"/>
      <c r="C1384" s="434"/>
    </row>
    <row r="1385" spans="1:3">
      <c r="A1385" s="434"/>
      <c r="B1385" s="434"/>
      <c r="C1385" s="434"/>
    </row>
    <row r="1386" spans="1:3">
      <c r="A1386" s="434"/>
      <c r="B1386" s="434"/>
      <c r="C1386" s="434"/>
    </row>
    <row r="1387" spans="1:3">
      <c r="A1387" s="434"/>
      <c r="B1387" s="434"/>
      <c r="C1387" s="434"/>
    </row>
    <row r="1388" spans="1:3">
      <c r="A1388" s="434"/>
      <c r="B1388" s="434"/>
      <c r="C1388" s="434"/>
    </row>
    <row r="1389" spans="1:3">
      <c r="A1389" s="434"/>
      <c r="B1389" s="434"/>
      <c r="C1389" s="434"/>
    </row>
    <row r="1390" spans="1:3">
      <c r="A1390" s="434"/>
      <c r="B1390" s="434"/>
      <c r="C1390" s="434"/>
    </row>
    <row r="1391" spans="1:3">
      <c r="A1391" s="434"/>
      <c r="B1391" s="434"/>
      <c r="C1391" s="434"/>
    </row>
    <row r="1392" spans="1:3">
      <c r="A1392" s="434"/>
      <c r="B1392" s="434"/>
      <c r="C1392" s="434"/>
    </row>
    <row r="1393" spans="1:3">
      <c r="A1393" s="434"/>
      <c r="B1393" s="434"/>
      <c r="C1393" s="434"/>
    </row>
    <row r="1394" spans="1:3">
      <c r="A1394" s="434"/>
      <c r="B1394" s="434"/>
      <c r="C1394" s="434"/>
    </row>
    <row r="1395" spans="1:3">
      <c r="A1395" s="434"/>
      <c r="B1395" s="434"/>
      <c r="C1395" s="434"/>
    </row>
    <row r="1396" spans="1:3">
      <c r="A1396" s="434"/>
      <c r="B1396" s="434"/>
      <c r="C1396" s="434"/>
    </row>
    <row r="1397" spans="1:3">
      <c r="A1397" s="434"/>
      <c r="B1397" s="434"/>
      <c r="C1397" s="434"/>
    </row>
    <row r="1398" spans="1:3">
      <c r="A1398" s="434"/>
      <c r="B1398" s="434"/>
      <c r="C1398" s="434"/>
    </row>
    <row r="1399" spans="1:3">
      <c r="A1399" s="434"/>
      <c r="B1399" s="434"/>
      <c r="C1399" s="434"/>
    </row>
    <row r="1400" spans="1:3">
      <c r="A1400" s="434"/>
      <c r="B1400" s="434"/>
      <c r="C1400" s="434"/>
    </row>
    <row r="1401" spans="1:3">
      <c r="A1401" s="434"/>
      <c r="B1401" s="434"/>
      <c r="C1401" s="434"/>
    </row>
    <row r="1402" spans="1:3">
      <c r="A1402" s="434"/>
      <c r="B1402" s="434"/>
      <c r="C1402" s="434"/>
    </row>
    <row r="1403" spans="1:3">
      <c r="A1403" s="434"/>
      <c r="B1403" s="434"/>
      <c r="C1403" s="434"/>
    </row>
    <row r="1404" spans="1:3">
      <c r="A1404" s="434"/>
      <c r="B1404" s="434"/>
      <c r="C1404" s="434"/>
    </row>
    <row r="1405" spans="1:3">
      <c r="A1405" s="434"/>
      <c r="B1405" s="434"/>
      <c r="C1405" s="434"/>
    </row>
    <row r="1406" spans="1:3">
      <c r="A1406" s="434"/>
      <c r="B1406" s="434"/>
      <c r="C1406" s="434"/>
    </row>
    <row r="1407" spans="1:3">
      <c r="A1407" s="434"/>
      <c r="B1407" s="434"/>
      <c r="C1407" s="434"/>
    </row>
    <row r="1408" spans="1:3">
      <c r="A1408" s="434"/>
      <c r="B1408" s="434"/>
      <c r="C1408" s="434"/>
    </row>
    <row r="1409" spans="1:3">
      <c r="A1409" s="434"/>
      <c r="B1409" s="434"/>
      <c r="C1409" s="434"/>
    </row>
    <row r="1410" spans="1:3">
      <c r="A1410" s="434"/>
      <c r="B1410" s="434"/>
      <c r="C1410" s="434"/>
    </row>
    <row r="1411" spans="1:3">
      <c r="A1411" s="434"/>
      <c r="B1411" s="434"/>
      <c r="C1411" s="434"/>
    </row>
    <row r="1412" spans="1:3">
      <c r="A1412" s="434"/>
      <c r="B1412" s="434"/>
      <c r="C1412" s="434"/>
    </row>
    <row r="1413" spans="1:3">
      <c r="A1413" s="434"/>
      <c r="B1413" s="434"/>
      <c r="C1413" s="434"/>
    </row>
    <row r="1414" spans="1:3">
      <c r="A1414" s="434"/>
      <c r="B1414" s="434"/>
      <c r="C1414" s="434"/>
    </row>
    <row r="1415" spans="1:3">
      <c r="A1415" s="434"/>
      <c r="B1415" s="434"/>
      <c r="C1415" s="434"/>
    </row>
    <row r="1416" spans="1:3">
      <c r="A1416" s="434"/>
      <c r="B1416" s="434"/>
      <c r="C1416" s="434"/>
    </row>
    <row r="1417" spans="1:3">
      <c r="A1417" s="434"/>
      <c r="B1417" s="434"/>
      <c r="C1417" s="434"/>
    </row>
    <row r="1418" spans="1:3">
      <c r="A1418" s="434"/>
      <c r="B1418" s="434"/>
      <c r="C1418" s="434"/>
    </row>
    <row r="1419" spans="1:3">
      <c r="A1419" s="434"/>
      <c r="B1419" s="434"/>
      <c r="C1419" s="434"/>
    </row>
    <row r="1420" spans="1:3">
      <c r="A1420" s="434"/>
      <c r="B1420" s="434"/>
      <c r="C1420" s="434"/>
    </row>
    <row r="1421" spans="1:3">
      <c r="A1421" s="434"/>
      <c r="B1421" s="434"/>
      <c r="C1421" s="434"/>
    </row>
    <row r="1422" spans="1:3">
      <c r="A1422" s="434"/>
      <c r="B1422" s="434"/>
      <c r="C1422" s="434"/>
    </row>
    <row r="1423" spans="1:3">
      <c r="A1423" s="434"/>
      <c r="B1423" s="434"/>
      <c r="C1423" s="434"/>
    </row>
    <row r="1424" spans="1:3">
      <c r="A1424" s="434"/>
      <c r="B1424" s="434"/>
      <c r="C1424" s="434"/>
    </row>
    <row r="1425" spans="1:3">
      <c r="A1425" s="434"/>
      <c r="B1425" s="434"/>
      <c r="C1425" s="434"/>
    </row>
    <row r="1426" spans="1:3">
      <c r="A1426" s="434"/>
      <c r="B1426" s="434"/>
      <c r="C1426" s="434"/>
    </row>
    <row r="1427" spans="1:3">
      <c r="A1427" s="434"/>
      <c r="B1427" s="434"/>
      <c r="C1427" s="434"/>
    </row>
    <row r="1428" spans="1:3">
      <c r="A1428" s="434"/>
      <c r="B1428" s="434"/>
      <c r="C1428" s="434"/>
    </row>
    <row r="1429" spans="1:3">
      <c r="A1429" s="434"/>
      <c r="B1429" s="434"/>
      <c r="C1429" s="434"/>
    </row>
    <row r="1430" spans="1:3">
      <c r="A1430" s="434"/>
      <c r="B1430" s="434"/>
      <c r="C1430" s="434"/>
    </row>
    <row r="1431" spans="1:3">
      <c r="A1431" s="434"/>
      <c r="B1431" s="434"/>
      <c r="C1431" s="434"/>
    </row>
    <row r="1432" spans="1:3">
      <c r="A1432" s="434"/>
      <c r="B1432" s="434"/>
      <c r="C1432" s="434"/>
    </row>
    <row r="1433" spans="1:3">
      <c r="A1433" s="434"/>
      <c r="B1433" s="434"/>
      <c r="C1433" s="434"/>
    </row>
    <row r="1434" spans="1:3">
      <c r="A1434" s="434"/>
      <c r="B1434" s="434"/>
      <c r="C1434" s="434"/>
    </row>
    <row r="1435" spans="1:3">
      <c r="A1435" s="434"/>
      <c r="B1435" s="434"/>
      <c r="C1435" s="434"/>
    </row>
    <row r="1436" spans="1:3">
      <c r="A1436" s="434"/>
      <c r="B1436" s="434"/>
      <c r="C1436" s="434"/>
    </row>
    <row r="1437" spans="1:3">
      <c r="A1437" s="434"/>
      <c r="B1437" s="434"/>
      <c r="C1437" s="434"/>
    </row>
    <row r="1438" spans="1:3">
      <c r="A1438" s="434"/>
      <c r="B1438" s="434"/>
      <c r="C1438" s="434"/>
    </row>
    <row r="1439" spans="1:3">
      <c r="A1439" s="434"/>
      <c r="B1439" s="434"/>
      <c r="C1439" s="434"/>
    </row>
    <row r="1440" spans="1:3">
      <c r="A1440" s="434"/>
      <c r="B1440" s="434"/>
      <c r="C1440" s="434"/>
    </row>
    <row r="1441" spans="1:3">
      <c r="A1441" s="434"/>
      <c r="B1441" s="434"/>
      <c r="C1441" s="434"/>
    </row>
    <row r="1442" spans="1:3">
      <c r="A1442" s="434"/>
      <c r="B1442" s="434"/>
      <c r="C1442" s="434"/>
    </row>
    <row r="1443" spans="1:3">
      <c r="A1443" s="434"/>
      <c r="B1443" s="434"/>
      <c r="C1443" s="434"/>
    </row>
    <row r="1444" spans="1:3">
      <c r="A1444" s="434"/>
      <c r="B1444" s="434"/>
      <c r="C1444" s="434"/>
    </row>
    <row r="1445" spans="1:3">
      <c r="A1445" s="434"/>
      <c r="B1445" s="434"/>
      <c r="C1445" s="434"/>
    </row>
    <row r="1446" spans="1:3">
      <c r="A1446" s="434"/>
      <c r="B1446" s="434"/>
      <c r="C1446" s="434"/>
    </row>
    <row r="1447" spans="1:3">
      <c r="A1447" s="434"/>
      <c r="B1447" s="434"/>
      <c r="C1447" s="434"/>
    </row>
    <row r="1448" spans="1:3">
      <c r="A1448" s="434"/>
      <c r="B1448" s="434"/>
      <c r="C1448" s="434"/>
    </row>
    <row r="1449" spans="1:3">
      <c r="A1449" s="434"/>
      <c r="B1449" s="434"/>
      <c r="C1449" s="434"/>
    </row>
    <row r="1450" spans="1:3">
      <c r="A1450" s="434"/>
      <c r="B1450" s="434"/>
      <c r="C1450" s="434"/>
    </row>
    <row r="1451" spans="1:3">
      <c r="A1451" s="434"/>
      <c r="B1451" s="434"/>
      <c r="C1451" s="434"/>
    </row>
    <row r="1452" spans="1:3">
      <c r="A1452" s="434"/>
      <c r="B1452" s="434"/>
      <c r="C1452" s="434"/>
    </row>
    <row r="1453" spans="1:3">
      <c r="A1453" s="434"/>
      <c r="B1453" s="434"/>
      <c r="C1453" s="434"/>
    </row>
    <row r="1454" spans="1:3">
      <c r="A1454" s="434"/>
      <c r="B1454" s="434"/>
      <c r="C1454" s="434"/>
    </row>
    <row r="1455" spans="1:3">
      <c r="A1455" s="434"/>
      <c r="B1455" s="434"/>
      <c r="C1455" s="434"/>
    </row>
    <row r="1456" spans="1:3">
      <c r="A1456" s="434"/>
      <c r="B1456" s="434"/>
      <c r="C1456" s="434"/>
    </row>
    <row r="1457" spans="1:3">
      <c r="A1457" s="434"/>
      <c r="B1457" s="434"/>
      <c r="C1457" s="434"/>
    </row>
    <row r="1458" spans="1:3">
      <c r="A1458" s="434"/>
      <c r="B1458" s="434"/>
      <c r="C1458" s="434"/>
    </row>
    <row r="1459" spans="1:3">
      <c r="A1459" s="434"/>
      <c r="B1459" s="434"/>
      <c r="C1459" s="434"/>
    </row>
    <row r="1460" spans="1:3">
      <c r="A1460" s="434"/>
      <c r="B1460" s="434"/>
      <c r="C1460" s="434"/>
    </row>
    <row r="1461" spans="1:3">
      <c r="A1461" s="434"/>
      <c r="B1461" s="434"/>
      <c r="C1461" s="434"/>
    </row>
    <row r="1462" spans="1:3">
      <c r="A1462" s="434"/>
      <c r="B1462" s="434"/>
      <c r="C1462" s="434"/>
    </row>
    <row r="1463" spans="1:3">
      <c r="A1463" s="434"/>
      <c r="B1463" s="434"/>
      <c r="C1463" s="434"/>
    </row>
    <row r="1464" spans="1:3">
      <c r="A1464" s="434"/>
      <c r="B1464" s="434"/>
      <c r="C1464" s="434"/>
    </row>
    <row r="1465" spans="1:3">
      <c r="A1465" s="434"/>
      <c r="B1465" s="434"/>
      <c r="C1465" s="434"/>
    </row>
    <row r="1466" spans="1:3">
      <c r="A1466" s="434"/>
      <c r="B1466" s="434"/>
      <c r="C1466" s="434"/>
    </row>
    <row r="1467" spans="1:3">
      <c r="A1467" s="434"/>
      <c r="B1467" s="434"/>
      <c r="C1467" s="434"/>
    </row>
    <row r="1468" spans="1:3">
      <c r="A1468" s="434"/>
      <c r="B1468" s="434"/>
      <c r="C1468" s="434"/>
    </row>
    <row r="1469" spans="1:3">
      <c r="A1469" s="434"/>
      <c r="B1469" s="434"/>
      <c r="C1469" s="434"/>
    </row>
    <row r="1470" spans="1:3">
      <c r="A1470" s="434"/>
      <c r="B1470" s="434"/>
      <c r="C1470" s="434"/>
    </row>
    <row r="1471" spans="1:3">
      <c r="A1471" s="434"/>
      <c r="B1471" s="434"/>
      <c r="C1471" s="434"/>
    </row>
    <row r="1472" spans="1:3">
      <c r="A1472" s="434"/>
      <c r="B1472" s="434"/>
      <c r="C1472" s="434"/>
    </row>
    <row r="1473" spans="1:3">
      <c r="A1473" s="434"/>
      <c r="B1473" s="434"/>
      <c r="C1473" s="434"/>
    </row>
    <row r="1474" spans="1:3">
      <c r="A1474" s="434"/>
      <c r="B1474" s="434"/>
      <c r="C1474" s="434"/>
    </row>
    <row r="1475" spans="1:3">
      <c r="A1475" s="434"/>
      <c r="B1475" s="434"/>
      <c r="C1475" s="434"/>
    </row>
    <row r="1476" spans="1:3">
      <c r="A1476" s="434"/>
      <c r="B1476" s="434"/>
      <c r="C1476" s="434"/>
    </row>
    <row r="1477" spans="1:3">
      <c r="A1477" s="434"/>
      <c r="B1477" s="434"/>
      <c r="C1477" s="434"/>
    </row>
    <row r="1478" spans="1:3">
      <c r="A1478" s="434"/>
      <c r="B1478" s="434"/>
      <c r="C1478" s="434"/>
    </row>
    <row r="1479" spans="1:3">
      <c r="A1479" s="434"/>
      <c r="B1479" s="434"/>
      <c r="C1479" s="434"/>
    </row>
    <row r="1480" spans="1:3">
      <c r="A1480" s="434"/>
      <c r="B1480" s="434"/>
      <c r="C1480" s="434"/>
    </row>
    <row r="1481" spans="1:3">
      <c r="A1481" s="434"/>
      <c r="B1481" s="434"/>
      <c r="C1481" s="434"/>
    </row>
    <row r="1482" spans="1:3">
      <c r="A1482" s="434"/>
      <c r="B1482" s="434"/>
      <c r="C1482" s="434"/>
    </row>
    <row r="1483" spans="1:3">
      <c r="A1483" s="434"/>
      <c r="B1483" s="434"/>
      <c r="C1483" s="434"/>
    </row>
    <row r="1484" spans="1:3">
      <c r="A1484" s="434"/>
      <c r="B1484" s="434"/>
      <c r="C1484" s="434"/>
    </row>
    <row r="1485" spans="1:3">
      <c r="A1485" s="434"/>
      <c r="B1485" s="434"/>
      <c r="C1485" s="434"/>
    </row>
    <row r="1486" spans="1:3">
      <c r="A1486" s="434"/>
      <c r="B1486" s="434"/>
      <c r="C1486" s="434"/>
    </row>
    <row r="1487" spans="1:3">
      <c r="A1487" s="434"/>
      <c r="B1487" s="434"/>
      <c r="C1487" s="434"/>
    </row>
    <row r="1488" spans="1:3">
      <c r="A1488" s="434"/>
      <c r="B1488" s="434"/>
      <c r="C1488" s="434"/>
    </row>
    <row r="1489" spans="1:3">
      <c r="A1489" s="434"/>
      <c r="B1489" s="434"/>
      <c r="C1489" s="434"/>
    </row>
    <row r="1490" spans="1:3">
      <c r="A1490" s="434"/>
      <c r="B1490" s="434"/>
      <c r="C1490" s="434"/>
    </row>
    <row r="1491" spans="1:3">
      <c r="A1491" s="434"/>
      <c r="B1491" s="434"/>
      <c r="C1491" s="434"/>
    </row>
    <row r="1492" spans="1:3">
      <c r="A1492" s="434"/>
      <c r="B1492" s="434"/>
      <c r="C1492" s="434"/>
    </row>
    <row r="1493" spans="1:3">
      <c r="A1493" s="434"/>
      <c r="B1493" s="434"/>
      <c r="C1493" s="434"/>
    </row>
    <row r="1494" spans="1:3">
      <c r="A1494" s="434"/>
      <c r="B1494" s="434"/>
      <c r="C1494" s="434"/>
    </row>
    <row r="1495" spans="1:3">
      <c r="A1495" s="434"/>
      <c r="B1495" s="434"/>
      <c r="C1495" s="434"/>
    </row>
    <row r="1496" spans="1:3">
      <c r="A1496" s="434"/>
      <c r="B1496" s="434"/>
      <c r="C1496" s="434"/>
    </row>
    <row r="1497" spans="1:3">
      <c r="A1497" s="434"/>
      <c r="B1497" s="434"/>
      <c r="C1497" s="434"/>
    </row>
    <row r="1498" spans="1:3">
      <c r="A1498" s="434"/>
      <c r="B1498" s="434"/>
      <c r="C1498" s="434"/>
    </row>
    <row r="1499" spans="1:3">
      <c r="A1499" s="434"/>
      <c r="B1499" s="434"/>
      <c r="C1499" s="434"/>
    </row>
    <row r="1500" spans="1:3">
      <c r="A1500" s="434"/>
      <c r="B1500" s="434"/>
      <c r="C1500" s="434"/>
    </row>
    <row r="1501" spans="1:3">
      <c r="A1501" s="434"/>
      <c r="B1501" s="434"/>
      <c r="C1501" s="434"/>
    </row>
    <row r="1502" spans="1:3">
      <c r="A1502" s="434"/>
      <c r="B1502" s="434"/>
      <c r="C1502" s="434"/>
    </row>
    <row r="1503" spans="1:3">
      <c r="A1503" s="434"/>
      <c r="B1503" s="434"/>
      <c r="C1503" s="434"/>
    </row>
    <row r="1504" spans="1:3">
      <c r="A1504" s="434"/>
      <c r="B1504" s="434"/>
      <c r="C1504" s="434"/>
    </row>
    <row r="1505" spans="1:3">
      <c r="A1505" s="434"/>
      <c r="B1505" s="434"/>
      <c r="C1505" s="434"/>
    </row>
    <row r="1506" spans="1:3">
      <c r="A1506" s="434"/>
      <c r="B1506" s="434"/>
      <c r="C1506" s="434"/>
    </row>
    <row r="1507" spans="1:3">
      <c r="A1507" s="434"/>
      <c r="B1507" s="434"/>
      <c r="C1507" s="434"/>
    </row>
    <row r="1508" spans="1:3">
      <c r="A1508" s="434"/>
      <c r="B1508" s="434"/>
      <c r="C1508" s="434"/>
    </row>
    <row r="1509" spans="1:3">
      <c r="A1509" s="434"/>
      <c r="B1509" s="434"/>
      <c r="C1509" s="434"/>
    </row>
    <row r="1510" spans="1:3">
      <c r="A1510" s="434"/>
      <c r="B1510" s="434"/>
      <c r="C1510" s="434"/>
    </row>
    <row r="1511" spans="1:3">
      <c r="A1511" s="434"/>
      <c r="B1511" s="434"/>
      <c r="C1511" s="434"/>
    </row>
    <row r="1512" spans="1:3">
      <c r="A1512" s="434"/>
      <c r="B1512" s="434"/>
      <c r="C1512" s="434"/>
    </row>
    <row r="1513" spans="1:3">
      <c r="A1513" s="434"/>
      <c r="B1513" s="434"/>
      <c r="C1513" s="434"/>
    </row>
    <row r="1514" spans="1:3">
      <c r="A1514" s="434"/>
      <c r="B1514" s="434"/>
      <c r="C1514" s="434"/>
    </row>
    <row r="1515" spans="1:3">
      <c r="A1515" s="434"/>
      <c r="B1515" s="434"/>
      <c r="C1515" s="434"/>
    </row>
    <row r="1516" spans="1:3">
      <c r="A1516" s="434"/>
      <c r="B1516" s="434"/>
      <c r="C1516" s="434"/>
    </row>
    <row r="1517" spans="1:3">
      <c r="A1517" s="434"/>
      <c r="B1517" s="434"/>
      <c r="C1517" s="434"/>
    </row>
    <row r="1518" spans="1:3">
      <c r="A1518" s="434"/>
      <c r="B1518" s="434"/>
      <c r="C1518" s="434"/>
    </row>
    <row r="1519" spans="1:3">
      <c r="A1519" s="434"/>
      <c r="B1519" s="434"/>
      <c r="C1519" s="434"/>
    </row>
    <row r="1520" spans="1:3"/>
    <row r="1521" spans="7:9"/>
    <row r="1522" spans="7:9"/>
    <row r="1523" spans="7:9">
      <c r="G1523" s="1288"/>
      <c r="H1523" s="1288"/>
      <c r="I1523" s="1288"/>
    </row>
    <row r="1524" spans="7:9"/>
    <row r="1525" spans="7:9"/>
    <row r="1526" spans="7:9"/>
    <row r="1527" spans="7:9"/>
    <row r="1528" spans="7:9"/>
    <row r="1529" spans="7:9"/>
    <row r="1530" spans="7:9"/>
    <row r="1531" spans="7:9"/>
    <row r="1532" spans="7:9"/>
    <row r="1533" spans="7:9"/>
    <row r="1534" spans="7:9"/>
    <row r="1535" spans="7:9"/>
    <row r="1536" spans="7: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sheetData>
  <sheetProtection algorithmName="SHA-512" hashValue="J0/0Ourg1R+gD5apThaJ/8Fxdw5fyfro5VxomyPo++NxGNQFSBSEkTyEmXigV27kGQX9w15SXKnQD3mdXJhXxw==" saltValue="9JWFCl03UPaDkHjYNJE6BQ==" spinCount="100000" sheet="1" objects="1" scenarios="1"/>
  <mergeCells count="299">
    <mergeCell ref="D20:F21"/>
    <mergeCell ref="D1105:F1108"/>
    <mergeCell ref="A2:I2"/>
    <mergeCell ref="A3:I3"/>
    <mergeCell ref="I353:I357"/>
    <mergeCell ref="D520:F521"/>
    <mergeCell ref="D465:F467"/>
    <mergeCell ref="D421:F425"/>
    <mergeCell ref="D507:F507"/>
    <mergeCell ref="D237:F241"/>
    <mergeCell ref="D243:F245"/>
    <mergeCell ref="D257:F258"/>
    <mergeCell ref="D248:F252"/>
    <mergeCell ref="D282:F283"/>
    <mergeCell ref="D269:F274"/>
    <mergeCell ref="D295:F296"/>
    <mergeCell ref="A280:G280"/>
    <mergeCell ref="D486:F490"/>
    <mergeCell ref="D492:F492"/>
    <mergeCell ref="D502:F505"/>
    <mergeCell ref="A494:G494"/>
    <mergeCell ref="D373:F376"/>
    <mergeCell ref="D355:F357"/>
    <mergeCell ref="D516:F516"/>
    <mergeCell ref="D808:F813"/>
    <mergeCell ref="D725:F728"/>
    <mergeCell ref="D657:F660"/>
    <mergeCell ref="D300:F300"/>
    <mergeCell ref="D311:F312"/>
    <mergeCell ref="D314:F314"/>
    <mergeCell ref="D316:F330"/>
    <mergeCell ref="D305:F309"/>
    <mergeCell ref="D350:F350"/>
    <mergeCell ref="D469:F470"/>
    <mergeCell ref="D509:F510"/>
    <mergeCell ref="D358:F358"/>
    <mergeCell ref="D360:F371"/>
    <mergeCell ref="D512:F512"/>
    <mergeCell ref="D472:F485"/>
    <mergeCell ref="D662:F670"/>
    <mergeCell ref="D651:F655"/>
    <mergeCell ref="D646:F649"/>
    <mergeCell ref="D529:F530"/>
    <mergeCell ref="D427:F430"/>
    <mergeCell ref="D431:F431"/>
    <mergeCell ref="D566:F566"/>
    <mergeCell ref="D546:F547"/>
    <mergeCell ref="D794:F799"/>
    <mergeCell ref="D790:F792"/>
    <mergeCell ref="D225:F225"/>
    <mergeCell ref="D285:F285"/>
    <mergeCell ref="D286:F286"/>
    <mergeCell ref="D288:F289"/>
    <mergeCell ref="D291:F293"/>
    <mergeCell ref="D226:F229"/>
    <mergeCell ref="D801:F806"/>
    <mergeCell ref="D538:F538"/>
    <mergeCell ref="D539:F539"/>
    <mergeCell ref="D549:F550"/>
    <mergeCell ref="D552:F554"/>
    <mergeCell ref="D556:F557"/>
    <mergeCell ref="D562:F562"/>
    <mergeCell ref="D563:F563"/>
    <mergeCell ref="D541:F541"/>
    <mergeCell ref="D559:F560"/>
    <mergeCell ref="D496:F496"/>
    <mergeCell ref="D497:F497"/>
    <mergeCell ref="D262:F262"/>
    <mergeCell ref="D264:F264"/>
    <mergeCell ref="D276:F278"/>
    <mergeCell ref="A767:G767"/>
    <mergeCell ref="D769:F769"/>
    <mergeCell ref="D231:F235"/>
    <mergeCell ref="D760:F761"/>
    <mergeCell ref="D763:F765"/>
    <mergeCell ref="D613:F614"/>
    <mergeCell ref="D616:F617"/>
    <mergeCell ref="D721:F723"/>
    <mergeCell ref="D737:F737"/>
    <mergeCell ref="D698:F699"/>
    <mergeCell ref="D717:F719"/>
    <mergeCell ref="A622:G622"/>
    <mergeCell ref="A641:G641"/>
    <mergeCell ref="D751:F754"/>
    <mergeCell ref="D756:F758"/>
    <mergeCell ref="D741:F741"/>
    <mergeCell ref="D742:F742"/>
    <mergeCell ref="D744:F749"/>
    <mergeCell ref="A532:G532"/>
    <mergeCell ref="A260:G260"/>
    <mergeCell ref="A514:G514"/>
    <mergeCell ref="D301:F301"/>
    <mergeCell ref="D525:F527"/>
    <mergeCell ref="D433:F463"/>
    <mergeCell ref="D353:F353"/>
    <mergeCell ref="D303:F303"/>
    <mergeCell ref="D208:F208"/>
    <mergeCell ref="D193:F193"/>
    <mergeCell ref="D222:F222"/>
    <mergeCell ref="B186:F186"/>
    <mergeCell ref="A189:G189"/>
    <mergeCell ref="A220:G220"/>
    <mergeCell ref="D211:F211"/>
    <mergeCell ref="D212:F212"/>
    <mergeCell ref="E213:F213"/>
    <mergeCell ref="A6:G6"/>
    <mergeCell ref="A7:G7"/>
    <mergeCell ref="D196:F196"/>
    <mergeCell ref="A184:G184"/>
    <mergeCell ref="D175:F178"/>
    <mergeCell ref="E197:F197"/>
    <mergeCell ref="D103:F117"/>
    <mergeCell ref="D119:F126"/>
    <mergeCell ref="D581:F581"/>
    <mergeCell ref="D11:F12"/>
    <mergeCell ref="D13:F13"/>
    <mergeCell ref="D15:F17"/>
    <mergeCell ref="D24:F25"/>
    <mergeCell ref="D27:F31"/>
    <mergeCell ref="D33:F34"/>
    <mergeCell ref="D36:F39"/>
    <mergeCell ref="D41:F45"/>
    <mergeCell ref="E209:F209"/>
    <mergeCell ref="D342:F345"/>
    <mergeCell ref="D204:F204"/>
    <mergeCell ref="D68:F70"/>
    <mergeCell ref="D72:F73"/>
    <mergeCell ref="D77:F77"/>
    <mergeCell ref="D191:F192"/>
    <mergeCell ref="D52:F54"/>
    <mergeCell ref="D56:F57"/>
    <mergeCell ref="D61:F63"/>
    <mergeCell ref="D65:F66"/>
    <mergeCell ref="D199:F199"/>
    <mergeCell ref="D200:F200"/>
    <mergeCell ref="E201:F201"/>
    <mergeCell ref="D203:F203"/>
    <mergeCell ref="E205:F205"/>
    <mergeCell ref="D80:F87"/>
    <mergeCell ref="D89:F90"/>
    <mergeCell ref="D100:F101"/>
    <mergeCell ref="D96:F97"/>
    <mergeCell ref="D92:F94"/>
    <mergeCell ref="D195:F195"/>
    <mergeCell ref="D78:F78"/>
    <mergeCell ref="D180:F182"/>
    <mergeCell ref="D128:F129"/>
    <mergeCell ref="D131:F135"/>
    <mergeCell ref="D137:F149"/>
    <mergeCell ref="A4:G4"/>
    <mergeCell ref="D170:G170"/>
    <mergeCell ref="D151:F168"/>
    <mergeCell ref="D169:F169"/>
    <mergeCell ref="D171:F173"/>
    <mergeCell ref="D215:F218"/>
    <mergeCell ref="D47:F50"/>
    <mergeCell ref="A75:G75"/>
    <mergeCell ref="G1523:I1523"/>
    <mergeCell ref="D730:F736"/>
    <mergeCell ref="D714:F715"/>
    <mergeCell ref="D619:F620"/>
    <mergeCell ref="D624:F624"/>
    <mergeCell ref="D633:F634"/>
    <mergeCell ref="D636:F638"/>
    <mergeCell ref="D639:F639"/>
    <mergeCell ref="D675:F675"/>
    <mergeCell ref="D691:F696"/>
    <mergeCell ref="D701:F713"/>
    <mergeCell ref="D674:F674"/>
    <mergeCell ref="D676:F676"/>
    <mergeCell ref="D678:F678"/>
    <mergeCell ref="A5:G5"/>
    <mergeCell ref="A9:G9"/>
    <mergeCell ref="A815:G815"/>
    <mergeCell ref="D223:F223"/>
    <mergeCell ref="D571:F574"/>
    <mergeCell ref="D770:F770"/>
    <mergeCell ref="A576:G576"/>
    <mergeCell ref="D567:F569"/>
    <mergeCell ref="D683:F685"/>
    <mergeCell ref="D687:F687"/>
    <mergeCell ref="D688:F688"/>
    <mergeCell ref="A672:G672"/>
    <mergeCell ref="D643:F643"/>
    <mergeCell ref="D644:F644"/>
    <mergeCell ref="D601:F601"/>
    <mergeCell ref="D609:F610"/>
    <mergeCell ref="D385:F388"/>
    <mergeCell ref="D390:F398"/>
    <mergeCell ref="D399:F416"/>
    <mergeCell ref="D332:F340"/>
    <mergeCell ref="D418:F419"/>
    <mergeCell ref="D349:F349"/>
    <mergeCell ref="D265:F266"/>
    <mergeCell ref="D499:F500"/>
    <mergeCell ref="D583:F586"/>
    <mergeCell ref="D587:F590"/>
    <mergeCell ref="D600:F600"/>
    <mergeCell ref="D611:F611"/>
    <mergeCell ref="D592:F593"/>
    <mergeCell ref="D679:F679"/>
    <mergeCell ref="D595:F596"/>
    <mergeCell ref="A598:G598"/>
    <mergeCell ref="A739:G739"/>
    <mergeCell ref="D603:F604"/>
    <mergeCell ref="D626:F627"/>
    <mergeCell ref="D629:F631"/>
    <mergeCell ref="A298:G298"/>
    <mergeCell ref="D838:F839"/>
    <mergeCell ref="D840:F845"/>
    <mergeCell ref="D847:F847"/>
    <mergeCell ref="D848:F848"/>
    <mergeCell ref="D851:F854"/>
    <mergeCell ref="D858:F858"/>
    <mergeCell ref="D859:F859"/>
    <mergeCell ref="D861:F861"/>
    <mergeCell ref="D817:F817"/>
    <mergeCell ref="D818:F818"/>
    <mergeCell ref="D820:F820"/>
    <mergeCell ref="D823:F832"/>
    <mergeCell ref="D834:F836"/>
    <mergeCell ref="D772:F774"/>
    <mergeCell ref="D776:F778"/>
    <mergeCell ref="D780:F782"/>
    <mergeCell ref="D784:F789"/>
    <mergeCell ref="D578:F578"/>
    <mergeCell ref="D579:F579"/>
    <mergeCell ref="A607:G607"/>
    <mergeCell ref="B534:F534"/>
    <mergeCell ref="A536:G536"/>
    <mergeCell ref="D543:F544"/>
    <mergeCell ref="D864:F865"/>
    <mergeCell ref="D867:F868"/>
    <mergeCell ref="D869:F874"/>
    <mergeCell ref="D876:F876"/>
    <mergeCell ref="D877:F877"/>
    <mergeCell ref="D880:F883"/>
    <mergeCell ref="D938:F943"/>
    <mergeCell ref="D894:F895"/>
    <mergeCell ref="D908:F909"/>
    <mergeCell ref="D911:F914"/>
    <mergeCell ref="D916:F916"/>
    <mergeCell ref="D918:F918"/>
    <mergeCell ref="A885:G885"/>
    <mergeCell ref="D891:F891"/>
    <mergeCell ref="D892:F892"/>
    <mergeCell ref="D899:F906"/>
    <mergeCell ref="D920:F928"/>
    <mergeCell ref="D930:F936"/>
    <mergeCell ref="D1005:F1006"/>
    <mergeCell ref="D1008:F1008"/>
    <mergeCell ref="D1010:F1010"/>
    <mergeCell ref="D955:F955"/>
    <mergeCell ref="D956:F956"/>
    <mergeCell ref="D958:F958"/>
    <mergeCell ref="D959:F973"/>
    <mergeCell ref="A975:G975"/>
    <mergeCell ref="D977:F977"/>
    <mergeCell ref="D978:F978"/>
    <mergeCell ref="D983:F986"/>
    <mergeCell ref="D980:F981"/>
    <mergeCell ref="D1087:F1088"/>
    <mergeCell ref="D1090:F1095"/>
    <mergeCell ref="D1097:F1099"/>
    <mergeCell ref="D1101:F1103"/>
    <mergeCell ref="D1032:F1032"/>
    <mergeCell ref="D1040:F1043"/>
    <mergeCell ref="D1050:F1054"/>
    <mergeCell ref="A1056:G1056"/>
    <mergeCell ref="D1066:F1069"/>
    <mergeCell ref="A1035:G1035"/>
    <mergeCell ref="D1073:F1077"/>
    <mergeCell ref="A1080:G1080"/>
    <mergeCell ref="D1083:F1084"/>
    <mergeCell ref="D1085:F1085"/>
    <mergeCell ref="D1027:F1027"/>
    <mergeCell ref="D1028:F1028"/>
    <mergeCell ref="D1026:F1026"/>
    <mergeCell ref="D887:F887"/>
    <mergeCell ref="D1022:F1022"/>
    <mergeCell ref="A1024:G1024"/>
    <mergeCell ref="D1030:F1030"/>
    <mergeCell ref="D1031:F1031"/>
    <mergeCell ref="A1015:G1015"/>
    <mergeCell ref="D1017:F1017"/>
    <mergeCell ref="D1018:F1018"/>
    <mergeCell ref="D1020:F1020"/>
    <mergeCell ref="D1021:F1021"/>
    <mergeCell ref="D1023:F1023"/>
    <mergeCell ref="D1012:F1013"/>
    <mergeCell ref="D988:F991"/>
    <mergeCell ref="D993:F994"/>
    <mergeCell ref="D996:F996"/>
    <mergeCell ref="D998:F998"/>
    <mergeCell ref="D950:F953"/>
    <mergeCell ref="D896:F897"/>
    <mergeCell ref="D945:F947"/>
    <mergeCell ref="D1000:F1000"/>
    <mergeCell ref="D1002:F1003"/>
  </mergeCells>
  <dataValidations count="2">
    <dataValidation type="list" allowBlank="1" showInputMessage="1" showErrorMessage="1" sqref="WVJ215 WLN215 WBR215 VRV215 VHZ215 UYD215 UOH215 UEL215 TUP215 TKT215 TAX215 SRB215 SHF215 RXJ215 RNN215 RDR215 QTV215 QJZ215 QAD215 PQH215 PGL215 OWP215 OMT215 OCX215 NTB215 NJF215 MZJ215 MPN215 MFR215 LVV215 LLZ215 LCD215 KSH215 KIL215 JYP215 JOT215 JEX215 IVB215 ILF215 IBJ215 HRN215 HHR215 GXV215 GNZ215 GED215 FUH215 FKL215 FAP215 EQT215 EGX215 DXB215 DNF215 DDJ215 CTN215 CJR215 BZV215 BPZ215 BGD215 AWH215 AML215 ACP215 ST215 IX215" xr:uid="{00000000-0002-0000-0300-000000000000}">
      <formula1>$I$2:$I$4</formula1>
    </dataValidation>
    <dataValidation type="list" allowBlank="1" showInputMessage="1" showErrorMessage="1" sqref="B15 B1105 B24 B27 B33 B36 B41 B47 B52 B56 B61 B65 B68 B72 B80 B89 B103 B119 B128 B131 B137 B151 B171 B175 B180 B207 B215 B226 B254 B248 B257 B265 B269 B276 B288 B291 B295 B303 B305 B311 B314 B316 B332 B342 B358 B360 B373 B385 B418 B421 B427 B433 B353 B465 B469 B472 B476 B479 B484 B486 B492 B499 B502 B507 B509 B512 B520 B529 B541 B543 B546 B549 B552 B556 B559 B562 B566 B571 B581 B583 B587 B592 B595 B603 B613 B616 B619 B626 B633 B636 B639 B646 B651 B657 B662 B678 B683 B687 B691 B698 B701 B714 B717 B721 B725 B730 B744 B751 B756 B760 B763 B243 B20 B100 B96 B92 B203 B199 B195 B211 B231 B772 B776 B780 B784 B794 B801 B808 B820 B823 B834 B838 B847 B851 B861 B864 B867 B876 B880 B899 B920 B930 B950 B894 B908 B911 B916 B918 B945 B956 B959 B980 B988 B993 B996 B998 B1000 B1002 B1005 B1008 B1010 B1012 B889 B1027 B1032 B1021 B1040 B1048 B1050 B1059 B1062 B1065 B1073 B1097 B1087 B1101 B1090 B1083 B378 B938 B523" xr:uid="{00000000-0002-0000-0300-000001000000}">
      <formula1>"(select one),Need to Provide,Provided,Not Applicable"</formula1>
    </dataValidation>
  </dataValidations>
  <hyperlinks>
    <hyperlink ref="D169" r:id="rId1" display="https://www.treasurer.ca.gov/ctcac/cuac/index.asp" xr:uid="{00000000-0004-0000-0300-000001000000}"/>
    <hyperlink ref="D431" r:id="rId2" display="https://www.treasurer.ca.gov/ctcac/forms/reserve-certification.docx" xr:uid="{00000000-0004-0000-0300-000003000000}"/>
    <hyperlink ref="D1085"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3" max="8" man="1"/>
    <brk id="188" max="8" man="1"/>
    <brk id="219" max="8" man="1"/>
    <brk id="259" max="8" man="1"/>
    <brk id="279" max="8" man="1"/>
    <brk id="297" max="8" man="1"/>
    <brk id="348" max="8" man="1"/>
    <brk id="405" max="8" man="1"/>
    <brk id="468" max="8" man="1"/>
    <brk id="493" max="8" man="1"/>
    <brk id="513" max="8" man="1"/>
    <brk id="531" max="8" man="1"/>
    <brk id="535" max="8" man="1"/>
    <brk id="575" max="8" man="1"/>
    <brk id="597" max="8" man="1"/>
    <brk id="606" max="8" man="1"/>
    <brk id="621" max="8" man="1"/>
    <brk id="640" max="8" man="1"/>
    <brk id="671" max="8" man="1"/>
    <brk id="766" max="8" man="1"/>
    <brk id="814" max="8" man="1"/>
    <brk id="855" max="8" man="1"/>
    <brk id="884" max="8" man="1"/>
    <brk id="948" max="8" man="1"/>
    <brk id="974" max="8" man="1"/>
    <brk id="1014" max="8" man="1"/>
    <brk id="1023" max="8" man="1"/>
    <brk id="1034" max="8" man="1"/>
    <brk id="1055" max="8" man="1"/>
    <brk id="1079"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070"/>
  <sheetViews>
    <sheetView showGridLines="0" showZeros="0" tabSelected="1" topLeftCell="A617" zoomScaleNormal="100" zoomScaleSheetLayoutView="80" workbookViewId="0">
      <selection activeCell="AO648" sqref="AO648"/>
    </sheetView>
  </sheetViews>
  <sheetFormatPr defaultColWidth="0" defaultRowHeight="12.95" customHeight="1" zeroHeight="1"/>
  <cols>
    <col min="1" max="36" width="2.5703125" customWidth="1"/>
    <col min="37" max="37" width="2.85546875" customWidth="1"/>
    <col min="38" max="45" width="2.5703125" customWidth="1"/>
    <col min="46" max="46" width="3.7109375" customWidth="1"/>
    <col min="16384" max="16384" width="3.7109375" hidden="1"/>
  </cols>
  <sheetData>
    <row r="1" spans="1:51" ht="12.95" customHeight="1">
      <c r="J1" s="100"/>
      <c r="AS1" s="1075">
        <v>4</v>
      </c>
    </row>
    <row r="2" spans="1:51" ht="12.95" customHeight="1"/>
    <row r="3" spans="1:51" ht="12.95" customHeight="1"/>
    <row r="4" spans="1:51" ht="12.95" customHeight="1"/>
    <row r="5" spans="1:51" ht="12.95" customHeight="1"/>
    <row r="6" spans="1:51" ht="12.95" customHeight="1"/>
    <row r="7" spans="1:51" ht="12.95" customHeight="1"/>
    <row r="8" spans="1:51" ht="26.25" customHeight="1">
      <c r="A8" s="1591" t="s">
        <v>101</v>
      </c>
      <c r="B8" s="1591"/>
      <c r="C8" s="1591"/>
      <c r="D8" s="1591"/>
      <c r="E8" s="1591"/>
      <c r="F8" s="1591"/>
      <c r="G8" s="1591"/>
      <c r="H8" s="1591"/>
      <c r="I8" s="1591"/>
      <c r="J8" s="1591"/>
      <c r="K8" s="1591"/>
      <c r="L8" s="1591"/>
      <c r="M8" s="1591"/>
      <c r="N8" s="1591"/>
      <c r="O8" s="1591"/>
      <c r="P8" s="1591"/>
      <c r="Q8" s="1591"/>
      <c r="R8" s="1591"/>
      <c r="S8" s="1591"/>
      <c r="T8" s="1591"/>
      <c r="U8" s="1591"/>
      <c r="V8" s="1591"/>
      <c r="W8" s="1591"/>
      <c r="X8" s="1591"/>
      <c r="Y8" s="1591"/>
      <c r="Z8" s="1591"/>
      <c r="AA8" s="1591"/>
      <c r="AB8" s="1591"/>
      <c r="AC8" s="1591"/>
      <c r="AD8" s="1591"/>
      <c r="AE8" s="1591"/>
      <c r="AF8" s="1591"/>
      <c r="AG8" s="1591"/>
      <c r="AH8" s="1591"/>
      <c r="AI8" s="1591"/>
      <c r="AJ8" s="1591"/>
      <c r="AK8" s="1591"/>
      <c r="AL8" s="1591"/>
      <c r="AM8" s="935"/>
      <c r="AN8" s="935"/>
      <c r="AO8" s="935"/>
      <c r="AP8" s="935"/>
      <c r="AQ8" s="935"/>
      <c r="AR8" s="935"/>
      <c r="AS8" s="935"/>
      <c r="AT8" s="935"/>
      <c r="AU8" s="935"/>
      <c r="AV8" s="935"/>
      <c r="AW8" s="935"/>
      <c r="AX8" s="935"/>
      <c r="AY8" s="935"/>
    </row>
    <row r="9" spans="1:51" ht="12.95" customHeight="1">
      <c r="A9" s="1298" t="s">
        <v>2479</v>
      </c>
      <c r="B9" s="1298"/>
      <c r="C9" s="1298"/>
      <c r="D9" s="1298"/>
      <c r="E9" s="1298"/>
      <c r="F9" s="1298"/>
      <c r="G9" s="1298"/>
      <c r="H9" s="1298"/>
      <c r="I9" s="1298"/>
      <c r="J9" s="1298"/>
      <c r="K9" s="1298"/>
      <c r="L9" s="1298"/>
      <c r="M9" s="1298"/>
      <c r="N9" s="1298"/>
      <c r="O9" s="1298"/>
      <c r="P9" s="1298"/>
      <c r="Q9" s="1298"/>
      <c r="R9" s="1298"/>
      <c r="S9" s="1298"/>
      <c r="T9" s="1298"/>
      <c r="U9" s="1298"/>
      <c r="V9" s="1298"/>
      <c r="W9" s="1298"/>
      <c r="X9" s="1298"/>
      <c r="Y9" s="1298"/>
      <c r="Z9" s="1298"/>
      <c r="AA9" s="1298"/>
      <c r="AB9" s="1298"/>
      <c r="AC9" s="1298"/>
      <c r="AD9" s="1298"/>
      <c r="AE9" s="1298"/>
      <c r="AF9" s="1298"/>
      <c r="AG9" s="1298"/>
      <c r="AH9" s="1298"/>
      <c r="AI9" s="1298"/>
      <c r="AJ9" s="1298"/>
      <c r="AK9" s="1298"/>
      <c r="AL9" s="1298"/>
      <c r="AM9" s="13"/>
      <c r="AN9" s="13"/>
      <c r="AO9" s="13"/>
      <c r="AP9" s="13"/>
      <c r="AQ9" s="13"/>
      <c r="AR9" s="13"/>
      <c r="AS9" s="13"/>
      <c r="AT9" s="13"/>
      <c r="AU9" s="13"/>
      <c r="AV9" s="13"/>
      <c r="AW9" s="13"/>
      <c r="AX9" s="13"/>
      <c r="AY9" s="13"/>
    </row>
    <row r="10" spans="1:51" ht="12.95" customHeight="1">
      <c r="A10" s="1298" t="s">
        <v>2613</v>
      </c>
      <c r="B10" s="1298"/>
      <c r="C10" s="1298"/>
      <c r="D10" s="1298"/>
      <c r="E10" s="1298"/>
      <c r="F10" s="1298"/>
      <c r="G10" s="1298"/>
      <c r="H10" s="1298"/>
      <c r="I10" s="1298"/>
      <c r="J10" s="1298"/>
      <c r="K10" s="1298"/>
      <c r="L10" s="1298"/>
      <c r="M10" s="1298"/>
      <c r="N10" s="1298"/>
      <c r="O10" s="1298"/>
      <c r="P10" s="1298"/>
      <c r="Q10" s="1298"/>
      <c r="R10" s="1298"/>
      <c r="S10" s="1298"/>
      <c r="T10" s="1298"/>
      <c r="U10" s="1298"/>
      <c r="V10" s="1298"/>
      <c r="W10" s="1298"/>
      <c r="X10" s="1298"/>
      <c r="Y10" s="1298"/>
      <c r="Z10" s="1298"/>
      <c r="AA10" s="1298"/>
      <c r="AB10" s="1298"/>
      <c r="AC10" s="1298"/>
      <c r="AD10" s="1298"/>
      <c r="AE10" s="1298"/>
      <c r="AF10" s="1298"/>
      <c r="AG10" s="1298"/>
      <c r="AH10" s="1298"/>
      <c r="AI10" s="1298"/>
      <c r="AJ10" s="1298"/>
      <c r="AK10" s="1298"/>
      <c r="AL10" s="1298"/>
      <c r="AM10" s="13"/>
      <c r="AN10" s="13"/>
      <c r="AO10" s="13"/>
      <c r="AP10" s="13"/>
      <c r="AQ10" s="13"/>
      <c r="AR10" s="13"/>
      <c r="AS10" s="13"/>
      <c r="AT10" s="13"/>
      <c r="AU10" s="13"/>
      <c r="AV10" s="13"/>
      <c r="AW10" s="13"/>
      <c r="AX10" s="13"/>
      <c r="AY10" s="13"/>
    </row>
    <row r="11" spans="1:51" ht="12.95" customHeight="1">
      <c r="A11" s="1298" t="s">
        <v>1838</v>
      </c>
      <c r="B11" s="1298"/>
      <c r="C11" s="1298"/>
      <c r="D11" s="1298"/>
      <c r="E11" s="1298"/>
      <c r="F11" s="1298"/>
      <c r="G11" s="1298"/>
      <c r="H11" s="1298"/>
      <c r="I11" s="1298"/>
      <c r="J11" s="1298"/>
      <c r="K11" s="1298"/>
      <c r="L11" s="1298"/>
      <c r="M11" s="1298"/>
      <c r="N11" s="1298"/>
      <c r="O11" s="1298"/>
      <c r="P11" s="1298"/>
      <c r="Q11" s="1298"/>
      <c r="R11" s="1298"/>
      <c r="S11" s="1298"/>
      <c r="T11" s="1298"/>
      <c r="U11" s="1298"/>
      <c r="V11" s="1298"/>
      <c r="W11" s="1298"/>
      <c r="X11" s="1298"/>
      <c r="Y11" s="1298"/>
      <c r="Z11" s="1298"/>
      <c r="AA11" s="1298"/>
      <c r="AB11" s="1298"/>
      <c r="AC11" s="1298"/>
      <c r="AD11" s="1298"/>
      <c r="AE11" s="1298"/>
      <c r="AF11" s="1298"/>
      <c r="AG11" s="1298"/>
      <c r="AH11" s="1298"/>
      <c r="AI11" s="1298"/>
      <c r="AJ11" s="1298"/>
      <c r="AK11" s="1298"/>
      <c r="AL11" s="1298"/>
      <c r="AM11" s="13"/>
      <c r="AN11" s="13"/>
      <c r="AO11" s="13"/>
      <c r="AP11" s="13"/>
      <c r="AQ11" s="13"/>
      <c r="AR11" s="13"/>
      <c r="AS11" s="13"/>
      <c r="AT11" s="13"/>
      <c r="AU11" s="13"/>
      <c r="AV11" s="13"/>
      <c r="AW11" s="13"/>
      <c r="AX11" s="13"/>
      <c r="AY11" s="13"/>
    </row>
    <row r="12" spans="1:51" ht="12.95" customHeight="1">
      <c r="A12" s="1770" t="s">
        <v>2621</v>
      </c>
      <c r="B12" s="1771"/>
      <c r="C12" s="1771"/>
      <c r="D12" s="1771"/>
      <c r="E12" s="1771"/>
      <c r="F12" s="1771"/>
      <c r="G12" s="1771"/>
      <c r="H12" s="1771"/>
      <c r="I12" s="1771"/>
      <c r="J12" s="1771"/>
      <c r="K12" s="1771"/>
      <c r="L12" s="1771"/>
      <c r="M12" s="1771"/>
      <c r="N12" s="1771"/>
      <c r="O12" s="1771"/>
      <c r="P12" s="1771"/>
      <c r="Q12" s="1771"/>
      <c r="R12" s="1771"/>
      <c r="S12" s="1771"/>
      <c r="T12" s="1771"/>
      <c r="U12" s="1771"/>
      <c r="V12" s="1771"/>
      <c r="W12" s="1771"/>
      <c r="X12" s="1771"/>
      <c r="Y12" s="1771"/>
      <c r="Z12" s="1771"/>
      <c r="AA12" s="1771"/>
      <c r="AB12" s="1771"/>
      <c r="AC12" s="1771"/>
      <c r="AD12" s="1771"/>
      <c r="AE12" s="1771"/>
      <c r="AF12" s="1771"/>
      <c r="AG12" s="1771"/>
      <c r="AH12" s="1771"/>
      <c r="AI12" s="1771"/>
      <c r="AJ12" s="1771"/>
      <c r="AK12" s="1771"/>
      <c r="AL12" s="1771"/>
      <c r="AM12" s="6"/>
      <c r="AN12" s="6"/>
      <c r="AO12" s="6"/>
      <c r="AP12" s="6"/>
      <c r="AQ12" s="6"/>
      <c r="AR12" s="6"/>
      <c r="AS12" s="6"/>
      <c r="AT12" s="6"/>
      <c r="AU12" s="6"/>
      <c r="AV12" s="6"/>
      <c r="AW12" s="6"/>
      <c r="AX12" s="6"/>
      <c r="AY12" s="6"/>
    </row>
    <row r="13" spans="1:51" ht="12.95" customHeight="1">
      <c r="A13" s="1260" t="s">
        <v>2480</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936"/>
      <c r="AN13" s="936"/>
      <c r="AO13" s="936"/>
      <c r="AP13" s="936"/>
      <c r="AQ13" s="936"/>
      <c r="AR13" s="936"/>
      <c r="AS13" s="936"/>
      <c r="AT13" s="936"/>
      <c r="AU13" s="936"/>
      <c r="AV13" s="936"/>
      <c r="AW13" s="936"/>
      <c r="AX13" s="936"/>
      <c r="AY13" s="936"/>
    </row>
    <row r="14" spans="1:51" ht="12.95" customHeight="1" thickBo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936"/>
      <c r="AN14" s="936"/>
      <c r="AO14" s="936"/>
      <c r="AP14" s="936"/>
      <c r="AQ14" s="936"/>
      <c r="AR14" s="936"/>
      <c r="AS14" s="936"/>
      <c r="AT14" s="936"/>
      <c r="AU14" s="936"/>
      <c r="AV14" s="936"/>
      <c r="AW14" s="936"/>
      <c r="AX14" s="936"/>
      <c r="AY14" s="936"/>
    </row>
    <row r="15" spans="1:51" ht="12.95" customHeight="1" thickTop="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2481</v>
      </c>
      <c r="C16" s="4"/>
      <c r="D16" s="4"/>
      <c r="E16" s="4"/>
      <c r="F16" s="4"/>
      <c r="G16" s="4"/>
      <c r="H16" s="1756" t="s">
        <v>2624</v>
      </c>
      <c r="I16" s="1749"/>
      <c r="J16" s="1749"/>
      <c r="K16" s="1749"/>
      <c r="L16" s="1749"/>
      <c r="M16" s="1749"/>
      <c r="N16" s="1749"/>
      <c r="O16" s="1749"/>
      <c r="P16" s="1749"/>
      <c r="Q16" s="1749"/>
      <c r="R16" s="1749"/>
      <c r="S16" s="1749"/>
      <c r="T16" s="1749"/>
      <c r="U16" s="1749"/>
      <c r="V16" s="1749"/>
      <c r="W16" s="1749"/>
      <c r="X16" s="1749"/>
      <c r="Y16" s="1749"/>
      <c r="Z16" s="1749"/>
      <c r="AA16" s="1749"/>
      <c r="AB16" s="1749"/>
      <c r="AC16" s="1749"/>
      <c r="AD16" s="1749"/>
      <c r="AE16" s="1749"/>
      <c r="AF16" s="1749"/>
      <c r="AG16" s="1749"/>
      <c r="AH16" s="1749"/>
      <c r="AI16" s="1749"/>
      <c r="AJ16" s="1749"/>
    </row>
    <row r="17" spans="1:52" ht="12.95" customHeight="1"/>
    <row r="18" spans="1:52" ht="12.95" customHeight="1">
      <c r="A18" s="57" t="s">
        <v>102</v>
      </c>
      <c r="C18" s="4"/>
      <c r="D18" s="4"/>
      <c r="E18" s="4"/>
      <c r="F18" s="4"/>
      <c r="G18" s="4"/>
      <c r="H18" s="1598" t="s">
        <v>2625</v>
      </c>
      <c r="I18" s="1647"/>
      <c r="J18" s="1647"/>
      <c r="K18" s="1647"/>
      <c r="L18" s="1647"/>
      <c r="M18" s="1647"/>
      <c r="N18" s="1647"/>
      <c r="O18" s="1647"/>
      <c r="P18" s="1647"/>
      <c r="Q18" s="1647"/>
      <c r="R18" s="1647"/>
      <c r="S18" s="1647"/>
      <c r="T18" s="1647"/>
      <c r="U18" s="1647"/>
      <c r="V18" s="1647"/>
      <c r="W18" s="1647"/>
      <c r="X18" s="1647"/>
      <c r="Y18" s="1647"/>
      <c r="Z18" s="1647"/>
      <c r="AA18" s="1647"/>
      <c r="AB18" s="1647"/>
      <c r="AC18" s="1647"/>
      <c r="AD18" s="1647"/>
      <c r="AE18" s="1647"/>
      <c r="AF18" s="1647"/>
      <c r="AG18" s="1647"/>
      <c r="AH18" s="1647"/>
      <c r="AI18" s="1647"/>
      <c r="AJ18" s="1647"/>
    </row>
    <row r="19" spans="1:52" ht="12.95" customHeight="1"/>
    <row r="20" spans="1:52" ht="12.95" customHeight="1">
      <c r="A20" s="1766" t="s">
        <v>901</v>
      </c>
      <c r="B20" s="1766"/>
      <c r="C20" s="1766"/>
      <c r="D20" s="1766"/>
      <c r="E20" s="1766"/>
      <c r="F20" s="1766"/>
      <c r="G20" s="1766"/>
      <c r="H20" s="1766"/>
      <c r="I20" s="1766"/>
      <c r="J20" s="1766"/>
      <c r="K20" s="1766"/>
      <c r="L20" s="1766"/>
      <c r="M20" s="1766"/>
      <c r="N20" s="1766"/>
      <c r="O20" s="1766"/>
      <c r="P20" s="1766"/>
      <c r="Q20" s="1766"/>
      <c r="R20" s="1766"/>
      <c r="S20" s="1766"/>
      <c r="T20" s="1766"/>
      <c r="U20" s="1766"/>
      <c r="V20" s="1766"/>
      <c r="W20" s="1766"/>
      <c r="X20" s="1766"/>
      <c r="Y20" s="1766"/>
      <c r="Z20" s="1766"/>
      <c r="AA20" s="1766"/>
      <c r="AB20" s="1766"/>
      <c r="AC20" s="1766"/>
      <c r="AD20" s="1766"/>
      <c r="AE20" s="1766"/>
      <c r="AF20" s="1766"/>
      <c r="AG20" s="1766"/>
      <c r="AH20" s="1766"/>
      <c r="AI20" s="1766"/>
      <c r="AJ20" s="1766"/>
      <c r="AK20" s="1766"/>
      <c r="AL20" s="1766"/>
      <c r="AM20" s="937"/>
      <c r="AN20" s="937"/>
      <c r="AO20" s="937"/>
      <c r="AP20" s="937"/>
      <c r="AQ20" s="937"/>
      <c r="AR20" s="937"/>
      <c r="AS20" s="937"/>
      <c r="AT20" s="937"/>
      <c r="AU20" s="937"/>
      <c r="AV20" s="937"/>
      <c r="AW20" s="937"/>
      <c r="AX20" s="937"/>
      <c r="AY20" s="937"/>
    </row>
    <row r="21" spans="1:52" ht="12.95" customHeight="1">
      <c r="A21" s="1757" t="s">
        <v>1066</v>
      </c>
      <c r="B21" s="1757"/>
      <c r="C21" s="1757"/>
      <c r="D21" s="1757"/>
      <c r="E21" s="1757"/>
      <c r="F21" s="1757"/>
      <c r="G21" s="1757"/>
      <c r="H21" s="1757"/>
      <c r="I21" s="1757"/>
      <c r="J21" s="1757"/>
      <c r="K21" s="1757"/>
      <c r="L21" s="1757"/>
      <c r="M21" s="1757"/>
      <c r="N21" s="1757"/>
      <c r="O21" s="1757"/>
      <c r="P21" s="1757"/>
      <c r="Q21" s="1757"/>
      <c r="R21" s="1757"/>
      <c r="S21" s="1757"/>
      <c r="T21" s="1757"/>
      <c r="U21" s="1757"/>
      <c r="V21" s="1757"/>
      <c r="W21" s="1757"/>
      <c r="X21" s="1757"/>
      <c r="Y21" s="1757"/>
      <c r="Z21" s="1757"/>
      <c r="AA21" s="1757"/>
      <c r="AB21" s="1757"/>
      <c r="AC21" s="1757"/>
      <c r="AD21" s="1757"/>
      <c r="AE21" s="1757"/>
      <c r="AF21" s="1757"/>
      <c r="AG21" s="1757"/>
      <c r="AH21" s="1757"/>
      <c r="AI21" s="1757"/>
      <c r="AJ21" s="1757"/>
      <c r="AK21" s="1757"/>
      <c r="AL21" s="1757"/>
      <c r="AM21" s="938"/>
      <c r="AN21" s="938"/>
      <c r="AO21" s="938"/>
      <c r="AP21" s="938"/>
      <c r="AQ21" s="938"/>
      <c r="AR21" s="938"/>
      <c r="AS21" s="938"/>
      <c r="AT21" s="938"/>
      <c r="AU21" s="938"/>
      <c r="AV21" s="938"/>
      <c r="AW21" s="938"/>
      <c r="AX21" s="938"/>
      <c r="AY21" s="938"/>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19" t="s">
        <v>2482</v>
      </c>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row>
    <row r="24" spans="1:52" ht="12.95" customHeight="1">
      <c r="A24" s="116" t="s">
        <v>1027</v>
      </c>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755">
        <f>'Basis &amp; Credits'!AB56</f>
        <v>3266887</v>
      </c>
      <c r="N26" s="1755"/>
      <c r="O26" s="1755"/>
      <c r="P26" s="1755"/>
      <c r="Q26" s="1755"/>
      <c r="R26" s="4" t="s">
        <v>783</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91">
        <f>'Basis &amp; Credits'!AB77</f>
        <v>13570147</v>
      </c>
      <c r="N27" s="1391"/>
      <c r="O27" s="1391"/>
      <c r="P27" s="1391"/>
      <c r="Q27" s="1391"/>
      <c r="R27" s="3" t="s">
        <v>1425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4" t="s">
        <v>770</v>
      </c>
      <c r="C29" s="4"/>
      <c r="D29" s="4"/>
      <c r="E29" s="4"/>
      <c r="F29" s="4"/>
      <c r="G29" s="4"/>
      <c r="H29" s="4"/>
      <c r="I29" s="4"/>
      <c r="J29" s="4"/>
      <c r="K29" s="4"/>
      <c r="L29" s="4"/>
      <c r="M29" s="4"/>
      <c r="N29" s="4"/>
      <c r="O29" s="4"/>
      <c r="P29" s="4"/>
      <c r="Q29" s="4"/>
      <c r="R29" s="4"/>
      <c r="S29" s="4"/>
      <c r="T29" s="4"/>
      <c r="U29" s="4"/>
      <c r="V29" s="4"/>
      <c r="W29" s="4"/>
      <c r="X29" s="4"/>
      <c r="Y29" s="4"/>
      <c r="Z29" s="4"/>
      <c r="AF29" s="4"/>
      <c r="AG29" s="4"/>
      <c r="AH29" s="4"/>
      <c r="AI29" s="4"/>
      <c r="AJ29" s="4"/>
      <c r="AK29" s="4"/>
    </row>
    <row r="30" spans="1:52" ht="12.95" customHeight="1">
      <c r="A30" s="4" t="s">
        <v>771</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Z30" s="20"/>
    </row>
    <row r="31" spans="1:52" ht="12.95" customHeight="1">
      <c r="A31" s="91" t="s">
        <v>2483</v>
      </c>
      <c r="C31" s="91"/>
      <c r="D31" s="91"/>
      <c r="E31" s="91"/>
      <c r="F31" s="91"/>
      <c r="G31" s="91"/>
      <c r="H31" s="91"/>
      <c r="I31" s="91"/>
      <c r="J31" s="91"/>
      <c r="K31" s="91"/>
      <c r="L31" s="91"/>
      <c r="M31" s="91"/>
      <c r="N31" s="91"/>
      <c r="O31" s="91"/>
      <c r="P31" s="91"/>
      <c r="Q31" s="91"/>
      <c r="R31" s="91"/>
      <c r="S31" s="91"/>
      <c r="T31" s="91"/>
      <c r="U31" s="91"/>
      <c r="V31" s="91"/>
      <c r="W31" s="91"/>
      <c r="X31" s="91"/>
      <c r="Y31" s="91"/>
      <c r="Z31" s="91"/>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4" t="s">
        <v>1436</v>
      </c>
      <c r="C33" s="554"/>
      <c r="D33" s="554"/>
      <c r="E33" s="554"/>
      <c r="F33" s="554"/>
      <c r="G33" s="554"/>
      <c r="H33" s="554"/>
      <c r="I33" s="554"/>
      <c r="J33" s="554"/>
      <c r="K33" s="554"/>
      <c r="L33" s="554"/>
      <c r="M33" s="554"/>
      <c r="N33" s="554"/>
      <c r="O33" s="1353" t="s">
        <v>678</v>
      </c>
      <c r="P33" s="1353"/>
      <c r="Q33" s="554" t="s">
        <v>1437</v>
      </c>
      <c r="S33" s="554"/>
      <c r="T33" s="554"/>
      <c r="U33" s="554"/>
      <c r="V33" s="554"/>
      <c r="W33" s="554"/>
      <c r="X33" s="554"/>
      <c r="Y33" s="554"/>
      <c r="Z33" s="554"/>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row>
    <row r="34" spans="1:52" ht="12.95" customHeight="1">
      <c r="A34" s="3" t="s">
        <v>1439</v>
      </c>
      <c r="C34" s="554"/>
      <c r="D34" s="554"/>
      <c r="E34" s="554"/>
      <c r="F34" s="554"/>
      <c r="G34" s="554"/>
      <c r="H34" s="554"/>
      <c r="I34" s="554"/>
      <c r="J34" s="554"/>
      <c r="K34" s="554"/>
      <c r="L34" s="554"/>
      <c r="M34" s="554"/>
      <c r="N34" s="554"/>
      <c r="O34" s="554"/>
      <c r="P34" s="554"/>
      <c r="Q34" s="554"/>
      <c r="R34" s="554"/>
      <c r="S34" s="554"/>
      <c r="T34" s="554"/>
      <c r="U34" s="554"/>
      <c r="V34" s="554"/>
      <c r="W34" s="554"/>
      <c r="X34" s="554"/>
      <c r="Y34" s="554"/>
      <c r="Z34" s="554"/>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row>
    <row r="35" spans="1:52" ht="12.95" customHeight="1">
      <c r="A35" s="3" t="s">
        <v>1438</v>
      </c>
      <c r="C35" s="554"/>
      <c r="D35" s="554"/>
      <c r="E35" s="554"/>
      <c r="F35" s="554"/>
      <c r="G35" s="554"/>
      <c r="H35" s="554"/>
      <c r="I35" s="554"/>
      <c r="J35" s="554"/>
      <c r="K35" s="554"/>
      <c r="L35" s="554"/>
      <c r="M35" s="554"/>
      <c r="N35" s="554"/>
      <c r="O35" s="554"/>
      <c r="P35" s="554"/>
      <c r="Q35" s="554"/>
      <c r="R35" s="554"/>
      <c r="S35" s="554"/>
      <c r="T35" s="554"/>
      <c r="U35" s="554"/>
      <c r="V35" s="554"/>
      <c r="W35" s="554"/>
      <c r="X35" s="554"/>
      <c r="Y35" s="554"/>
      <c r="Z35" s="554"/>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row>
    <row r="36" spans="1:52" ht="12.95" customHeight="1">
      <c r="A36" s="3" t="s">
        <v>1440</v>
      </c>
      <c r="C36" s="554"/>
      <c r="D36" s="554"/>
      <c r="E36" s="554"/>
      <c r="F36" s="554"/>
      <c r="G36" s="554"/>
      <c r="H36" s="554"/>
      <c r="I36" s="554"/>
      <c r="J36" s="554"/>
      <c r="K36" s="554"/>
      <c r="L36" s="554"/>
      <c r="M36" s="554"/>
      <c r="N36" s="554"/>
      <c r="O36" s="554"/>
      <c r="P36" s="554"/>
      <c r="Q36" s="554"/>
      <c r="R36" s="554"/>
      <c r="S36" s="554"/>
      <c r="T36" s="554"/>
      <c r="U36" s="554"/>
      <c r="V36" s="554"/>
      <c r="W36" s="554"/>
      <c r="X36" s="554"/>
      <c r="Y36" s="554"/>
      <c r="Z36" s="554"/>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row>
    <row r="37" spans="1:52" ht="12.95" customHeight="1">
      <c r="A37" s="3" t="s">
        <v>1441</v>
      </c>
      <c r="AZ37" s="20"/>
    </row>
    <row r="38" spans="1:52" ht="12.95" customHeight="1">
      <c r="A38" s="3" t="s">
        <v>1442</v>
      </c>
      <c r="AZ38" s="20"/>
    </row>
    <row r="39" spans="1:52" ht="12.95" customHeight="1">
      <c r="AZ39" s="20"/>
    </row>
    <row r="40" spans="1:52" ht="12.95" customHeight="1">
      <c r="A40" s="554" t="s">
        <v>2484</v>
      </c>
      <c r="C40" s="91"/>
      <c r="D40" s="91"/>
      <c r="E40" s="91"/>
      <c r="F40" s="91"/>
      <c r="G40" s="91"/>
      <c r="H40" s="91"/>
      <c r="I40" s="91"/>
      <c r="J40" s="91"/>
      <c r="K40" s="91"/>
      <c r="L40" s="91"/>
      <c r="M40" s="91"/>
      <c r="N40" s="91"/>
      <c r="O40" s="91"/>
      <c r="P40" s="91"/>
      <c r="Q40" s="91"/>
      <c r="R40" s="91"/>
      <c r="S40" s="91"/>
      <c r="T40" s="91"/>
      <c r="U40" s="91"/>
      <c r="V40" s="91"/>
      <c r="W40" s="91"/>
      <c r="X40" s="91"/>
      <c r="Y40" s="91"/>
      <c r="Z40" s="91"/>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row>
    <row r="41" spans="1:52" ht="12.95" customHeight="1">
      <c r="A41" s="554" t="s">
        <v>2485</v>
      </c>
      <c r="C41" s="91"/>
      <c r="D41" s="91"/>
      <c r="E41" s="91"/>
      <c r="F41" s="91"/>
      <c r="G41" s="91"/>
      <c r="H41" s="91"/>
      <c r="I41" s="91"/>
      <c r="J41" s="91"/>
      <c r="K41" s="91"/>
      <c r="L41" s="91"/>
      <c r="M41" s="91"/>
      <c r="N41" s="91"/>
      <c r="O41" s="91"/>
      <c r="P41" s="91"/>
      <c r="Q41" s="91"/>
      <c r="R41" s="91"/>
      <c r="S41" s="91"/>
      <c r="T41" s="91"/>
      <c r="U41" s="91"/>
      <c r="V41" s="91"/>
      <c r="W41" s="91"/>
      <c r="X41" s="91"/>
      <c r="Y41" s="91"/>
      <c r="Z41" s="91"/>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row>
    <row r="42" spans="1:52" ht="12.95" customHeight="1">
      <c r="A42" s="554" t="s">
        <v>1465</v>
      </c>
      <c r="C42" s="91"/>
      <c r="D42" s="91"/>
      <c r="E42" s="91"/>
      <c r="F42" s="91"/>
      <c r="G42" s="91"/>
      <c r="H42" s="91"/>
      <c r="I42" s="91"/>
      <c r="J42" s="91"/>
      <c r="K42" s="91"/>
      <c r="L42" s="91"/>
      <c r="M42" s="91"/>
      <c r="N42" s="91"/>
      <c r="O42" s="91"/>
      <c r="P42" s="91"/>
      <c r="Q42" s="91"/>
      <c r="R42" s="91"/>
      <c r="S42" s="91"/>
      <c r="T42" s="91"/>
      <c r="U42" s="91"/>
      <c r="V42" s="91"/>
      <c r="W42" s="91"/>
      <c r="X42" s="91"/>
      <c r="Y42" s="91"/>
      <c r="Z42" s="91"/>
      <c r="AA42" s="20"/>
      <c r="AB42" s="20"/>
      <c r="AC42" s="20"/>
      <c r="AD42" s="20"/>
      <c r="AE42" s="20"/>
      <c r="AF42" s="20"/>
      <c r="AG42" s="20"/>
      <c r="AH42" s="20"/>
      <c r="AI42" s="20"/>
      <c r="AJ42" s="20"/>
      <c r="AK42" s="4"/>
      <c r="AZ42" s="20"/>
    </row>
    <row r="43" spans="1:52" ht="12.95" customHeight="1">
      <c r="A43" s="554" t="s">
        <v>2486</v>
      </c>
      <c r="C43" s="91"/>
      <c r="D43" s="91"/>
      <c r="E43" s="91"/>
      <c r="F43" s="91"/>
      <c r="G43" s="91"/>
      <c r="H43" s="91"/>
      <c r="I43" s="91"/>
      <c r="J43" s="91"/>
      <c r="K43" s="91"/>
      <c r="L43" s="91"/>
      <c r="M43" s="91"/>
      <c r="N43" s="91"/>
      <c r="O43" s="91"/>
      <c r="P43" s="91"/>
      <c r="Q43" s="91"/>
      <c r="R43" s="91"/>
      <c r="S43" s="91"/>
      <c r="T43" s="91"/>
      <c r="U43" s="91"/>
      <c r="V43" s="91"/>
      <c r="W43" s="91"/>
      <c r="X43" s="91"/>
      <c r="Y43" s="91"/>
      <c r="Z43" s="91"/>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row>
    <row r="44" spans="1:52" ht="12.95" customHeight="1">
      <c r="A44" s="554" t="s">
        <v>1466</v>
      </c>
      <c r="C44" s="91"/>
      <c r="D44" s="91"/>
      <c r="E44" s="91"/>
      <c r="F44" s="91"/>
      <c r="G44" s="91"/>
      <c r="H44" s="91"/>
      <c r="I44" s="91"/>
      <c r="J44" s="91"/>
      <c r="K44" s="91"/>
      <c r="L44" s="91"/>
      <c r="M44" s="91"/>
      <c r="N44" s="91"/>
      <c r="O44" s="91"/>
      <c r="P44" s="91"/>
      <c r="Q44" s="91"/>
      <c r="R44" s="91"/>
      <c r="S44" s="91"/>
      <c r="T44" s="91"/>
      <c r="U44" s="91"/>
      <c r="V44" s="91"/>
      <c r="W44" s="91"/>
      <c r="X44" s="91"/>
      <c r="Y44" s="91"/>
      <c r="Z44" s="91"/>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row>
    <row r="45" spans="1:52" ht="12.95" customHeight="1">
      <c r="A45" s="554" t="s">
        <v>2487</v>
      </c>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554" t="s">
        <v>1467</v>
      </c>
      <c r="C46" s="91"/>
      <c r="D46" s="91"/>
      <c r="E46" s="91"/>
      <c r="F46" s="91"/>
      <c r="G46" s="91"/>
      <c r="H46" s="91"/>
      <c r="I46" s="91"/>
      <c r="J46" s="91"/>
      <c r="K46" s="91"/>
      <c r="L46" s="91"/>
      <c r="M46" s="91"/>
      <c r="N46" s="91"/>
      <c r="O46" s="91"/>
      <c r="P46" s="91"/>
      <c r="Q46" s="91"/>
      <c r="R46" s="91"/>
      <c r="S46" s="91"/>
      <c r="T46" s="91"/>
      <c r="U46" s="91"/>
      <c r="V46" s="91"/>
      <c r="W46" s="91"/>
      <c r="X46" s="91"/>
      <c r="Y46" s="91"/>
      <c r="Z46" s="91"/>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row>
    <row r="47" spans="1:52" ht="12.95" customHeight="1">
      <c r="A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row>
    <row r="48" spans="1:52" ht="12.95" customHeight="1">
      <c r="A48" s="562" t="s">
        <v>1468</v>
      </c>
      <c r="C48" s="91"/>
      <c r="D48" s="91"/>
      <c r="E48" s="91"/>
      <c r="F48" s="91"/>
      <c r="G48" s="91"/>
      <c r="H48" s="91"/>
      <c r="I48" s="91"/>
      <c r="J48" s="91"/>
      <c r="K48" s="91"/>
      <c r="L48" s="91"/>
      <c r="M48" s="91"/>
      <c r="N48" s="91"/>
      <c r="O48" s="91"/>
      <c r="P48" s="91"/>
      <c r="Q48" s="91"/>
      <c r="R48" s="91"/>
      <c r="S48" s="91"/>
      <c r="T48" s="91"/>
      <c r="U48" s="91"/>
      <c r="V48" s="91"/>
      <c r="W48" s="91"/>
      <c r="X48" s="91"/>
      <c r="Y48" s="91"/>
      <c r="Z48" s="91"/>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row>
    <row r="49" spans="1:52" ht="12.95" customHeight="1">
      <c r="A49" s="554" t="s">
        <v>1469</v>
      </c>
      <c r="C49" s="91"/>
      <c r="D49" s="91"/>
      <c r="E49" s="91"/>
      <c r="F49" s="91"/>
      <c r="G49" s="91"/>
      <c r="H49" s="91"/>
      <c r="I49" s="91"/>
      <c r="J49" s="91"/>
      <c r="K49" s="91"/>
      <c r="L49" s="91"/>
      <c r="M49" s="91"/>
      <c r="N49" s="91"/>
      <c r="O49" s="91"/>
      <c r="P49" s="91"/>
      <c r="Q49" s="91"/>
      <c r="R49" s="91"/>
      <c r="S49" s="91"/>
      <c r="T49" s="91"/>
      <c r="U49" s="91"/>
      <c r="V49" s="91"/>
      <c r="W49" s="91"/>
      <c r="X49" s="91"/>
      <c r="Y49" s="91"/>
      <c r="Z49" s="91"/>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row>
    <row r="50" spans="1:52" ht="12.95" customHeight="1">
      <c r="A50" s="554" t="s">
        <v>2488</v>
      </c>
      <c r="C50" s="91"/>
      <c r="D50" s="91"/>
      <c r="E50" s="91"/>
      <c r="F50" s="91"/>
      <c r="G50" s="91"/>
      <c r="H50" s="91"/>
      <c r="I50" s="91"/>
      <c r="J50" s="91"/>
      <c r="K50" s="91"/>
      <c r="L50" s="91"/>
      <c r="M50" s="91"/>
      <c r="N50" s="91"/>
      <c r="O50" s="91"/>
      <c r="P50" s="91"/>
      <c r="Q50" s="91"/>
      <c r="R50" s="91"/>
      <c r="S50" s="91"/>
      <c r="T50" s="91"/>
      <c r="U50" s="91"/>
      <c r="V50" s="91"/>
      <c r="W50" s="91"/>
      <c r="X50" s="91"/>
      <c r="Y50" s="91"/>
      <c r="Z50" s="91"/>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row>
    <row r="51" spans="1:52" ht="12.95" customHeight="1">
      <c r="A51" s="554" t="s">
        <v>1470</v>
      </c>
      <c r="C51" s="91"/>
      <c r="D51" s="91"/>
      <c r="E51" s="91"/>
      <c r="F51" s="91"/>
      <c r="G51" s="91"/>
      <c r="H51" s="91"/>
      <c r="I51" s="91"/>
      <c r="J51" s="91"/>
      <c r="K51" s="91"/>
      <c r="L51" s="91"/>
      <c r="M51" s="91"/>
      <c r="N51" s="91"/>
      <c r="O51" s="91"/>
      <c r="P51" s="91"/>
      <c r="Q51" s="91"/>
      <c r="R51" s="91"/>
      <c r="S51" s="91"/>
      <c r="T51" s="91"/>
      <c r="U51" s="91"/>
      <c r="V51" s="91"/>
      <c r="W51" s="91"/>
      <c r="X51" s="91"/>
      <c r="Y51" s="91"/>
      <c r="Z51" s="91"/>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row>
    <row r="52" spans="1:52" ht="12.95" customHeight="1">
      <c r="A52" s="554" t="s">
        <v>1471</v>
      </c>
      <c r="C52" s="91"/>
      <c r="D52" s="91"/>
      <c r="E52" s="91"/>
      <c r="F52" s="91"/>
      <c r="G52" s="91"/>
      <c r="H52" s="91"/>
      <c r="I52" s="91"/>
      <c r="J52" s="91"/>
      <c r="K52" s="91"/>
      <c r="L52" s="91"/>
      <c r="M52" s="91"/>
      <c r="N52" s="91"/>
      <c r="O52" s="91"/>
      <c r="P52" s="91"/>
      <c r="Q52" s="91"/>
      <c r="R52" s="91"/>
      <c r="S52" s="91"/>
      <c r="T52" s="91"/>
      <c r="U52" s="91"/>
      <c r="V52" s="91"/>
      <c r="W52" s="91"/>
      <c r="X52" s="91"/>
      <c r="Y52" s="91"/>
      <c r="Z52" s="91"/>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554" t="s">
        <v>71</v>
      </c>
      <c r="C54" s="91"/>
      <c r="D54" s="91"/>
      <c r="E54" s="91"/>
      <c r="F54" s="91"/>
      <c r="G54" s="91"/>
      <c r="H54" s="91"/>
      <c r="I54" s="91"/>
      <c r="J54" s="91"/>
      <c r="K54" s="91"/>
      <c r="L54" s="91"/>
      <c r="M54" s="91"/>
      <c r="N54" s="91"/>
      <c r="O54" s="91"/>
      <c r="P54" s="91"/>
      <c r="Q54" s="91"/>
      <c r="R54" s="91"/>
      <c r="S54" s="91"/>
      <c r="T54" s="91"/>
      <c r="U54" s="91"/>
      <c r="V54" s="91"/>
      <c r="W54" s="91"/>
      <c r="X54" s="91"/>
      <c r="Y54" s="91"/>
      <c r="Z54" s="91"/>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1"/>
    </row>
    <row r="55" spans="1:52" ht="12.95" customHeight="1">
      <c r="A55" s="91" t="s">
        <v>955</v>
      </c>
      <c r="C55" s="91"/>
      <c r="D55" s="91"/>
      <c r="E55" s="91"/>
      <c r="F55" s="91"/>
      <c r="G55" s="91"/>
      <c r="H55" s="91"/>
      <c r="I55" s="91"/>
      <c r="J55" s="91"/>
      <c r="K55" s="91"/>
      <c r="L55" s="91"/>
      <c r="M55" s="91"/>
      <c r="N55" s="91"/>
      <c r="O55" s="91"/>
      <c r="P55" s="91"/>
      <c r="Q55" s="91"/>
      <c r="R55" s="91"/>
      <c r="S55" s="91"/>
      <c r="T55" s="91"/>
      <c r="U55" s="91"/>
      <c r="V55" s="91"/>
      <c r="W55" s="91"/>
      <c r="X55" s="91"/>
      <c r="Y55" s="91"/>
      <c r="Z55" s="91"/>
      <c r="AA55" s="20"/>
      <c r="AB55" s="20"/>
      <c r="AC55" s="20"/>
      <c r="AD55" s="20"/>
      <c r="AE55" s="20"/>
      <c r="AF55" s="20"/>
      <c r="AG55" s="20"/>
      <c r="AH55" s="20"/>
      <c r="AI55" s="20"/>
      <c r="AJ55" s="20"/>
      <c r="AK55" s="4"/>
      <c r="AZ55" s="21"/>
    </row>
    <row r="56" spans="1:52" ht="12.95" customHeight="1">
      <c r="A56" s="91" t="s">
        <v>839</v>
      </c>
      <c r="C56" s="91"/>
      <c r="D56" s="91"/>
      <c r="E56" s="91"/>
      <c r="F56" s="91"/>
      <c r="G56" s="91"/>
      <c r="H56" s="91"/>
      <c r="I56" s="91"/>
      <c r="J56" s="91"/>
      <c r="K56" s="91"/>
      <c r="L56" s="91"/>
      <c r="M56" s="91"/>
      <c r="N56" s="91"/>
      <c r="O56" s="91"/>
      <c r="P56" s="91"/>
      <c r="Q56" s="91"/>
      <c r="R56" s="91"/>
      <c r="S56" s="91"/>
      <c r="T56" s="91"/>
      <c r="U56" s="91"/>
      <c r="V56" s="91"/>
      <c r="W56" s="91"/>
      <c r="X56" s="91"/>
      <c r="Y56" s="91"/>
      <c r="Z56" s="91"/>
      <c r="AA56" s="20"/>
      <c r="AB56" s="20"/>
      <c r="AC56" s="20"/>
      <c r="AD56" s="20"/>
      <c r="AE56" s="20"/>
      <c r="AF56" s="20"/>
      <c r="AG56" s="20"/>
      <c r="AH56" s="20"/>
      <c r="AI56" s="20"/>
      <c r="AJ56" s="20"/>
      <c r="AK56" s="4"/>
    </row>
    <row r="57" spans="1:52" ht="12.95" customHeight="1">
      <c r="C57" s="91"/>
      <c r="D57" s="91"/>
      <c r="E57" s="91"/>
      <c r="F57" s="91"/>
      <c r="G57" s="91"/>
      <c r="H57" s="91"/>
      <c r="I57" s="91"/>
      <c r="J57" s="91"/>
      <c r="K57" s="91"/>
      <c r="L57" s="91"/>
      <c r="M57" s="91"/>
      <c r="N57" s="91"/>
      <c r="O57" s="91"/>
      <c r="P57" s="91"/>
      <c r="Q57" s="91"/>
      <c r="R57" s="91"/>
      <c r="S57" s="91"/>
      <c r="T57" s="91"/>
      <c r="U57" s="91"/>
      <c r="V57" s="91"/>
      <c r="W57" s="91"/>
      <c r="X57" s="91"/>
      <c r="Y57" s="91"/>
      <c r="Z57" s="91"/>
      <c r="AA57" s="20"/>
      <c r="AB57" s="20"/>
      <c r="AC57" s="20"/>
      <c r="AD57" s="20"/>
      <c r="AE57" s="20"/>
      <c r="AF57" s="20"/>
      <c r="AG57" s="20"/>
      <c r="AH57" s="20"/>
      <c r="AI57" s="20"/>
      <c r="AJ57" s="20"/>
      <c r="AK57" s="4"/>
    </row>
    <row r="58" spans="1:52" ht="12.95" customHeight="1">
      <c r="A58" s="91" t="s">
        <v>1030</v>
      </c>
      <c r="C58" s="91"/>
      <c r="D58" s="91"/>
      <c r="E58" s="91"/>
      <c r="F58" s="91"/>
      <c r="G58" s="91"/>
      <c r="H58" s="91"/>
      <c r="I58" s="91"/>
      <c r="J58" s="91"/>
      <c r="K58" s="91"/>
      <c r="L58" s="91"/>
      <c r="M58" s="91"/>
      <c r="N58" s="91"/>
      <c r="O58" s="91"/>
      <c r="P58" s="91"/>
      <c r="Q58" s="91"/>
      <c r="R58" s="91"/>
      <c r="S58" s="91"/>
      <c r="T58" s="91"/>
      <c r="U58" s="91"/>
      <c r="V58" s="91"/>
      <c r="W58" s="91"/>
      <c r="X58" s="91"/>
      <c r="Y58" s="91"/>
      <c r="Z58" s="91"/>
      <c r="AA58" s="20"/>
      <c r="AB58" s="20"/>
      <c r="AC58" s="20"/>
      <c r="AD58" s="20"/>
      <c r="AE58" s="20"/>
      <c r="AF58" s="20"/>
      <c r="AG58" s="20"/>
      <c r="AH58" s="20"/>
      <c r="AI58" s="20"/>
      <c r="AJ58" s="20"/>
      <c r="AK58" s="4"/>
    </row>
    <row r="59" spans="1:52" ht="12.95" customHeight="1">
      <c r="A59" s="91" t="s">
        <v>1031</v>
      </c>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91" t="s">
        <v>1032</v>
      </c>
      <c r="C60" s="91"/>
      <c r="D60" s="91"/>
      <c r="E60" s="91"/>
      <c r="F60" s="91"/>
      <c r="G60" s="91"/>
      <c r="H60" s="91"/>
      <c r="I60" s="91"/>
      <c r="J60" s="91"/>
      <c r="K60" s="91"/>
      <c r="L60" s="91"/>
      <c r="M60" s="91"/>
      <c r="N60" s="91"/>
      <c r="O60" s="91"/>
      <c r="P60" s="91"/>
      <c r="Q60" s="91"/>
      <c r="R60" s="91"/>
      <c r="S60" s="91"/>
      <c r="T60" s="91"/>
      <c r="U60" s="91"/>
      <c r="V60" s="91"/>
      <c r="W60" s="91"/>
      <c r="X60" s="91"/>
      <c r="Y60" s="91"/>
      <c r="Z60" s="91"/>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row>
    <row r="61" spans="1:52" ht="12.95" customHeight="1">
      <c r="A61" s="91" t="s">
        <v>1033</v>
      </c>
      <c r="C61" s="91"/>
      <c r="D61" s="91"/>
      <c r="E61" s="91"/>
      <c r="F61" s="91"/>
      <c r="G61" s="91"/>
      <c r="H61" s="91"/>
      <c r="I61" s="91"/>
      <c r="J61" s="91"/>
      <c r="K61" s="91"/>
      <c r="L61" s="91"/>
      <c r="M61" s="91"/>
      <c r="N61" s="91"/>
      <c r="O61" s="91"/>
      <c r="P61" s="91"/>
      <c r="Q61" s="91"/>
      <c r="R61" s="91"/>
      <c r="S61" s="91"/>
      <c r="T61" s="91"/>
      <c r="U61" s="91"/>
      <c r="V61" s="91"/>
      <c r="W61" s="91"/>
      <c r="X61" s="91"/>
      <c r="Y61" s="91"/>
      <c r="Z61" s="91"/>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row>
    <row r="62" spans="1:52" ht="12.95" customHeight="1">
      <c r="A62" s="91" t="s">
        <v>2489</v>
      </c>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1034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91" t="s">
        <v>992</v>
      </c>
      <c r="C65" s="35"/>
      <c r="D65" s="35"/>
      <c r="E65" s="35"/>
      <c r="F65" s="35"/>
      <c r="G65" s="35"/>
      <c r="H65" s="35"/>
      <c r="I65" s="35"/>
      <c r="J65" s="35"/>
      <c r="K65" s="35"/>
      <c r="L65" s="35"/>
      <c r="M65" s="35"/>
      <c r="N65" s="35"/>
      <c r="O65" s="35"/>
      <c r="P65" s="35"/>
      <c r="Q65" s="35"/>
      <c r="R65" s="35"/>
      <c r="S65" s="35"/>
      <c r="T65" s="35"/>
      <c r="U65" s="35"/>
      <c r="V65" s="35"/>
      <c r="W65" s="35"/>
      <c r="X65" s="35"/>
      <c r="Y65" s="35"/>
      <c r="Z65" s="35"/>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0"/>
    </row>
    <row r="66" spans="1:52" ht="12.95" customHeight="1">
      <c r="A66" s="91" t="s">
        <v>956</v>
      </c>
      <c r="C66" s="35"/>
      <c r="D66" s="35"/>
      <c r="E66" s="35"/>
      <c r="F66" s="35"/>
      <c r="G66" s="35"/>
      <c r="H66" s="35"/>
      <c r="I66" s="35"/>
      <c r="J66" s="35"/>
      <c r="K66" s="35"/>
      <c r="L66" s="35"/>
      <c r="M66" s="35"/>
      <c r="N66" s="35"/>
      <c r="O66" s="35"/>
      <c r="P66" s="35"/>
      <c r="Q66" s="35"/>
      <c r="R66" s="35"/>
      <c r="S66" s="35"/>
      <c r="T66" s="35"/>
      <c r="U66" s="35"/>
      <c r="V66" s="35"/>
      <c r="W66" s="35"/>
      <c r="X66" s="35"/>
      <c r="Y66" s="35"/>
      <c r="Z66" s="35"/>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0"/>
    </row>
    <row r="67" spans="1:52" ht="12.95" customHeight="1">
      <c r="C67" s="4"/>
      <c r="D67" s="4"/>
      <c r="E67" s="4"/>
      <c r="F67" s="4"/>
      <c r="G67" s="4"/>
      <c r="H67" s="4"/>
      <c r="I67" s="4"/>
      <c r="J67" s="4"/>
      <c r="K67" s="4"/>
      <c r="L67" s="4"/>
      <c r="M67" s="4"/>
      <c r="N67" s="4"/>
      <c r="O67" s="4"/>
      <c r="P67" s="4"/>
      <c r="Q67" s="4"/>
      <c r="R67" s="4"/>
      <c r="S67" s="4"/>
      <c r="T67" s="4"/>
      <c r="U67" s="4"/>
      <c r="V67" s="4"/>
      <c r="W67" s="4"/>
      <c r="X67" s="4"/>
      <c r="Y67" s="4"/>
      <c r="Z67" s="4"/>
      <c r="AZ67" s="20"/>
    </row>
    <row r="68" spans="1:52" ht="12.95" customHeight="1">
      <c r="A68" s="35" t="s">
        <v>2490</v>
      </c>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35" t="s">
        <v>772</v>
      </c>
      <c r="C69" s="4"/>
      <c r="D69" s="4"/>
      <c r="E69" s="4"/>
      <c r="F69" s="4"/>
      <c r="G69" s="4"/>
      <c r="H69" s="4"/>
      <c r="I69" s="4"/>
      <c r="J69" s="4"/>
      <c r="K69" s="4"/>
      <c r="L69" s="4"/>
      <c r="M69" s="4"/>
      <c r="N69" s="4"/>
      <c r="O69" s="4"/>
      <c r="P69" s="4"/>
      <c r="Q69" s="4"/>
      <c r="R69" s="4"/>
      <c r="S69" s="4"/>
      <c r="T69" s="4"/>
      <c r="U69" s="4"/>
      <c r="V69" s="4"/>
      <c r="W69" s="4"/>
      <c r="X69" s="4"/>
      <c r="Y69" s="4"/>
      <c r="Z69" s="4"/>
      <c r="AZ69" s="20"/>
    </row>
    <row r="70" spans="1:52" ht="12.95" customHeight="1">
      <c r="C70" s="91"/>
      <c r="D70" s="91"/>
      <c r="E70" s="91"/>
      <c r="F70" s="91"/>
      <c r="G70" s="91"/>
      <c r="H70" s="91"/>
      <c r="I70" s="91"/>
      <c r="J70" s="91"/>
      <c r="K70" s="91"/>
      <c r="L70" s="91"/>
      <c r="M70" s="91"/>
      <c r="N70" s="91"/>
      <c r="O70" s="91"/>
      <c r="P70" s="91"/>
      <c r="Q70" s="91"/>
      <c r="R70" s="91"/>
      <c r="S70" s="91"/>
      <c r="T70" s="91"/>
      <c r="U70" s="91"/>
      <c r="V70" s="91"/>
      <c r="W70" s="91"/>
      <c r="X70" s="91"/>
      <c r="Y70" s="91"/>
      <c r="Z70" s="91"/>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row>
    <row r="71" spans="1:52" ht="12.95" customHeight="1">
      <c r="A71" s="91" t="s">
        <v>2491</v>
      </c>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4" t="s">
        <v>2492</v>
      </c>
      <c r="C72" s="91"/>
      <c r="D72" s="91"/>
      <c r="E72" s="91"/>
      <c r="F72" s="91"/>
      <c r="G72" s="91"/>
      <c r="H72" s="91"/>
      <c r="I72" s="91"/>
      <c r="J72" s="91"/>
      <c r="K72" s="91"/>
      <c r="L72" s="91"/>
      <c r="M72" s="91"/>
      <c r="N72" s="91"/>
      <c r="O72" s="91"/>
      <c r="P72" s="91"/>
      <c r="Q72" s="91"/>
      <c r="R72" s="91"/>
      <c r="S72" s="91"/>
      <c r="T72" s="91"/>
      <c r="U72" s="91"/>
      <c r="V72" s="91"/>
      <c r="W72" s="91"/>
      <c r="X72" s="91"/>
      <c r="Y72" s="91"/>
      <c r="Z72" s="91"/>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row>
    <row r="73" spans="1:52" ht="12.95" customHeight="1">
      <c r="A73" s="4" t="s">
        <v>773</v>
      </c>
      <c r="C73" s="91"/>
      <c r="D73" s="91"/>
      <c r="E73" s="91"/>
      <c r="F73" s="91"/>
      <c r="G73" s="91"/>
      <c r="H73" s="91"/>
      <c r="I73" s="91"/>
      <c r="J73" s="91"/>
      <c r="K73" s="91"/>
      <c r="L73" s="91"/>
      <c r="M73" s="91"/>
      <c r="N73" s="91"/>
      <c r="O73" s="91"/>
      <c r="P73" s="91"/>
      <c r="Q73" s="91"/>
      <c r="R73" s="91"/>
      <c r="S73" s="91"/>
      <c r="T73" s="91"/>
      <c r="U73" s="91"/>
      <c r="V73" s="91"/>
      <c r="W73" s="91"/>
      <c r="X73" s="91"/>
      <c r="Y73" s="91"/>
      <c r="Z73" s="91"/>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row>
    <row r="74" spans="1:52" ht="12.95" customHeight="1">
      <c r="A74" s="91" t="s">
        <v>774</v>
      </c>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C75" s="91"/>
      <c r="D75" s="91"/>
      <c r="E75" s="91"/>
      <c r="F75" s="91"/>
      <c r="G75" s="91"/>
      <c r="H75" s="91"/>
      <c r="I75" s="91"/>
      <c r="J75" s="91"/>
      <c r="K75" s="91"/>
      <c r="L75" s="91"/>
      <c r="M75" s="91"/>
      <c r="N75" s="91"/>
      <c r="O75" s="91"/>
      <c r="P75" s="91"/>
      <c r="Q75" s="91"/>
      <c r="R75" s="91"/>
      <c r="S75" s="91"/>
      <c r="T75" s="91"/>
      <c r="U75" s="91"/>
      <c r="V75" s="91"/>
      <c r="W75" s="91"/>
      <c r="X75" s="91"/>
      <c r="Y75" s="91"/>
      <c r="Z75" s="91"/>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row>
    <row r="76" spans="1:52" ht="12.95" customHeight="1">
      <c r="A76" s="91" t="s">
        <v>775</v>
      </c>
      <c r="C76" s="91"/>
      <c r="D76" s="91"/>
      <c r="E76" s="91"/>
      <c r="F76" s="91"/>
      <c r="G76" s="91"/>
      <c r="H76" s="91"/>
      <c r="I76" s="91"/>
      <c r="J76" s="91"/>
      <c r="K76" s="91"/>
      <c r="L76" s="91"/>
      <c r="M76" s="91"/>
      <c r="N76" s="91"/>
      <c r="O76" s="91"/>
      <c r="P76" s="91"/>
      <c r="Q76" s="91"/>
      <c r="R76" s="91"/>
      <c r="S76" s="91"/>
      <c r="T76" s="91"/>
      <c r="U76" s="91"/>
      <c r="V76" s="91"/>
      <c r="W76" s="91"/>
      <c r="X76" s="91"/>
      <c r="Y76" s="91"/>
      <c r="Z76" s="91"/>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17"/>
    </row>
    <row r="77" spans="1:52" ht="12.95" customHeight="1">
      <c r="A77" s="91" t="s">
        <v>776</v>
      </c>
      <c r="C77" s="91"/>
      <c r="D77" s="91"/>
      <c r="E77" s="91"/>
      <c r="F77" s="91"/>
      <c r="G77" s="91"/>
      <c r="H77" s="91"/>
      <c r="I77" s="91"/>
      <c r="J77" s="91"/>
      <c r="K77" s="91"/>
      <c r="L77" s="91"/>
      <c r="M77" s="91"/>
      <c r="N77" s="91"/>
      <c r="O77" s="91"/>
      <c r="P77" s="91"/>
      <c r="Q77" s="91"/>
      <c r="R77" s="91"/>
      <c r="S77" s="91"/>
      <c r="T77" s="91"/>
      <c r="U77" s="91"/>
      <c r="V77" s="91"/>
      <c r="W77" s="91"/>
      <c r="X77" s="91"/>
      <c r="Y77" s="91"/>
      <c r="Z77" s="91"/>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91" t="s">
        <v>714</v>
      </c>
      <c r="C79" s="91"/>
      <c r="D79" s="91"/>
      <c r="E79" s="91"/>
      <c r="F79" s="91"/>
      <c r="G79" s="91"/>
      <c r="H79" s="91"/>
      <c r="I79" s="91"/>
      <c r="J79" s="91"/>
      <c r="K79" s="91"/>
      <c r="L79" s="91"/>
      <c r="M79" s="91"/>
      <c r="N79" s="91"/>
      <c r="O79" s="91"/>
      <c r="P79" s="91"/>
      <c r="Q79" s="91"/>
      <c r="R79" s="91"/>
      <c r="S79" s="91"/>
      <c r="T79" s="91"/>
      <c r="U79" s="91"/>
      <c r="V79" s="91"/>
      <c r="W79" s="91"/>
      <c r="X79" s="91"/>
      <c r="Y79" s="91"/>
      <c r="Z79" s="91"/>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row>
    <row r="80" spans="1:52" ht="12.95" customHeight="1">
      <c r="A80" s="91" t="s">
        <v>715</v>
      </c>
      <c r="C80" s="91"/>
      <c r="D80" s="91"/>
      <c r="E80" s="91"/>
      <c r="F80" s="91"/>
      <c r="G80" s="91"/>
      <c r="H80" s="91"/>
      <c r="I80" s="91"/>
      <c r="J80" s="91"/>
      <c r="K80" s="91"/>
      <c r="L80" s="91"/>
      <c r="M80" s="91"/>
      <c r="N80" s="91"/>
      <c r="O80" s="91"/>
      <c r="P80" s="91"/>
      <c r="Q80" s="91"/>
      <c r="R80" s="91"/>
      <c r="S80" s="91"/>
      <c r="T80" s="91"/>
      <c r="U80" s="91"/>
      <c r="V80" s="91"/>
      <c r="W80" s="91"/>
      <c r="X80" s="91"/>
      <c r="Y80" s="91"/>
      <c r="Z80" s="91"/>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row>
    <row r="81" spans="1:52" ht="12.95" customHeight="1">
      <c r="C81" s="91"/>
      <c r="D81" s="91"/>
      <c r="E81" s="91"/>
      <c r="F81" s="91"/>
      <c r="G81" s="91"/>
      <c r="H81" s="91"/>
      <c r="I81" s="91"/>
      <c r="J81" s="91"/>
      <c r="K81" s="91"/>
      <c r="L81" s="91"/>
      <c r="M81" s="91"/>
      <c r="N81" s="91"/>
      <c r="O81" s="91"/>
      <c r="P81" s="91"/>
      <c r="Q81" s="91"/>
      <c r="R81" s="91"/>
      <c r="S81" s="91"/>
      <c r="T81" s="91"/>
      <c r="U81" s="91"/>
      <c r="V81" s="91"/>
      <c r="W81" s="91"/>
      <c r="X81" s="91"/>
      <c r="Y81" s="91"/>
      <c r="Z81" s="91"/>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row>
    <row r="82" spans="1:52" ht="12.95" customHeight="1">
      <c r="A82" s="91" t="s">
        <v>1070</v>
      </c>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91" t="s">
        <v>2493</v>
      </c>
      <c r="C83" s="91"/>
      <c r="D83" s="91"/>
      <c r="E83" s="91"/>
      <c r="F83" s="91"/>
      <c r="G83" s="91"/>
      <c r="H83" s="91"/>
      <c r="I83" s="91"/>
      <c r="J83" s="91"/>
      <c r="K83" s="91"/>
      <c r="L83" s="91"/>
      <c r="M83" s="91"/>
      <c r="N83" s="91"/>
      <c r="O83" s="91"/>
      <c r="P83" s="91"/>
      <c r="Q83" s="91"/>
      <c r="R83" s="91"/>
      <c r="S83" s="91"/>
      <c r="T83" s="91"/>
      <c r="U83" s="91"/>
      <c r="V83" s="91"/>
      <c r="W83" s="91"/>
      <c r="X83" s="91"/>
      <c r="Y83" s="91"/>
      <c r="Z83" s="91"/>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row>
    <row r="84" spans="1:52" ht="12.95" customHeight="1">
      <c r="A84" s="91" t="s">
        <v>1035</v>
      </c>
      <c r="C84" s="91"/>
      <c r="D84" s="91"/>
      <c r="E84" s="91"/>
      <c r="F84" s="91"/>
      <c r="G84" s="91"/>
      <c r="H84" s="91"/>
      <c r="I84" s="91"/>
      <c r="J84" s="91"/>
      <c r="K84" s="91"/>
      <c r="L84" s="91"/>
      <c r="M84" s="91"/>
      <c r="N84" s="91"/>
      <c r="O84" s="91"/>
      <c r="P84" s="91"/>
      <c r="Q84" s="91"/>
      <c r="R84" s="91"/>
      <c r="S84" s="91"/>
      <c r="T84" s="91"/>
      <c r="U84" s="91"/>
      <c r="V84" s="91"/>
      <c r="W84" s="91"/>
      <c r="X84" s="91"/>
      <c r="Y84" s="91"/>
      <c r="Z84" s="91"/>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91" t="s">
        <v>1029</v>
      </c>
      <c r="C86" s="91"/>
      <c r="D86" s="91"/>
      <c r="E86" s="91"/>
      <c r="F86" s="91"/>
      <c r="G86" s="91"/>
      <c r="H86" s="91"/>
      <c r="I86" s="91"/>
      <c r="J86" s="91"/>
      <c r="K86" s="91"/>
      <c r="L86" s="91"/>
      <c r="M86" s="91"/>
      <c r="N86" s="91"/>
      <c r="O86" s="91"/>
      <c r="P86" s="91"/>
      <c r="Q86" s="91"/>
      <c r="R86" s="91"/>
      <c r="S86" s="91"/>
      <c r="T86" s="91"/>
      <c r="U86" s="91"/>
      <c r="V86" s="91"/>
      <c r="W86" s="91"/>
      <c r="X86" s="91"/>
      <c r="Y86" s="91"/>
      <c r="Z86" s="91"/>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row>
    <row r="87" spans="1:52" ht="12.95" customHeight="1">
      <c r="A87" s="91" t="s">
        <v>1028</v>
      </c>
      <c r="C87" s="91"/>
      <c r="D87" s="91"/>
      <c r="E87" s="91"/>
      <c r="F87" s="91"/>
      <c r="G87" s="91"/>
      <c r="H87" s="91"/>
      <c r="I87" s="91"/>
      <c r="J87" s="91"/>
      <c r="K87" s="91"/>
      <c r="L87" s="91"/>
      <c r="M87" s="91"/>
      <c r="N87" s="91"/>
      <c r="O87" s="91"/>
      <c r="P87" s="91"/>
      <c r="Q87" s="91"/>
      <c r="R87" s="91"/>
      <c r="S87" s="91"/>
      <c r="T87" s="91"/>
      <c r="U87" s="91"/>
      <c r="V87" s="91"/>
      <c r="W87" s="91"/>
      <c r="X87" s="91"/>
      <c r="Y87" s="91"/>
      <c r="Z87" s="91"/>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row>
    <row r="88" spans="1:52" ht="12.95" customHeight="1">
      <c r="A88" s="91" t="s">
        <v>777</v>
      </c>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20"/>
    </row>
    <row r="90" spans="1:52" ht="12.95" customHeight="1">
      <c r="A90" s="91" t="s">
        <v>2494</v>
      </c>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20"/>
    </row>
    <row r="91" spans="1:52" ht="12.95" customHeight="1">
      <c r="A91" s="91" t="s">
        <v>2495</v>
      </c>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C92" s="91"/>
      <c r="D92" s="91"/>
      <c r="E92" s="91"/>
      <c r="F92" s="91"/>
      <c r="G92" s="91"/>
      <c r="H92" s="91"/>
      <c r="I92" s="91"/>
      <c r="J92" s="91"/>
      <c r="K92" s="91"/>
      <c r="L92" s="91"/>
      <c r="M92" s="91"/>
      <c r="N92" s="91"/>
      <c r="O92" s="91"/>
      <c r="P92" s="91"/>
      <c r="Q92" s="91"/>
      <c r="R92" s="91"/>
      <c r="S92" s="91"/>
      <c r="T92" s="91"/>
      <c r="U92" s="91"/>
      <c r="V92" s="91"/>
      <c r="W92" s="91"/>
      <c r="X92" s="91"/>
      <c r="Y92" s="91"/>
      <c r="Z92" s="91"/>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row>
    <row r="93" spans="1:52" ht="12.95" customHeight="1">
      <c r="A93" s="116" t="s">
        <v>1038</v>
      </c>
      <c r="C93" s="91"/>
      <c r="D93" s="91"/>
      <c r="E93" s="91"/>
      <c r="F93" s="91"/>
      <c r="G93" s="91"/>
      <c r="H93" s="91"/>
      <c r="I93" s="91"/>
      <c r="J93" s="91"/>
      <c r="K93" s="91"/>
      <c r="L93" s="91"/>
      <c r="M93" s="91"/>
      <c r="N93" s="91"/>
      <c r="O93" s="91"/>
      <c r="P93" s="91"/>
      <c r="Q93" s="91"/>
      <c r="R93" s="91"/>
      <c r="S93" s="91"/>
      <c r="T93" s="91"/>
      <c r="U93" s="91"/>
      <c r="V93" s="91"/>
      <c r="W93" s="91"/>
      <c r="X93" s="91"/>
      <c r="Y93" s="91"/>
      <c r="Z93" s="91"/>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row>
    <row r="94" spans="1:52" ht="12.95" customHeight="1">
      <c r="A94" s="116" t="s">
        <v>1037</v>
      </c>
      <c r="C94" s="91"/>
      <c r="D94" s="91"/>
      <c r="E94" s="91"/>
      <c r="F94" s="91"/>
      <c r="G94" s="91"/>
      <c r="H94" s="91"/>
      <c r="I94" s="91"/>
      <c r="J94" s="91"/>
      <c r="K94" s="91"/>
      <c r="L94" s="91"/>
      <c r="M94" s="91"/>
      <c r="N94" s="91"/>
      <c r="O94" s="91"/>
      <c r="P94" s="91"/>
      <c r="Q94" s="91"/>
      <c r="R94" s="91"/>
      <c r="S94" s="91"/>
      <c r="T94" s="91"/>
      <c r="U94" s="91"/>
      <c r="V94" s="91"/>
      <c r="W94" s="91"/>
      <c r="X94" s="91"/>
      <c r="Y94" s="91"/>
      <c r="Z94" s="91"/>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row>
    <row r="95" spans="1:52" ht="12.95" customHeight="1">
      <c r="A95" s="91" t="s">
        <v>1036</v>
      </c>
      <c r="C95" s="91"/>
      <c r="D95" s="91"/>
      <c r="E95" s="91"/>
      <c r="F95" s="91"/>
      <c r="G95" s="91"/>
      <c r="H95" s="91"/>
      <c r="I95" s="91"/>
      <c r="J95" s="91"/>
      <c r="K95" s="91"/>
      <c r="L95" s="91"/>
      <c r="M95" s="91"/>
      <c r="N95" s="91"/>
      <c r="O95" s="91"/>
      <c r="P95" s="91"/>
      <c r="Q95" s="91"/>
      <c r="R95" s="91"/>
      <c r="S95" s="91"/>
      <c r="T95" s="91"/>
      <c r="U95" s="91"/>
      <c r="V95" s="91"/>
      <c r="W95" s="91"/>
      <c r="X95" s="91"/>
      <c r="Y95" s="91"/>
      <c r="Z95" s="91"/>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row>
    <row r="96" spans="1:52" ht="12.95" customHeight="1">
      <c r="C96" s="91"/>
      <c r="D96" s="91"/>
      <c r="E96" s="91"/>
      <c r="F96" s="91"/>
      <c r="G96" s="91"/>
      <c r="H96" s="91"/>
      <c r="I96" s="91"/>
      <c r="J96" s="91"/>
      <c r="K96" s="91"/>
      <c r="L96" s="91"/>
      <c r="M96" s="91"/>
      <c r="N96" s="91"/>
      <c r="O96" s="91"/>
      <c r="P96" s="91"/>
      <c r="Q96" s="91"/>
      <c r="R96" s="91"/>
      <c r="S96" s="91"/>
      <c r="T96" s="91"/>
      <c r="U96" s="91"/>
      <c r="V96" s="91"/>
      <c r="W96" s="91"/>
      <c r="X96" s="91"/>
      <c r="Y96" s="91"/>
      <c r="Z96" s="91"/>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row>
    <row r="97" spans="1:52" ht="12.95" customHeight="1">
      <c r="A97" s="91" t="s">
        <v>778</v>
      </c>
      <c r="C97" s="91"/>
      <c r="D97" s="91"/>
      <c r="E97" s="91"/>
      <c r="F97" s="91"/>
      <c r="G97" s="91"/>
      <c r="H97" s="91"/>
      <c r="I97" s="91"/>
      <c r="J97" s="91"/>
      <c r="K97" s="91"/>
      <c r="L97" s="91"/>
      <c r="M97" s="91"/>
      <c r="N97" s="91"/>
      <c r="O97" s="91"/>
      <c r="P97" s="91"/>
      <c r="Q97" s="91"/>
      <c r="R97" s="91"/>
      <c r="S97" s="91"/>
      <c r="T97" s="91"/>
      <c r="U97" s="91"/>
      <c r="V97" s="91"/>
      <c r="W97" s="91"/>
      <c r="X97" s="91"/>
      <c r="Y97" s="91"/>
      <c r="Z97" s="91"/>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row>
    <row r="98" spans="1:52" ht="12.95" customHeight="1">
      <c r="A98" s="91" t="s">
        <v>920</v>
      </c>
      <c r="C98" s="91"/>
      <c r="D98" s="91"/>
      <c r="E98" s="91"/>
      <c r="F98" s="91"/>
      <c r="G98" s="91"/>
      <c r="H98" s="91"/>
      <c r="I98" s="91"/>
      <c r="J98" s="91"/>
      <c r="K98" s="91"/>
      <c r="L98" s="91"/>
      <c r="M98" s="91"/>
      <c r="N98" s="91"/>
      <c r="O98" s="91"/>
      <c r="P98" s="91"/>
      <c r="Q98" s="91"/>
      <c r="R98" s="91"/>
      <c r="S98" s="91"/>
      <c r="T98" s="91"/>
      <c r="U98" s="91"/>
      <c r="V98" s="91"/>
      <c r="W98" s="91"/>
      <c r="X98" s="91"/>
      <c r="Y98" s="91"/>
      <c r="Z98" s="91"/>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552" t="s">
        <v>2496</v>
      </c>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row>
    <row r="101" spans="1:52" ht="12.95" customHeight="1">
      <c r="A101" t="s">
        <v>2497</v>
      </c>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row>
    <row r="102" spans="1:52" ht="12.95" customHeight="1">
      <c r="A102" t="s">
        <v>1394</v>
      </c>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row>
    <row r="103" spans="1:52" ht="12.95" customHeight="1">
      <c r="A103" s="552" t="s">
        <v>1395</v>
      </c>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row>
    <row r="104" spans="1:52" ht="12.95" customHeight="1">
      <c r="A104" t="s">
        <v>1396</v>
      </c>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552" t="s">
        <v>1397</v>
      </c>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row>
    <row r="106" spans="1:52" ht="12.95" customHeight="1">
      <c r="A106" s="552" t="s">
        <v>1398</v>
      </c>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row>
    <row r="107" spans="1:52" ht="12.95" customHeight="1">
      <c r="A107" s="552" t="s">
        <v>1399</v>
      </c>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2" t="s">
        <v>1400</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311" t="s">
        <v>1078</v>
      </c>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311" t="s">
        <v>2498</v>
      </c>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311" t="s">
        <v>1080</v>
      </c>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t="s">
        <v>1079</v>
      </c>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t="s">
        <v>779</v>
      </c>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t="s">
        <v>2499</v>
      </c>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t="s">
        <v>780</v>
      </c>
      <c r="B117" s="22"/>
      <c r="C117" s="22"/>
    </row>
    <row r="118" spans="1:51" ht="12.95" customHeight="1"/>
    <row r="119" spans="1:51" ht="12.95" customHeight="1">
      <c r="A119" s="91" t="s">
        <v>2500</v>
      </c>
      <c r="B119" s="3"/>
      <c r="E119" s="3"/>
      <c r="F119" s="3"/>
      <c r="J119" s="3"/>
      <c r="P119" s="3"/>
      <c r="Q119" s="3"/>
      <c r="R119" s="3"/>
      <c r="S119" s="3"/>
      <c r="T119" s="3"/>
      <c r="U119" s="3"/>
      <c r="V119" s="3"/>
      <c r="W119" s="3"/>
      <c r="AL119" s="3"/>
      <c r="AM119" s="3"/>
      <c r="AN119" s="3"/>
      <c r="AO119" s="3"/>
      <c r="AP119" s="3"/>
      <c r="AQ119" s="3"/>
      <c r="AR119" s="3"/>
      <c r="AS119" s="3"/>
      <c r="AT119" s="3"/>
      <c r="AU119" s="3"/>
      <c r="AV119" s="3"/>
      <c r="AW119" s="3"/>
      <c r="AX119" s="3"/>
      <c r="AY119" s="3"/>
    </row>
    <row r="120" spans="1:51" ht="12.95" customHeight="1">
      <c r="A120" s="91" t="s">
        <v>781</v>
      </c>
      <c r="B120" s="3"/>
      <c r="P120" s="3"/>
      <c r="Q120" s="3"/>
      <c r="R120" s="3"/>
      <c r="S120" s="3"/>
      <c r="T120" s="3"/>
      <c r="U120" s="3"/>
      <c r="V120" s="3"/>
      <c r="W120" s="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AL121" s="3"/>
      <c r="AM121" s="3"/>
      <c r="AN121" s="3"/>
      <c r="AO121" s="3"/>
      <c r="AP121" s="3"/>
      <c r="AQ121" s="3"/>
      <c r="AR121" s="3"/>
      <c r="AS121" s="3"/>
      <c r="AT121" s="3"/>
      <c r="AU121" s="3"/>
      <c r="AV121" s="3"/>
      <c r="AW121" s="3"/>
      <c r="AX121" s="3"/>
      <c r="AY121" s="3"/>
    </row>
    <row r="122" spans="1:51" ht="12.95" customHeight="1">
      <c r="A122" s="3"/>
      <c r="B122" s="3"/>
      <c r="C122" s="3" t="s">
        <v>181</v>
      </c>
      <c r="G122" s="1764" t="s">
        <v>1874</v>
      </c>
      <c r="H122" s="1764"/>
      <c r="I122" s="3" t="s">
        <v>182</v>
      </c>
      <c r="L122" s="1764" t="s">
        <v>2737</v>
      </c>
      <c r="M122" s="1764"/>
      <c r="N122" s="1764"/>
      <c r="O122" s="1763" t="s">
        <v>2629</v>
      </c>
      <c r="P122" s="1763"/>
      <c r="Q122" s="1763"/>
      <c r="R122" s="1763"/>
      <c r="S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M123" s="3"/>
      <c r="Q123" s="3"/>
      <c r="R123" s="3"/>
      <c r="S123" s="3"/>
      <c r="T123" s="3"/>
      <c r="U123" s="3"/>
      <c r="V123" s="3"/>
      <c r="W123" s="3"/>
      <c r="AL123" s="3"/>
      <c r="AM123" s="3"/>
      <c r="AN123" s="3"/>
      <c r="AO123" s="3"/>
      <c r="AP123" s="3"/>
      <c r="AQ123" s="3"/>
      <c r="AR123" s="3"/>
      <c r="AS123" s="3"/>
      <c r="AT123" s="3"/>
      <c r="AU123" s="3"/>
      <c r="AV123" s="3"/>
      <c r="AW123" s="3"/>
      <c r="AX123" s="3"/>
      <c r="AY123" s="3"/>
    </row>
    <row r="124" spans="1:51" ht="12.95" customHeight="1">
      <c r="A124" s="3"/>
      <c r="B124" s="3"/>
      <c r="C124" s="1817" t="s">
        <v>2628</v>
      </c>
      <c r="D124" s="1817"/>
      <c r="E124" s="1817"/>
      <c r="F124" s="1817"/>
      <c r="G124" s="1817"/>
      <c r="H124" s="1817"/>
      <c r="I124" s="1817"/>
      <c r="J124" s="1817"/>
      <c r="K124" s="1817"/>
      <c r="L124" s="216" t="s">
        <v>636</v>
      </c>
      <c r="S124" s="3"/>
      <c r="T124" s="3"/>
      <c r="U124" s="3"/>
      <c r="V124" s="3"/>
      <c r="W124" s="3"/>
      <c r="X124" s="3"/>
      <c r="Y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c r="X126" s="3" t="s">
        <v>637</v>
      </c>
      <c r="Y126" s="1764"/>
      <c r="Z126" s="1764"/>
      <c r="AA126" s="1764"/>
      <c r="AB126" s="1764"/>
      <c r="AC126" s="1764"/>
      <c r="AD126" s="1764"/>
      <c r="AE126" s="1764"/>
      <c r="AF126" s="1764"/>
      <c r="AG126" s="1764"/>
      <c r="AH126" s="1764"/>
      <c r="AI126" s="1764"/>
      <c r="AJ126" s="1764"/>
      <c r="AK126" s="1764"/>
    </row>
    <row r="127" spans="1:51" ht="12.95" customHeight="1">
      <c r="A127" s="3"/>
      <c r="B127" s="3"/>
      <c r="R127" s="3"/>
      <c r="S127" s="3"/>
      <c r="T127" s="3"/>
      <c r="U127" s="3"/>
      <c r="V127" s="3"/>
      <c r="W127" s="3"/>
      <c r="X127" s="3"/>
      <c r="Y127" s="3"/>
      <c r="Z127" s="3" t="s">
        <v>638</v>
      </c>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row>
    <row r="128" spans="1:51" ht="12.95" customHeight="1">
      <c r="A128" s="386"/>
      <c r="X128" s="3"/>
      <c r="AL128" s="386"/>
      <c r="AM128" s="386"/>
      <c r="AN128" s="386"/>
      <c r="AO128" s="386"/>
      <c r="AP128" s="386"/>
      <c r="AQ128" s="386"/>
      <c r="AR128" s="386"/>
      <c r="AS128" s="386"/>
      <c r="AT128" s="386"/>
      <c r="AU128" s="386"/>
      <c r="AV128" s="386"/>
      <c r="AW128" s="386"/>
      <c r="AX128" s="386"/>
      <c r="AY128" s="386"/>
    </row>
    <row r="129" spans="1:51" ht="12.95" customHeight="1">
      <c r="A129" s="386"/>
      <c r="B129" s="4"/>
      <c r="R129" s="6"/>
      <c r="S129" s="6"/>
      <c r="T129" s="6"/>
      <c r="U129" s="6"/>
      <c r="V129" s="6"/>
      <c r="W129" s="6"/>
      <c r="X129" s="3"/>
      <c r="Y129" s="1764" t="s">
        <v>2626</v>
      </c>
      <c r="Z129" s="1764"/>
      <c r="AA129" s="1764"/>
      <c r="AB129" s="1764"/>
      <c r="AC129" s="1764"/>
      <c r="AD129" s="1764"/>
      <c r="AE129" s="1764"/>
      <c r="AF129" s="1764"/>
      <c r="AG129" s="1764"/>
      <c r="AH129" s="1764"/>
      <c r="AI129" s="1764"/>
      <c r="AJ129" s="1764"/>
      <c r="AK129" s="1764"/>
      <c r="AL129" s="386"/>
      <c r="AM129" s="386"/>
      <c r="AN129" s="386"/>
      <c r="AO129" s="386"/>
      <c r="AP129" s="386"/>
      <c r="AQ129" s="386"/>
      <c r="AR129" s="386"/>
      <c r="AS129" s="386"/>
      <c r="AT129" s="386"/>
      <c r="AU129" s="386"/>
      <c r="AV129" s="386"/>
      <c r="AW129" s="386"/>
      <c r="AX129" s="386"/>
      <c r="AY129" s="386"/>
    </row>
    <row r="130" spans="1:51" ht="12.95" customHeight="1">
      <c r="A130" s="3"/>
      <c r="B130" s="35"/>
      <c r="C130" s="6"/>
      <c r="R130" s="6"/>
      <c r="S130" s="6"/>
      <c r="T130" s="6"/>
      <c r="U130" s="6"/>
      <c r="V130" s="6"/>
      <c r="W130" s="6"/>
      <c r="X130" s="3"/>
      <c r="Y130" s="3"/>
      <c r="Z130" s="3" t="s">
        <v>639</v>
      </c>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16"/>
      <c r="G132" s="216"/>
      <c r="H132" s="216"/>
      <c r="I132" s="216"/>
      <c r="J132" s="216"/>
      <c r="K132" s="216"/>
      <c r="L132" s="216"/>
      <c r="M132" s="216"/>
      <c r="N132" s="3"/>
      <c r="P132" s="3"/>
      <c r="Q132" s="3"/>
      <c r="U132" s="3"/>
      <c r="V132" s="3"/>
      <c r="W132" s="3"/>
      <c r="X132" s="3"/>
      <c r="Y132" s="1764" t="s">
        <v>2627</v>
      </c>
      <c r="Z132" s="1764"/>
      <c r="AA132" s="1764"/>
      <c r="AB132" s="1764"/>
      <c r="AC132" s="1764"/>
      <c r="AD132" s="1764"/>
      <c r="AE132" s="1764"/>
      <c r="AF132" s="1764"/>
      <c r="AG132" s="1764"/>
      <c r="AH132" s="1764"/>
      <c r="AI132" s="1764"/>
      <c r="AJ132" s="1764"/>
      <c r="AK132" s="1764"/>
      <c r="AL132" s="3"/>
      <c r="AM132" s="3"/>
      <c r="AN132" s="3"/>
      <c r="AO132" s="3"/>
      <c r="AP132" s="3"/>
      <c r="AQ132" s="3"/>
      <c r="AR132" s="3"/>
      <c r="AS132" s="3"/>
      <c r="AT132" s="3"/>
      <c r="AU132" s="3"/>
      <c r="AV132" s="3"/>
      <c r="AW132" s="3"/>
      <c r="AX132" s="3"/>
      <c r="AY132" s="3"/>
    </row>
    <row r="133" spans="1:51" ht="12.95" customHeight="1">
      <c r="A133" s="3"/>
      <c r="W133" s="3"/>
      <c r="X133" s="3"/>
      <c r="Y133" s="3"/>
      <c r="Z133" s="3" t="s">
        <v>640</v>
      </c>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90"/>
      <c r="U139" s="490"/>
      <c r="V139" s="490"/>
      <c r="W139" s="490"/>
      <c r="X139" s="490"/>
      <c r="Y139" s="490"/>
      <c r="Z139" s="490"/>
      <c r="AA139" s="490"/>
      <c r="AB139" s="490"/>
      <c r="AC139" s="490"/>
      <c r="AD139" s="490"/>
      <c r="AE139" s="490"/>
      <c r="AF139" s="490"/>
      <c r="AG139" s="490"/>
      <c r="AH139" s="490"/>
      <c r="AI139" s="490"/>
      <c r="AJ139" s="490"/>
      <c r="AK139" s="3"/>
      <c r="AL139" s="3"/>
      <c r="AM139" s="3"/>
      <c r="AN139" s="3"/>
      <c r="AO139" s="3"/>
      <c r="AP139" s="3"/>
      <c r="AQ139" s="3"/>
      <c r="AR139" s="3"/>
      <c r="AS139" s="3"/>
      <c r="AT139" s="3"/>
      <c r="AU139" s="3"/>
      <c r="AV139" s="3"/>
      <c r="AW139" s="3"/>
      <c r="AX139" s="3"/>
      <c r="AY139" s="3"/>
    </row>
    <row r="140" spans="1:51" ht="12.95" customHeight="1">
      <c r="A140" s="3"/>
      <c r="B140" s="119"/>
      <c r="C140" s="490"/>
      <c r="D140" s="490"/>
      <c r="E140" s="490"/>
      <c r="F140" s="490"/>
      <c r="G140" s="490"/>
      <c r="H140" s="490"/>
      <c r="I140" s="490"/>
      <c r="J140" s="490"/>
      <c r="K140" s="490"/>
      <c r="L140" s="490"/>
      <c r="M140" s="490"/>
      <c r="N140" s="490"/>
      <c r="O140" s="490"/>
      <c r="P140" s="490"/>
      <c r="Q140" s="490"/>
      <c r="R140" s="490"/>
      <c r="S140" s="490"/>
      <c r="T140" s="490"/>
      <c r="U140" s="490"/>
      <c r="V140" s="490"/>
      <c r="W140" s="490"/>
      <c r="X140" s="490"/>
      <c r="Y140" s="490"/>
      <c r="Z140" s="490"/>
      <c r="AA140" s="490"/>
      <c r="AB140" s="490"/>
      <c r="AC140" s="490"/>
      <c r="AD140" s="490"/>
      <c r="AE140" s="490"/>
      <c r="AF140" s="490"/>
      <c r="AG140" s="490"/>
      <c r="AH140" s="490"/>
      <c r="AI140" s="490"/>
      <c r="AJ140" s="490"/>
      <c r="AK140" s="3"/>
      <c r="AL140" s="3"/>
      <c r="AM140" s="3"/>
      <c r="AN140" s="3"/>
      <c r="AO140" s="3"/>
      <c r="AP140" s="3"/>
      <c r="AQ140" s="3"/>
      <c r="AR140" s="3"/>
      <c r="AS140" s="3"/>
      <c r="AT140" s="3"/>
      <c r="AU140" s="3"/>
      <c r="AV140" s="3"/>
      <c r="AW140" s="3"/>
      <c r="AX140" s="3"/>
      <c r="AY140" s="3"/>
    </row>
    <row r="141" spans="1:51" ht="12.95" customHeight="1">
      <c r="A141" s="3"/>
      <c r="B141" s="119"/>
      <c r="C141" s="490"/>
      <c r="D141" s="490"/>
      <c r="E141" s="490"/>
      <c r="F141" s="490"/>
      <c r="G141" s="490"/>
      <c r="H141" s="490"/>
      <c r="I141" s="490"/>
      <c r="J141" s="490"/>
      <c r="K141" s="490"/>
      <c r="L141" s="490"/>
      <c r="M141" s="490"/>
      <c r="N141" s="490"/>
      <c r="O141" s="490"/>
      <c r="P141" s="490"/>
      <c r="Q141" s="490"/>
      <c r="R141" s="490"/>
      <c r="S141" s="490"/>
      <c r="T141" s="490"/>
      <c r="U141" s="490"/>
      <c r="V141" s="490"/>
      <c r="W141" s="490"/>
      <c r="X141" s="490"/>
      <c r="Y141" s="490"/>
      <c r="Z141" s="490"/>
      <c r="AA141" s="490"/>
      <c r="AB141" s="490"/>
      <c r="AC141" s="490"/>
      <c r="AD141" s="490"/>
      <c r="AE141" s="490"/>
      <c r="AF141" s="490"/>
      <c r="AG141" s="490"/>
      <c r="AH141" s="490"/>
      <c r="AI141" s="490"/>
      <c r="AJ141" s="490"/>
      <c r="AK141" s="3"/>
      <c r="AL141" s="3"/>
      <c r="AM141" s="3"/>
      <c r="AN141" s="3"/>
      <c r="AO141" s="3"/>
      <c r="AP141" s="3"/>
      <c r="AQ141" s="3"/>
      <c r="AR141" s="3"/>
      <c r="AS141" s="3"/>
      <c r="AT141" s="3"/>
      <c r="AU141" s="3"/>
      <c r="AV141" s="3"/>
      <c r="AW141" s="3"/>
      <c r="AX141" s="3"/>
      <c r="AY141" s="3"/>
    </row>
    <row r="142" spans="1:51" ht="12.95" customHeight="1">
      <c r="A142" s="3"/>
      <c r="B142" s="119"/>
      <c r="C142" s="475"/>
      <c r="D142" s="475"/>
      <c r="E142" s="475"/>
      <c r="F142" s="475"/>
      <c r="G142" s="475"/>
      <c r="H142" s="475"/>
      <c r="I142" s="475"/>
      <c r="J142" s="475"/>
      <c r="K142" s="475"/>
      <c r="L142" s="475"/>
      <c r="M142" s="475"/>
      <c r="N142" s="475"/>
      <c r="O142" s="475"/>
      <c r="P142" s="475"/>
      <c r="Q142" s="475"/>
      <c r="R142" s="475"/>
      <c r="S142" s="475"/>
      <c r="T142" s="475"/>
      <c r="U142" s="475"/>
      <c r="V142" s="475"/>
      <c r="W142" s="475"/>
      <c r="X142" s="475"/>
      <c r="Y142" s="475"/>
      <c r="Z142" s="475"/>
      <c r="AA142" s="475"/>
      <c r="AB142" s="475"/>
      <c r="AC142" s="475"/>
      <c r="AD142" s="475"/>
      <c r="AE142" s="475"/>
      <c r="AF142" s="475"/>
      <c r="AG142" s="475"/>
      <c r="AH142" s="475"/>
      <c r="AI142" s="475"/>
      <c r="AJ142" s="475"/>
      <c r="AK142" s="3"/>
      <c r="AL142" s="3"/>
      <c r="AM142" s="3"/>
      <c r="AN142" s="3"/>
      <c r="AO142" s="3"/>
      <c r="AP142" s="3"/>
      <c r="AQ142" s="3"/>
      <c r="AR142" s="3"/>
      <c r="AS142" s="3"/>
      <c r="AT142" s="3"/>
      <c r="AU142" s="3"/>
      <c r="AV142" s="3"/>
      <c r="AW142" s="3"/>
      <c r="AX142" s="3"/>
      <c r="AY142" s="3"/>
    </row>
    <row r="143" spans="1:51" ht="12.95" customHeight="1">
      <c r="A143" s="3"/>
      <c r="D143" s="475"/>
      <c r="E143" s="475"/>
      <c r="F143" s="475"/>
      <c r="G143" s="475"/>
      <c r="H143" s="475"/>
      <c r="I143" s="475"/>
      <c r="J143" s="475"/>
      <c r="K143" s="475"/>
      <c r="L143" s="475"/>
      <c r="M143" s="475"/>
      <c r="N143" s="475"/>
      <c r="O143" s="475"/>
      <c r="P143" s="475"/>
      <c r="Q143" s="475"/>
      <c r="R143" s="475"/>
      <c r="S143" s="475"/>
      <c r="T143" s="475"/>
      <c r="U143" s="475"/>
      <c r="V143" s="475"/>
      <c r="W143" s="475"/>
      <c r="X143" s="475"/>
      <c r="Y143" s="475"/>
      <c r="Z143" s="475"/>
      <c r="AA143" s="475"/>
      <c r="AB143" s="475"/>
      <c r="AC143" s="475"/>
      <c r="AD143" s="475"/>
      <c r="AE143" s="475"/>
      <c r="AF143" s="475"/>
      <c r="AG143" s="475"/>
      <c r="AH143" s="475"/>
      <c r="AI143" s="475"/>
      <c r="AJ143" s="475"/>
      <c r="AK143" s="3"/>
      <c r="AL143" s="3"/>
      <c r="AM143" s="3"/>
      <c r="AN143" s="3"/>
      <c r="AO143" s="3"/>
      <c r="AP143" s="3"/>
      <c r="AQ143" s="3"/>
      <c r="AR143" s="3"/>
      <c r="AS143" s="3"/>
      <c r="AT143" s="3"/>
      <c r="AU143" s="3"/>
      <c r="AV143" s="3"/>
      <c r="AW143" s="3"/>
      <c r="AX143" s="3"/>
      <c r="AY143" s="3"/>
    </row>
    <row r="144" spans="1:51" ht="12.95" customHeight="1">
      <c r="A144" s="3"/>
      <c r="B144" s="554"/>
      <c r="C144" s="475"/>
      <c r="D144" s="475"/>
      <c r="E144" s="475"/>
      <c r="F144" s="475"/>
      <c r="G144" s="475"/>
      <c r="H144" s="475"/>
      <c r="I144" s="475"/>
      <c r="J144" s="475"/>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5"/>
      <c r="AJ144" s="475"/>
      <c r="AK144" s="3"/>
      <c r="AL144" s="3"/>
      <c r="AM144" s="3"/>
      <c r="AN144" s="3"/>
      <c r="AO144" s="3"/>
      <c r="AP144" s="3"/>
      <c r="AQ144" s="3"/>
      <c r="AR144" s="3"/>
      <c r="AS144" s="3"/>
      <c r="AT144" s="3"/>
      <c r="AU144" s="3"/>
      <c r="AV144" s="3"/>
      <c r="AW144" s="3"/>
      <c r="AX144" s="3"/>
      <c r="AY144" s="3"/>
    </row>
    <row r="145" spans="1:72" ht="12.95" customHeight="1">
      <c r="A145" s="3"/>
      <c r="B145" s="3"/>
      <c r="C145" s="475"/>
      <c r="D145" s="475"/>
      <c r="E145" s="475"/>
      <c r="F145" s="475"/>
      <c r="G145" s="475"/>
      <c r="H145" s="475"/>
      <c r="I145" s="475"/>
      <c r="J145" s="475"/>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5"/>
      <c r="AJ145" s="475"/>
      <c r="AK145" s="3"/>
      <c r="AL145" s="3"/>
      <c r="AM145" s="3"/>
      <c r="AN145" s="3"/>
      <c r="AO145" s="3"/>
      <c r="AP145" s="3"/>
      <c r="AQ145" s="3"/>
      <c r="AR145" s="3"/>
      <c r="AS145" s="3"/>
      <c r="AT145" s="3"/>
      <c r="AU145" s="3"/>
      <c r="AV145" s="3"/>
      <c r="AW145" s="3"/>
      <c r="AX145" s="3"/>
      <c r="AY145" s="3"/>
    </row>
    <row r="146" spans="1:72" ht="12.95" customHeight="1">
      <c r="A146" s="3"/>
      <c r="D146" s="475"/>
      <c r="E146" s="475"/>
      <c r="F146" s="475"/>
      <c r="G146" s="475"/>
      <c r="H146" s="475"/>
      <c r="I146" s="475"/>
      <c r="J146" s="475"/>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5"/>
      <c r="AJ146" s="475"/>
      <c r="AK146" s="3"/>
      <c r="AL146" s="3"/>
      <c r="AM146" s="3"/>
      <c r="AN146" s="3"/>
      <c r="AO146" s="3"/>
      <c r="AP146" s="3"/>
      <c r="AQ146" s="3"/>
      <c r="AR146" s="3"/>
      <c r="AS146" s="3"/>
      <c r="AT146" s="3"/>
      <c r="AU146" s="3"/>
      <c r="AV146" s="3"/>
      <c r="AW146" s="3"/>
      <c r="AX146" s="3"/>
      <c r="AY146" s="3"/>
    </row>
    <row r="147" spans="1:72" ht="12.95" customHeight="1">
      <c r="A147" s="3"/>
      <c r="B147" s="55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97"/>
      <c r="G150" s="1297"/>
      <c r="H150" s="1297"/>
      <c r="I150" s="1297"/>
      <c r="J150" s="1297"/>
      <c r="K150" s="1297"/>
      <c r="L150" s="1297"/>
      <c r="M150" s="1297"/>
      <c r="N150" s="1297"/>
      <c r="O150" s="1297"/>
      <c r="P150" s="1297"/>
      <c r="Q150" s="1297"/>
      <c r="R150" s="1297"/>
      <c r="S150" s="1297"/>
      <c r="T150" s="129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598" t="s">
        <v>2630</v>
      </c>
      <c r="P153" s="1647"/>
      <c r="Q153" s="1647"/>
      <c r="R153" s="1647"/>
      <c r="S153" s="1647"/>
      <c r="T153" s="1647"/>
      <c r="U153" s="1647"/>
      <c r="V153" s="1647"/>
      <c r="W153" s="1647"/>
      <c r="X153" s="1647"/>
      <c r="Y153" s="1647"/>
      <c r="Z153" s="1647"/>
      <c r="AA153" s="1647"/>
      <c r="AB153" s="1647"/>
      <c r="AC153" s="1647"/>
      <c r="AD153" s="1647"/>
      <c r="AE153" s="1647"/>
      <c r="AF153" s="1647"/>
      <c r="AG153" s="1647"/>
      <c r="AH153" s="1647"/>
    </row>
    <row r="154" spans="1:72" ht="12.95" customHeight="1">
      <c r="D154" s="325" t="s">
        <v>442</v>
      </c>
      <c r="O154" s="1627" t="s">
        <v>2631</v>
      </c>
      <c r="P154" s="1350"/>
      <c r="Q154" s="1350"/>
      <c r="R154" s="1350"/>
      <c r="S154" s="1350"/>
      <c r="T154" s="1350"/>
      <c r="U154" s="1350"/>
      <c r="V154" s="1350"/>
      <c r="W154" s="1350"/>
      <c r="X154" s="1350"/>
      <c r="Y154" s="1350"/>
      <c r="Z154" s="1350"/>
      <c r="AA154" s="1350"/>
      <c r="AB154" s="1350"/>
      <c r="AC154" s="1350"/>
      <c r="AD154" s="1350"/>
      <c r="AE154" s="1350"/>
      <c r="AF154" s="1350"/>
      <c r="AG154" s="1350"/>
      <c r="AH154" s="1350"/>
    </row>
    <row r="155" spans="1:72" ht="12.95" customHeight="1">
      <c r="D155" s="8" t="s">
        <v>444</v>
      </c>
      <c r="F155" s="8"/>
      <c r="G155" s="8"/>
      <c r="H155" s="8"/>
      <c r="I155" s="8"/>
      <c r="J155" s="8"/>
      <c r="K155" s="8"/>
      <c r="L155" s="8"/>
      <c r="M155" s="8"/>
      <c r="N155" s="8"/>
      <c r="O155" s="1759" t="s">
        <v>443</v>
      </c>
      <c r="P155" s="1759"/>
      <c r="Q155" s="1759"/>
      <c r="R155" s="1759"/>
      <c r="S155" s="1759"/>
      <c r="T155" s="1759"/>
      <c r="U155" s="1759"/>
      <c r="V155" s="1759"/>
      <c r="W155" s="1759"/>
      <c r="X155" s="1759"/>
      <c r="Y155" s="1759"/>
      <c r="Z155" s="1759"/>
      <c r="AA155" s="1759"/>
      <c r="AB155" s="1759"/>
      <c r="AC155" s="1759"/>
      <c r="AD155" s="1759"/>
      <c r="AE155" s="1759"/>
      <c r="AF155" s="1759"/>
      <c r="AG155" s="1759"/>
      <c r="AH155" s="1759"/>
    </row>
    <row r="156" spans="1:72" ht="12.95" customHeight="1">
      <c r="D156" t="s">
        <v>314</v>
      </c>
      <c r="O156" s="1352" t="s">
        <v>2632</v>
      </c>
      <c r="P156" s="1352"/>
      <c r="Q156" s="1352"/>
      <c r="R156" s="1352"/>
      <c r="S156" s="1352"/>
      <c r="T156" s="1352"/>
      <c r="U156" s="1352"/>
      <c r="V156" s="1352"/>
      <c r="W156" s="1352"/>
      <c r="X156" s="1352"/>
      <c r="Y156" s="1352"/>
      <c r="Z156" s="1352"/>
      <c r="AA156" s="1352"/>
      <c r="AB156" s="1352"/>
      <c r="AC156" s="1352"/>
      <c r="AD156" s="1352"/>
      <c r="AE156" s="1352"/>
      <c r="AF156" s="1352"/>
      <c r="AG156" s="1352"/>
      <c r="AH156" s="1352"/>
      <c r="BT156" t="s">
        <v>308</v>
      </c>
    </row>
    <row r="157" spans="1:72" ht="12.95" customHeight="1">
      <c r="D157" t="s">
        <v>315</v>
      </c>
      <c r="O157" s="1598" t="s">
        <v>2628</v>
      </c>
      <c r="P157" s="1647"/>
      <c r="Q157" s="1647"/>
      <c r="R157" s="1647"/>
      <c r="S157" s="1647"/>
      <c r="T157" s="1647"/>
      <c r="U157" s="1647"/>
      <c r="V157" s="1647"/>
      <c r="W157" s="1647"/>
      <c r="X157" s="1647"/>
      <c r="Y157" s="8"/>
      <c r="Z157" s="8"/>
      <c r="AA157" s="8"/>
      <c r="AB157" s="8"/>
      <c r="AC157" s="8"/>
      <c r="AD157" s="8"/>
      <c r="AE157" s="8"/>
      <c r="AF157" s="8"/>
      <c r="BN157" s="23" t="s">
        <v>645</v>
      </c>
      <c r="BT157" t="s">
        <v>485</v>
      </c>
    </row>
    <row r="158" spans="1:72" ht="12.95" customHeight="1">
      <c r="D158" t="s">
        <v>316</v>
      </c>
      <c r="O158" s="1760">
        <v>95678</v>
      </c>
      <c r="P158" s="1760"/>
      <c r="Q158" s="1760"/>
      <c r="R158" s="1760"/>
      <c r="S158" s="9"/>
      <c r="T158" s="9"/>
      <c r="U158" s="9"/>
      <c r="V158" s="9"/>
      <c r="W158" s="9"/>
      <c r="X158" s="9"/>
      <c r="Y158" s="9"/>
      <c r="Z158" s="9"/>
      <c r="AA158" s="9"/>
      <c r="AB158" s="9"/>
      <c r="AC158" s="9"/>
      <c r="AD158" s="9"/>
      <c r="AE158" s="9"/>
      <c r="AF158" s="9"/>
      <c r="BN158" s="23" t="s">
        <v>646</v>
      </c>
      <c r="BT158" t="s">
        <v>486</v>
      </c>
    </row>
    <row r="159" spans="1:72" ht="12.95" customHeight="1">
      <c r="D159" t="s">
        <v>317</v>
      </c>
      <c r="O159" s="1762">
        <v>9167745362</v>
      </c>
      <c r="P159" s="1762"/>
      <c r="Q159" s="1762"/>
      <c r="R159" s="1762"/>
      <c r="S159" s="1762"/>
      <c r="T159" s="1762"/>
      <c r="V159" s="97" t="s">
        <v>272</v>
      </c>
      <c r="W159" s="1761"/>
      <c r="X159" s="1761"/>
      <c r="Y159" s="10"/>
      <c r="Z159" s="10"/>
      <c r="AA159" s="10"/>
      <c r="AB159" s="10"/>
      <c r="AC159" s="10"/>
      <c r="AD159" s="10"/>
      <c r="AE159" s="10"/>
      <c r="AF159" s="10"/>
      <c r="BN159" s="23" t="s">
        <v>340</v>
      </c>
      <c r="BT159" t="s">
        <v>487</v>
      </c>
    </row>
    <row r="160" spans="1:72" ht="12.95" customHeight="1">
      <c r="D160" t="s">
        <v>318</v>
      </c>
      <c r="O160" s="1762" t="s">
        <v>600</v>
      </c>
      <c r="P160" s="1762"/>
      <c r="Q160" s="1762"/>
      <c r="R160" s="1762"/>
      <c r="S160" s="1762"/>
      <c r="T160" s="1762"/>
      <c r="U160" s="10"/>
      <c r="V160" s="10"/>
      <c r="W160" s="10"/>
      <c r="X160" s="10"/>
      <c r="Y160" s="10"/>
      <c r="Z160" s="10"/>
      <c r="AA160" s="10"/>
      <c r="AB160" s="10"/>
      <c r="AC160" s="10"/>
      <c r="AD160" s="10"/>
      <c r="AE160" s="10"/>
      <c r="AF160" s="10"/>
      <c r="BN160" s="23" t="s">
        <v>669</v>
      </c>
      <c r="BT160" t="s">
        <v>488</v>
      </c>
    </row>
    <row r="161" spans="1:72" ht="12.95" customHeight="1">
      <c r="D161" t="s">
        <v>319</v>
      </c>
      <c r="O161" s="1743" t="s">
        <v>2633</v>
      </c>
      <c r="P161" s="1743"/>
      <c r="Q161" s="1743"/>
      <c r="R161" s="1743"/>
      <c r="S161" s="1743"/>
      <c r="T161" s="1743"/>
      <c r="U161" s="1743"/>
      <c r="V161" s="1743"/>
      <c r="W161" s="1743"/>
      <c r="X161" s="1743"/>
      <c r="Y161" s="1743"/>
      <c r="Z161" s="1743"/>
      <c r="AA161" s="1743"/>
      <c r="AB161" s="1743"/>
      <c r="AC161" s="1743"/>
      <c r="AD161" s="1743"/>
      <c r="AE161" s="1743"/>
      <c r="AF161" s="1743"/>
      <c r="AG161" s="1743"/>
      <c r="AH161" s="1743"/>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83</v>
      </c>
      <c r="D163" s="3" t="s">
        <v>2523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18" t="s">
        <v>1387</v>
      </c>
      <c r="E164" s="1818"/>
      <c r="F164" s="1818"/>
      <c r="G164" s="1818"/>
      <c r="H164" s="1818"/>
      <c r="I164" s="1818"/>
      <c r="J164" s="1818"/>
      <c r="K164" s="1818"/>
      <c r="L164" s="1818"/>
      <c r="M164" s="1818"/>
      <c r="N164" s="1818"/>
      <c r="O164" s="1818"/>
      <c r="P164" s="1818"/>
      <c r="Q164" s="1818"/>
      <c r="R164" s="1818"/>
      <c r="S164" s="1818"/>
      <c r="T164" s="1818"/>
      <c r="U164" s="1818"/>
      <c r="V164" s="1818"/>
      <c r="W164" s="1818"/>
      <c r="X164" s="1818"/>
      <c r="Y164" s="1818"/>
      <c r="Z164" s="1818"/>
      <c r="AA164" s="1818"/>
      <c r="AB164" s="1818"/>
      <c r="AC164" s="1818"/>
      <c r="AD164" s="1818"/>
      <c r="AE164" s="1818"/>
      <c r="AF164" s="1818"/>
      <c r="AG164" s="1818"/>
      <c r="AH164" s="1818"/>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641" t="s">
        <v>548</v>
      </c>
      <c r="B169" s="1641"/>
      <c r="C169" s="1641"/>
      <c r="D169" s="1641"/>
      <c r="E169" s="1641"/>
      <c r="F169" s="1641"/>
      <c r="G169" s="1641"/>
      <c r="H169" s="1641"/>
      <c r="I169" s="1641"/>
      <c r="J169" s="1641"/>
      <c r="K169" s="1641"/>
      <c r="L169" s="1641"/>
      <c r="M169" s="1641"/>
      <c r="N169" s="1641"/>
      <c r="O169" s="1641"/>
      <c r="P169" s="1641"/>
      <c r="Q169" s="1641"/>
      <c r="R169" s="1641"/>
      <c r="S169" s="1641"/>
      <c r="T169" s="1641"/>
      <c r="U169" s="1641"/>
      <c r="V169" s="1641"/>
      <c r="W169" s="1641"/>
      <c r="X169" s="1641"/>
      <c r="Y169" s="1641"/>
      <c r="Z169" s="1641"/>
      <c r="AA169" s="1641"/>
      <c r="AB169" s="1641"/>
      <c r="AC169" s="1641"/>
      <c r="AD169" s="1641"/>
      <c r="AE169" s="1641"/>
      <c r="AF169" s="1641"/>
      <c r="AG169" s="1641"/>
      <c r="AH169" s="1641"/>
      <c r="AI169" s="1641"/>
      <c r="AJ169" s="1641"/>
      <c r="AK169" s="1641"/>
      <c r="AL169" s="1641"/>
      <c r="AM169" s="95"/>
      <c r="AN169" s="95"/>
      <c r="AO169" s="95"/>
      <c r="AP169" s="95"/>
      <c r="AQ169" s="95"/>
      <c r="AR169" s="95"/>
      <c r="AS169" s="95"/>
      <c r="AT169" s="95"/>
      <c r="AU169" s="95"/>
      <c r="AV169" s="95"/>
      <c r="AW169" s="95"/>
      <c r="AX169" s="95"/>
      <c r="AY169" s="95"/>
      <c r="BN169" s="23" t="s">
        <v>682</v>
      </c>
      <c r="BT169" t="s">
        <v>497</v>
      </c>
    </row>
    <row r="170" spans="1:72" ht="12.95" customHeight="1" thickBot="1">
      <c r="A170" s="1642"/>
      <c r="B170" s="1642"/>
      <c r="C170" s="1642"/>
      <c r="D170" s="1642"/>
      <c r="E170" s="1642"/>
      <c r="F170" s="1642"/>
      <c r="G170" s="1642"/>
      <c r="H170" s="1642"/>
      <c r="I170" s="164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D170" s="1642"/>
      <c r="AE170" s="1642"/>
      <c r="AF170" s="1642"/>
      <c r="AG170" s="1642"/>
      <c r="AH170" s="1642"/>
      <c r="AI170" s="1642"/>
      <c r="AJ170" s="1642"/>
      <c r="AK170" s="1642"/>
      <c r="AL170" s="1642"/>
      <c r="AM170" s="95"/>
      <c r="AN170" s="95"/>
      <c r="AO170" s="95"/>
      <c r="AP170" s="95"/>
      <c r="AQ170" s="95"/>
      <c r="AR170" s="95"/>
      <c r="AS170" s="95"/>
      <c r="AT170" s="95"/>
      <c r="AU170" s="95"/>
      <c r="AV170" s="95"/>
      <c r="AW170" s="95"/>
      <c r="AX170" s="95"/>
      <c r="AY170" s="95"/>
      <c r="BN170" s="23" t="s">
        <v>683</v>
      </c>
      <c r="BT170" t="s">
        <v>498</v>
      </c>
    </row>
    <row r="171" spans="1:72" ht="12.95" customHeight="1" thickTop="1">
      <c r="BN171" s="23" t="s">
        <v>212</v>
      </c>
      <c r="BT171" t="s">
        <v>499</v>
      </c>
    </row>
    <row r="172" spans="1:72" ht="12.95" customHeight="1">
      <c r="A172" s="2" t="s">
        <v>320</v>
      </c>
      <c r="C172" s="2" t="s">
        <v>321</v>
      </c>
      <c r="BN172" s="23" t="s">
        <v>214</v>
      </c>
      <c r="BT172" t="s">
        <v>500</v>
      </c>
    </row>
    <row r="173" spans="1:72" ht="12.95" customHeight="1">
      <c r="C173" s="24"/>
      <c r="D173" t="s">
        <v>322</v>
      </c>
      <c r="J173" s="1758" t="s">
        <v>372</v>
      </c>
      <c r="K173" s="1758"/>
      <c r="L173" s="1758"/>
      <c r="M173" s="1758"/>
      <c r="N173" s="1758"/>
      <c r="O173" s="1758"/>
      <c r="P173" s="1758"/>
      <c r="Q173" s="1758"/>
      <c r="R173" s="1758"/>
      <c r="S173" s="1758"/>
      <c r="U173" s="25"/>
      <c r="X173" s="25"/>
      <c r="BN173" s="23" t="s">
        <v>215</v>
      </c>
      <c r="BT173" t="s">
        <v>501</v>
      </c>
    </row>
    <row r="174" spans="1:72" ht="12.95" customHeight="1">
      <c r="C174" s="24"/>
      <c r="D174" s="3" t="s">
        <v>1345</v>
      </c>
      <c r="J174" s="1352" t="s">
        <v>2529</v>
      </c>
      <c r="K174" s="1352"/>
      <c r="L174" s="1352"/>
      <c r="M174" s="1352"/>
      <c r="N174" s="1352"/>
      <c r="O174" s="1352"/>
      <c r="P174" s="1352"/>
      <c r="Q174" s="1352"/>
      <c r="R174" s="1352"/>
      <c r="S174" s="1352"/>
      <c r="T174" s="1352"/>
      <c r="U174" s="1352"/>
      <c r="V174" s="1352"/>
      <c r="W174" s="1352"/>
      <c r="X174" s="1352"/>
      <c r="Y174" s="1352"/>
      <c r="Z174" s="1352"/>
      <c r="AA174" s="1352"/>
      <c r="AB174" s="1352"/>
      <c r="BN174" s="23" t="s">
        <v>217</v>
      </c>
      <c r="BT174" t="s">
        <v>502</v>
      </c>
    </row>
    <row r="175" spans="1:72" ht="12.95" customHeight="1">
      <c r="C175" s="8"/>
      <c r="D175" s="3" t="s">
        <v>323</v>
      </c>
      <c r="O175" s="27"/>
      <c r="U175" s="1353"/>
      <c r="V175" s="1353"/>
      <c r="BN175" s="23" t="s">
        <v>218</v>
      </c>
      <c r="BT175" t="s">
        <v>503</v>
      </c>
    </row>
    <row r="176" spans="1:72" ht="12.95" customHeight="1">
      <c r="C176" s="8"/>
      <c r="D176" s="26"/>
      <c r="E176" t="s">
        <v>305</v>
      </c>
      <c r="O176" s="27"/>
      <c r="P176" t="s">
        <v>2501</v>
      </c>
      <c r="T176" s="27" t="s">
        <v>306</v>
      </c>
      <c r="U176" s="1381"/>
      <c r="V176" s="1381"/>
      <c r="W176" s="1" t="s">
        <v>307</v>
      </c>
      <c r="X176" s="1744"/>
      <c r="Y176" s="1744"/>
      <c r="BN176" s="23" t="s">
        <v>220</v>
      </c>
      <c r="BT176" t="s">
        <v>504</v>
      </c>
    </row>
    <row r="177" spans="1:72" ht="12.95" customHeight="1">
      <c r="C177" s="24"/>
      <c r="D177" t="s">
        <v>250</v>
      </c>
      <c r="R177" s="1353"/>
      <c r="S177" s="1353"/>
      <c r="BN177" s="23" t="s">
        <v>221</v>
      </c>
      <c r="BT177" t="s">
        <v>505</v>
      </c>
    </row>
    <row r="178" spans="1:72" ht="12.95" customHeight="1">
      <c r="C178" s="24"/>
      <c r="D178" s="3" t="s">
        <v>1346</v>
      </c>
      <c r="AA178" t="s">
        <v>2501</v>
      </c>
      <c r="AE178" s="27" t="s">
        <v>306</v>
      </c>
      <c r="AF178" s="1599"/>
      <c r="AG178" s="1599"/>
      <c r="AH178" s="1" t="s">
        <v>307</v>
      </c>
      <c r="AI178" s="1652"/>
      <c r="AJ178" s="1652"/>
      <c r="AK178" s="1652"/>
      <c r="BN178" s="23" t="s">
        <v>222</v>
      </c>
      <c r="BT178" t="s">
        <v>53</v>
      </c>
    </row>
    <row r="179" spans="1:72" ht="12.95" customHeight="1">
      <c r="C179" s="24"/>
      <c r="BN179" s="23" t="s">
        <v>223</v>
      </c>
      <c r="BT179" t="s">
        <v>54</v>
      </c>
    </row>
    <row r="180" spans="1:72" ht="12.95" customHeight="1">
      <c r="C180" s="24"/>
      <c r="D180" t="s">
        <v>2502</v>
      </c>
      <c r="X180" s="1353"/>
      <c r="Y180" s="1353"/>
      <c r="BN180" s="23" t="s">
        <v>225</v>
      </c>
      <c r="BT180" t="s">
        <v>55</v>
      </c>
    </row>
    <row r="181" spans="1:72" ht="12.95" customHeight="1">
      <c r="C181" s="8"/>
      <c r="E181" s="4" t="s">
        <v>1016</v>
      </c>
      <c r="BN181" s="23" t="s">
        <v>226</v>
      </c>
      <c r="BT181" t="s">
        <v>56</v>
      </c>
    </row>
    <row r="182" spans="1:72" ht="12.95" customHeight="1">
      <c r="C182" s="565"/>
      <c r="BN182" s="23" t="s">
        <v>227</v>
      </c>
      <c r="BT182" t="s">
        <v>60</v>
      </c>
    </row>
    <row r="183" spans="1:72" ht="12.95" customHeight="1">
      <c r="A183" s="2" t="s">
        <v>585</v>
      </c>
      <c r="C183" s="2" t="s">
        <v>586</v>
      </c>
      <c r="BN183" s="23" t="s">
        <v>229</v>
      </c>
      <c r="BT183" t="s">
        <v>61</v>
      </c>
    </row>
    <row r="184" spans="1:72" ht="12.95" customHeight="1">
      <c r="C184" s="21"/>
      <c r="D184" t="s">
        <v>587</v>
      </c>
      <c r="I184" s="1351" t="str">
        <f>H18</f>
        <v>Creekview Affordable - C-40</v>
      </c>
      <c r="J184" s="1351"/>
      <c r="K184" s="1351"/>
      <c r="L184" s="1351"/>
      <c r="M184" s="1351"/>
      <c r="N184" s="1351"/>
      <c r="O184" s="1351"/>
      <c r="P184" s="1351"/>
      <c r="Q184" s="1351"/>
      <c r="R184" s="1351"/>
      <c r="S184" s="1351"/>
      <c r="T184" s="1351"/>
      <c r="U184" s="1351"/>
      <c r="V184" s="1351"/>
      <c r="W184" s="1351"/>
      <c r="X184" s="1351"/>
      <c r="Y184" s="1351"/>
      <c r="Z184" s="1351"/>
      <c r="AA184" s="1351"/>
      <c r="AB184" s="1351"/>
      <c r="AC184" s="1351"/>
      <c r="AD184" s="1351"/>
      <c r="AE184" s="1351"/>
      <c r="BC184" t="s">
        <v>596</v>
      </c>
      <c r="BN184" s="23" t="s">
        <v>231</v>
      </c>
      <c r="BT184" t="s">
        <v>62</v>
      </c>
    </row>
    <row r="185" spans="1:72" ht="12.95" customHeight="1">
      <c r="C185" s="21"/>
      <c r="D185" t="s">
        <v>588</v>
      </c>
      <c r="I185" s="1359" t="s">
        <v>2634</v>
      </c>
      <c r="J185" s="1359"/>
      <c r="K185" s="1359"/>
      <c r="L185" s="1359"/>
      <c r="M185" s="1359"/>
      <c r="N185" s="1359"/>
      <c r="O185" s="1359"/>
      <c r="P185" s="1359"/>
      <c r="Q185" s="1359"/>
      <c r="R185" s="1359"/>
      <c r="S185" s="1359"/>
      <c r="T185" s="1359"/>
      <c r="U185" s="1359"/>
      <c r="V185" s="1359"/>
      <c r="W185" s="1359"/>
      <c r="X185" s="1359"/>
      <c r="Y185" s="1359"/>
      <c r="Z185" s="1359"/>
      <c r="AA185" s="1359"/>
      <c r="AB185" s="1359"/>
      <c r="AC185" s="1359"/>
      <c r="AD185" s="1359"/>
      <c r="AE185" s="1359"/>
      <c r="BC185" t="s">
        <v>597</v>
      </c>
      <c r="BN185" s="23" t="s">
        <v>232</v>
      </c>
      <c r="BT185" t="s">
        <v>63</v>
      </c>
    </row>
    <row r="186" spans="1:72" ht="12.95" customHeight="1">
      <c r="C186" s="21"/>
      <c r="E186" t="s">
        <v>168</v>
      </c>
      <c r="BN186" s="23" t="s">
        <v>233</v>
      </c>
      <c r="BT186" t="s">
        <v>64</v>
      </c>
    </row>
    <row r="187" spans="1:72" ht="12.95" customHeight="1">
      <c r="C187" s="21"/>
      <c r="E187" s="1769"/>
      <c r="F187" s="1769"/>
      <c r="G187" s="1769"/>
      <c r="H187" s="1769"/>
      <c r="I187" s="1769"/>
      <c r="J187" s="1769"/>
      <c r="K187" s="1769"/>
      <c r="L187" s="1769"/>
      <c r="M187" s="1769"/>
      <c r="N187" s="1769"/>
      <c r="O187" s="1769"/>
      <c r="P187" s="1769"/>
      <c r="Q187" s="1769"/>
      <c r="R187" s="1769"/>
      <c r="S187" s="1769"/>
      <c r="T187" s="1769"/>
      <c r="U187" s="1769"/>
      <c r="V187" s="1769"/>
      <c r="W187" s="1769"/>
      <c r="X187" s="1769"/>
      <c r="Y187" s="1769"/>
      <c r="Z187" s="1769"/>
      <c r="AA187" s="1769"/>
      <c r="AB187" s="1769"/>
      <c r="AC187" s="1769"/>
      <c r="AD187" s="1769"/>
      <c r="AE187" s="1769"/>
      <c r="BN187" s="23" t="s">
        <v>234</v>
      </c>
      <c r="BT187" t="s">
        <v>65</v>
      </c>
    </row>
    <row r="188" spans="1:72" ht="12.95" customHeight="1">
      <c r="C188" s="21"/>
      <c r="E188" s="1596"/>
      <c r="F188" s="1596"/>
      <c r="G188" s="1596"/>
      <c r="H188" s="1596"/>
      <c r="I188" s="1596"/>
      <c r="J188" s="1596"/>
      <c r="K188" s="1596"/>
      <c r="L188" s="1596"/>
      <c r="M188" s="1596"/>
      <c r="N188" s="1596"/>
      <c r="O188" s="1596"/>
      <c r="P188" s="1596"/>
      <c r="Q188" s="1596"/>
      <c r="R188" s="1596"/>
      <c r="S188" s="1596"/>
      <c r="T188" s="1596"/>
      <c r="U188" s="1596"/>
      <c r="V188" s="1596"/>
      <c r="W188" s="1596"/>
      <c r="X188" s="1596"/>
      <c r="Y188" s="1596"/>
      <c r="Z188" s="1596"/>
      <c r="AA188" s="1596"/>
      <c r="AB188" s="1596"/>
      <c r="AC188" s="1596"/>
      <c r="AD188" s="1596"/>
      <c r="AE188" s="1596"/>
      <c r="BN188" s="23" t="s">
        <v>236</v>
      </c>
      <c r="BT188" t="s">
        <v>66</v>
      </c>
    </row>
    <row r="189" spans="1:72" ht="12.95" customHeight="1">
      <c r="C189" s="21"/>
      <c r="D189" t="s">
        <v>589</v>
      </c>
      <c r="I189" s="1352" t="s">
        <v>2628</v>
      </c>
      <c r="J189" s="1352"/>
      <c r="K189" s="1352"/>
      <c r="L189" s="1352"/>
      <c r="M189" s="1352"/>
      <c r="N189" s="1352"/>
      <c r="O189" s="1352"/>
      <c r="P189" s="1352"/>
      <c r="Q189" t="s">
        <v>591</v>
      </c>
      <c r="T189" s="1352" t="s">
        <v>65</v>
      </c>
      <c r="U189" s="1352"/>
      <c r="V189" s="1352"/>
      <c r="W189" s="1352"/>
      <c r="X189" s="1352"/>
      <c r="Y189" s="1352"/>
      <c r="Z189" s="1352"/>
      <c r="AA189" s="1352"/>
      <c r="AB189" s="1352"/>
      <c r="AC189" s="1352"/>
      <c r="AD189" s="1352"/>
      <c r="AE189" s="1352"/>
      <c r="BC189" t="s">
        <v>308</v>
      </c>
      <c r="BH189" s="3" t="s">
        <v>600</v>
      </c>
      <c r="BN189" s="23" t="s">
        <v>237</v>
      </c>
      <c r="BT189" t="s">
        <v>67</v>
      </c>
    </row>
    <row r="190" spans="1:72" ht="12.95" customHeight="1">
      <c r="C190" s="21"/>
      <c r="D190" t="s">
        <v>592</v>
      </c>
      <c r="I190" s="1359">
        <v>95747</v>
      </c>
      <c r="J190" s="1359"/>
      <c r="K190" s="1359"/>
      <c r="L190" s="1359"/>
      <c r="M190" s="1359"/>
      <c r="N190" s="1359"/>
      <c r="O190" t="s">
        <v>594</v>
      </c>
      <c r="T190" s="1767">
        <v>213.28</v>
      </c>
      <c r="U190" s="1767"/>
      <c r="V190" s="1767"/>
      <c r="W190" s="1767"/>
      <c r="X190" s="1767"/>
      <c r="Y190" s="1767"/>
      <c r="Z190" s="1767"/>
      <c r="AA190" s="1767"/>
      <c r="AB190" s="1767"/>
      <c r="AC190" s="1767"/>
      <c r="AD190" s="1767"/>
      <c r="AE190" s="1767"/>
      <c r="BC190" t="s">
        <v>1102</v>
      </c>
      <c r="BH190" t="s">
        <v>1102</v>
      </c>
      <c r="BN190" s="23" t="s">
        <v>644</v>
      </c>
      <c r="BT190" t="s">
        <v>68</v>
      </c>
    </row>
    <row r="191" spans="1:72" ht="12.95" customHeight="1">
      <c r="C191" s="21"/>
      <c r="D191" t="s">
        <v>471</v>
      </c>
      <c r="N191" s="1769" t="s">
        <v>2635</v>
      </c>
      <c r="O191" s="1769"/>
      <c r="P191" s="1769"/>
      <c r="Q191" s="1769"/>
      <c r="R191" s="1769"/>
      <c r="S191" s="1769"/>
      <c r="T191" s="1769"/>
      <c r="U191" s="1769"/>
      <c r="V191" s="1769"/>
      <c r="W191" s="1769"/>
      <c r="X191" s="1769"/>
      <c r="Y191" s="1769"/>
      <c r="Z191" s="1769"/>
      <c r="AA191" s="1769"/>
      <c r="AB191" s="1769"/>
      <c r="AC191" s="1769"/>
      <c r="AD191" s="1769"/>
      <c r="AE191" s="1769"/>
      <c r="BC191" t="s">
        <v>1101</v>
      </c>
      <c r="BH191" t="s">
        <v>1101</v>
      </c>
      <c r="BN191" s="23" t="s">
        <v>698</v>
      </c>
      <c r="BT191" t="s">
        <v>739</v>
      </c>
    </row>
    <row r="192" spans="1:72" ht="12.95" customHeight="1">
      <c r="C192" s="21"/>
      <c r="M192" s="40"/>
      <c r="N192" s="1596"/>
      <c r="O192" s="1596"/>
      <c r="P192" s="1596"/>
      <c r="Q192" s="1596"/>
      <c r="R192" s="1596"/>
      <c r="S192" s="1596"/>
      <c r="T192" s="1596"/>
      <c r="U192" s="1596"/>
      <c r="V192" s="1596"/>
      <c r="W192" s="1596"/>
      <c r="X192" s="1596"/>
      <c r="Y192" s="1596"/>
      <c r="Z192" s="1596"/>
      <c r="AA192" s="1596"/>
      <c r="AB192" s="1596"/>
      <c r="AC192" s="1596"/>
      <c r="AD192" s="1596"/>
      <c r="AE192" s="1596"/>
      <c r="BC192" t="s">
        <v>1104</v>
      </c>
      <c r="BH192" s="3" t="s">
        <v>1807</v>
      </c>
      <c r="BN192" s="23" t="s">
        <v>699</v>
      </c>
      <c r="BT192" t="s">
        <v>740</v>
      </c>
    </row>
    <row r="193" spans="1:74" ht="12.95" customHeight="1">
      <c r="C193" s="21"/>
      <c r="D193" t="s">
        <v>2503</v>
      </c>
      <c r="M193" s="40"/>
      <c r="N193" s="930"/>
      <c r="O193" s="930"/>
      <c r="P193" s="930"/>
      <c r="Q193" s="930"/>
      <c r="R193" s="930"/>
      <c r="S193" s="930"/>
      <c r="T193" s="1750"/>
      <c r="U193" s="1750"/>
      <c r="V193" s="1750"/>
      <c r="W193" s="1750"/>
      <c r="X193" s="1750"/>
      <c r="Y193" s="1750"/>
      <c r="Z193" s="1750"/>
      <c r="AA193" s="1750"/>
      <c r="AB193" s="1750"/>
      <c r="AC193" s="1750"/>
      <c r="AD193" s="1750"/>
      <c r="AE193" s="1750"/>
      <c r="AF193" s="1750"/>
      <c r="AG193" s="1750"/>
      <c r="AH193" s="1750"/>
      <c r="AI193" s="1750"/>
      <c r="BC193" t="s">
        <v>1103</v>
      </c>
      <c r="BH193" s="3" t="s">
        <v>1808</v>
      </c>
      <c r="BN193" s="23" t="s">
        <v>700</v>
      </c>
      <c r="BT193" t="s">
        <v>741</v>
      </c>
    </row>
    <row r="194" spans="1:74" ht="12.95" customHeight="1">
      <c r="C194" s="21"/>
      <c r="D194" t="s">
        <v>332</v>
      </c>
      <c r="T194" s="1353" t="s">
        <v>554</v>
      </c>
      <c r="U194" s="1353"/>
      <c r="W194" t="s">
        <v>694</v>
      </c>
      <c r="AH194" s="1353">
        <v>3</v>
      </c>
      <c r="AI194" s="1353"/>
      <c r="BC194" t="s">
        <v>1536</v>
      </c>
      <c r="BN194" s="23" t="s">
        <v>701</v>
      </c>
      <c r="BT194" t="s">
        <v>742</v>
      </c>
    </row>
    <row r="195" spans="1:74" ht="12.95" customHeight="1">
      <c r="C195" s="21"/>
      <c r="D195" t="s">
        <v>387</v>
      </c>
      <c r="T195" s="1517" t="s">
        <v>678</v>
      </c>
      <c r="U195" s="1517"/>
      <c r="W195" t="s">
        <v>695</v>
      </c>
      <c r="AH195" s="1353">
        <v>5</v>
      </c>
      <c r="AI195" s="1353"/>
      <c r="BC195" t="s">
        <v>2119</v>
      </c>
      <c r="BN195" s="23" t="s">
        <v>243</v>
      </c>
      <c r="BT195" t="s">
        <v>743</v>
      </c>
    </row>
    <row r="196" spans="1:74" ht="12.95" customHeight="1">
      <c r="C196" s="21"/>
      <c r="D196" s="3" t="s">
        <v>169</v>
      </c>
      <c r="T196" s="1517" t="s">
        <v>678</v>
      </c>
      <c r="U196" s="1517"/>
      <c r="W196" t="s">
        <v>696</v>
      </c>
      <c r="AH196" s="1353">
        <v>6</v>
      </c>
      <c r="AI196" s="1353"/>
      <c r="BN196" s="23" t="s">
        <v>244</v>
      </c>
      <c r="BT196" t="s">
        <v>69</v>
      </c>
    </row>
    <row r="197" spans="1:74" ht="12.95" customHeight="1">
      <c r="C197" s="21"/>
      <c r="D197" s="3" t="s">
        <v>1832</v>
      </c>
      <c r="T197" s="1517"/>
      <c r="U197" s="1517"/>
      <c r="AH197" s="14"/>
      <c r="AI197" s="14"/>
      <c r="BC197" t="s">
        <v>308</v>
      </c>
      <c r="BN197" s="23" t="s">
        <v>245</v>
      </c>
      <c r="BT197" t="s">
        <v>70</v>
      </c>
    </row>
    <row r="198" spans="1:74" s="14" customFormat="1" ht="12.95" customHeight="1">
      <c r="A198"/>
      <c r="B198"/>
      <c r="C198" s="21"/>
      <c r="E198"/>
      <c r="F198"/>
      <c r="G198"/>
      <c r="H198"/>
      <c r="I198"/>
      <c r="J198"/>
      <c r="K198"/>
      <c r="L198"/>
      <c r="M198"/>
      <c r="N198"/>
      <c r="O198"/>
      <c r="P198"/>
      <c r="Q198"/>
      <c r="R198"/>
      <c r="S198"/>
      <c r="T198"/>
      <c r="U198"/>
      <c r="V198"/>
      <c r="W198"/>
      <c r="X198" s="1076" t="s">
        <v>2504</v>
      </c>
      <c r="Y198" s="1353" t="s">
        <v>678</v>
      </c>
      <c r="Z198" s="1353"/>
      <c r="AA198"/>
      <c r="AB198"/>
      <c r="AC198"/>
      <c r="AD198"/>
      <c r="AE198"/>
      <c r="AF198"/>
      <c r="AG198"/>
      <c r="AJ198"/>
      <c r="AK198"/>
      <c r="AL198"/>
      <c r="AM198"/>
      <c r="AN198"/>
      <c r="AO198"/>
      <c r="AP198"/>
      <c r="AQ198"/>
      <c r="AR198"/>
      <c r="AS198"/>
      <c r="AT198"/>
      <c r="AU198"/>
      <c r="AV198"/>
      <c r="AW198"/>
      <c r="AX198"/>
      <c r="AY198"/>
      <c r="AZ198" s="30"/>
      <c r="BA198" s="30"/>
      <c r="BC198" t="s">
        <v>904</v>
      </c>
      <c r="BD198"/>
      <c r="BN198" s="23" t="s">
        <v>707</v>
      </c>
      <c r="BO198"/>
      <c r="BP198"/>
      <c r="BQ198"/>
      <c r="BR198"/>
      <c r="BS198"/>
      <c r="BT198" t="s">
        <v>192</v>
      </c>
      <c r="BU198"/>
      <c r="BV198" s="31"/>
    </row>
    <row r="199" spans="1:74" s="14" customFormat="1" ht="12.95" customHeight="1">
      <c r="A199"/>
      <c r="B199"/>
      <c r="C199" s="21"/>
      <c r="D199" t="s">
        <v>693</v>
      </c>
      <c r="E199"/>
      <c r="F199"/>
      <c r="G199"/>
      <c r="H199"/>
      <c r="I199"/>
      <c r="J199"/>
      <c r="K199"/>
      <c r="L199"/>
      <c r="M199"/>
      <c r="N199"/>
      <c r="O199"/>
      <c r="P199"/>
      <c r="Q199"/>
      <c r="R199"/>
      <c r="S199"/>
      <c r="T199" s="1"/>
      <c r="U199" s="1"/>
      <c r="V199"/>
      <c r="W199"/>
      <c r="X199"/>
      <c r="Y199"/>
      <c r="Z199"/>
      <c r="AA199"/>
      <c r="AB199"/>
      <c r="AC199"/>
      <c r="AD199"/>
      <c r="AE199"/>
      <c r="AF199"/>
      <c r="AG199"/>
      <c r="AH199" s="1"/>
      <c r="AI199" s="1"/>
      <c r="AJ199"/>
      <c r="AK199"/>
      <c r="AL199"/>
      <c r="AM199"/>
      <c r="AN199"/>
      <c r="AO199"/>
      <c r="AP199"/>
      <c r="AQ199"/>
      <c r="AR199"/>
      <c r="AS199"/>
      <c r="AT199"/>
      <c r="AU199"/>
      <c r="AV199"/>
      <c r="AW199"/>
      <c r="AX199"/>
      <c r="AY199"/>
      <c r="AZ199" s="30"/>
      <c r="BA199" s="30"/>
      <c r="BC199" s="3" t="s">
        <v>903</v>
      </c>
      <c r="BD199"/>
      <c r="BN199" s="23" t="s">
        <v>708</v>
      </c>
      <c r="BO199"/>
      <c r="BP199"/>
      <c r="BQ199"/>
      <c r="BR199"/>
      <c r="BS199"/>
      <c r="BT199" s="32" t="s">
        <v>193</v>
      </c>
      <c r="BU199"/>
      <c r="BV199" s="31"/>
    </row>
    <row r="200" spans="1:74" s="14" customFormat="1" ht="12.95" customHeight="1">
      <c r="A200"/>
      <c r="B200"/>
      <c r="C200" s="21"/>
      <c r="D200" s="221" t="s">
        <v>958</v>
      </c>
      <c r="E200"/>
      <c r="F200"/>
      <c r="G200"/>
      <c r="H200"/>
      <c r="I200"/>
      <c r="J200"/>
      <c r="K200"/>
      <c r="L200"/>
      <c r="M200"/>
      <c r="N200"/>
      <c r="O200"/>
      <c r="P200"/>
      <c r="Q200"/>
      <c r="R200"/>
      <c r="S200"/>
      <c r="T200" s="1"/>
      <c r="U200" s="1"/>
      <c r="V200"/>
      <c r="W200" s="221" t="s">
        <v>957</v>
      </c>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1127</v>
      </c>
      <c r="BD200" s="470"/>
      <c r="BN200" s="23" t="s">
        <v>709</v>
      </c>
      <c r="BO200"/>
      <c r="BP200"/>
      <c r="BQ200"/>
      <c r="BR200"/>
      <c r="BS200"/>
      <c r="BT200" s="32" t="s">
        <v>194</v>
      </c>
      <c r="BU200"/>
    </row>
    <row r="201" spans="1:74" s="14" customFormat="1" ht="12.95" customHeight="1">
      <c r="A201"/>
      <c r="B201"/>
      <c r="C201" s="21"/>
      <c r="D201" s="547"/>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s="30"/>
      <c r="BA201" s="30"/>
      <c r="BC201" t="s">
        <v>620</v>
      </c>
      <c r="BD201" s="470"/>
      <c r="BN201" s="23" t="s">
        <v>710</v>
      </c>
      <c r="BO201" s="31"/>
      <c r="BP201" s="32"/>
      <c r="BQ201" s="32"/>
      <c r="BR201" s="32"/>
      <c r="BS201" s="32"/>
      <c r="BT201" s="32" t="s">
        <v>195</v>
      </c>
      <c r="BU201"/>
    </row>
    <row r="202" spans="1:74" ht="12.95" customHeight="1">
      <c r="A202" s="2" t="s">
        <v>595</v>
      </c>
      <c r="C202" s="2" t="s">
        <v>137</v>
      </c>
      <c r="BC202" t="s">
        <v>1128</v>
      </c>
      <c r="BD202" s="470"/>
      <c r="BN202" s="23" t="s">
        <v>711</v>
      </c>
      <c r="BO202" s="14"/>
      <c r="BP202" s="32"/>
      <c r="BQ202" s="32"/>
      <c r="BR202" s="32"/>
      <c r="BS202" s="32"/>
      <c r="BT202" s="32" t="s">
        <v>196</v>
      </c>
    </row>
    <row r="203" spans="1:74" ht="12.95" customHeight="1">
      <c r="D203" s="1351" t="s">
        <v>386</v>
      </c>
      <c r="E203" s="1351"/>
      <c r="F203" s="1351"/>
      <c r="G203" s="1351"/>
      <c r="H203" s="1351"/>
      <c r="I203" s="1351"/>
      <c r="J203" s="1351"/>
      <c r="K203" s="1351"/>
      <c r="L203" s="1351"/>
      <c r="M203" s="1351"/>
      <c r="P203" s="1765">
        <f>M26</f>
        <v>3266887</v>
      </c>
      <c r="Q203" s="1754"/>
      <c r="R203" s="1754"/>
      <c r="S203" s="1754"/>
      <c r="T203" s="1754"/>
      <c r="U203" s="1754"/>
      <c r="Z203" s="1752" t="s">
        <v>2637</v>
      </c>
      <c r="AA203" s="1752"/>
      <c r="AB203" s="1752"/>
      <c r="AC203" s="1752"/>
      <c r="AD203" s="1752"/>
      <c r="AE203" s="1752"/>
      <c r="AF203" s="1752"/>
      <c r="BC203" t="s">
        <v>1129</v>
      </c>
      <c r="BN203" s="23" t="s">
        <v>712</v>
      </c>
      <c r="BO203" s="14"/>
      <c r="BP203" s="32"/>
      <c r="BQ203" s="32"/>
      <c r="BR203" s="32"/>
      <c r="BS203" s="32"/>
      <c r="BT203" s="32" t="s">
        <v>197</v>
      </c>
    </row>
    <row r="204" spans="1:74" ht="12.95" customHeight="1">
      <c r="C204" s="21"/>
      <c r="D204" s="1751" t="s">
        <v>1403</v>
      </c>
      <c r="E204" s="1351"/>
      <c r="F204" s="1351"/>
      <c r="G204" s="1351"/>
      <c r="H204" s="1351"/>
      <c r="I204" s="1351"/>
      <c r="J204" s="1351"/>
      <c r="K204" s="1351"/>
      <c r="L204" s="1351"/>
      <c r="M204" s="1351"/>
      <c r="P204" s="1754">
        <f>M27</f>
        <v>13570147</v>
      </c>
      <c r="Q204" s="1754"/>
      <c r="R204" s="1754"/>
      <c r="S204" s="1754"/>
      <c r="T204" s="1754"/>
      <c r="U204" s="1754"/>
      <c r="V204" s="28"/>
      <c r="W204" s="3" t="s">
        <v>1980</v>
      </c>
      <c r="Z204" s="1752"/>
      <c r="AA204" s="1752"/>
      <c r="AB204" s="1752"/>
      <c r="AC204" s="1752"/>
      <c r="AD204" s="1752"/>
      <c r="AE204" s="1752"/>
      <c r="AF204" s="1752"/>
      <c r="AG204" t="s">
        <v>1404</v>
      </c>
      <c r="AP204" s="1353" t="s">
        <v>678</v>
      </c>
      <c r="AQ204" s="1353"/>
      <c r="BC204" t="s">
        <v>619</v>
      </c>
      <c r="BN204" s="23" t="s">
        <v>713</v>
      </c>
      <c r="BT204" s="32" t="s">
        <v>198</v>
      </c>
      <c r="BU204" s="14"/>
    </row>
    <row r="205" spans="1:74" ht="12.95" customHeight="1">
      <c r="D205" s="29"/>
      <c r="E205" s="29"/>
      <c r="F205" s="29"/>
      <c r="G205" s="29"/>
      <c r="H205" s="29"/>
      <c r="I205" s="29"/>
      <c r="J205" s="29"/>
      <c r="K205" s="29"/>
      <c r="L205" s="29"/>
      <c r="M205" s="29"/>
      <c r="N205" s="29"/>
      <c r="O205" s="29"/>
      <c r="P205" s="29"/>
      <c r="Z205" s="1753"/>
      <c r="AA205" s="1753"/>
      <c r="AB205" s="1753"/>
      <c r="AC205" s="1753"/>
      <c r="AD205" s="1753"/>
      <c r="AE205" s="1753"/>
      <c r="AF205" s="1753"/>
      <c r="BC205" t="s">
        <v>1087</v>
      </c>
      <c r="BN205" s="23" t="s">
        <v>110</v>
      </c>
      <c r="BT205" s="32" t="s">
        <v>174</v>
      </c>
      <c r="BU205" s="14"/>
    </row>
    <row r="206" spans="1:74" ht="12.95" customHeight="1">
      <c r="A206" s="2" t="s">
        <v>598</v>
      </c>
      <c r="C206" s="2" t="s">
        <v>560</v>
      </c>
      <c r="BC206" s="471" t="s">
        <v>1130</v>
      </c>
      <c r="BN206" s="23" t="s">
        <v>111</v>
      </c>
      <c r="BT206" s="32" t="s">
        <v>199</v>
      </c>
      <c r="BU206" s="14"/>
    </row>
    <row r="207" spans="1:74" ht="12.95" customHeight="1">
      <c r="C207" s="21"/>
      <c r="D207" s="1647" t="s">
        <v>2636</v>
      </c>
      <c r="E207" s="1647"/>
      <c r="F207" s="1647"/>
      <c r="G207" s="1647"/>
      <c r="H207" s="1647"/>
      <c r="I207" s="1647"/>
      <c r="J207" s="1647"/>
      <c r="K207" s="1647"/>
      <c r="L207" s="1647"/>
      <c r="M207" s="1647"/>
      <c r="BC207" s="3" t="s">
        <v>1360</v>
      </c>
      <c r="BN207" s="23" t="s">
        <v>45</v>
      </c>
      <c r="BT207" s="32" t="s">
        <v>200</v>
      </c>
    </row>
    <row r="208" spans="1:74" ht="12.95" customHeight="1">
      <c r="BC208" t="s">
        <v>1131</v>
      </c>
      <c r="BN208" s="23" t="s">
        <v>46</v>
      </c>
      <c r="BT208" s="32" t="s">
        <v>201</v>
      </c>
    </row>
    <row r="209" spans="1:72" ht="12.95" customHeight="1">
      <c r="A209" s="2" t="s">
        <v>599</v>
      </c>
      <c r="C209" s="2" t="s">
        <v>389</v>
      </c>
      <c r="BC209" t="s">
        <v>668</v>
      </c>
      <c r="BN209" s="23" t="s">
        <v>47</v>
      </c>
      <c r="BT209" s="32" t="s">
        <v>202</v>
      </c>
    </row>
    <row r="210" spans="1:72" ht="12.95" customHeight="1">
      <c r="C210" s="21"/>
      <c r="D210" s="1647" t="s">
        <v>1102</v>
      </c>
      <c r="E210" s="1647"/>
      <c r="F210" s="1647"/>
      <c r="G210" s="1647"/>
      <c r="H210" s="1647"/>
      <c r="I210" s="1647"/>
      <c r="J210" s="1647"/>
      <c r="K210" s="1647"/>
      <c r="L210" s="1647"/>
      <c r="M210" s="1647"/>
      <c r="BN210" s="23" t="s">
        <v>48</v>
      </c>
      <c r="BT210" s="32" t="s">
        <v>203</v>
      </c>
    </row>
    <row r="211" spans="1:72" ht="12.95" customHeight="1">
      <c r="C211" s="21"/>
      <c r="D211" t="s">
        <v>1393</v>
      </c>
      <c r="Y211" s="1353"/>
      <c r="Z211" s="1353"/>
      <c r="AB211" s="1747">
        <f>IFERROR(Y211/AG439,"")</f>
        <v>0</v>
      </c>
      <c r="AC211" s="1748"/>
      <c r="BN211" s="23" t="s">
        <v>130</v>
      </c>
      <c r="BT211" s="32" t="s">
        <v>131</v>
      </c>
    </row>
    <row r="212" spans="1:72" ht="12.95" customHeight="1">
      <c r="D212" s="1198" t="s">
        <v>1806</v>
      </c>
      <c r="BC212" t="s">
        <v>308</v>
      </c>
      <c r="BN212" s="23" t="s">
        <v>49</v>
      </c>
      <c r="BT212" s="32" t="s">
        <v>204</v>
      </c>
    </row>
    <row r="213" spans="1:72" ht="12.95" customHeight="1">
      <c r="D213" s="1810" t="s">
        <v>600</v>
      </c>
      <c r="E213" s="1810"/>
      <c r="F213" s="1810"/>
      <c r="G213" s="1810"/>
      <c r="H213" s="1810"/>
      <c r="I213" s="1810"/>
      <c r="J213" s="1810"/>
      <c r="K213" s="1810"/>
      <c r="L213" s="1810"/>
      <c r="M213" s="1810"/>
      <c r="N213" s="1810"/>
      <c r="O213" s="1810"/>
      <c r="P213" s="1810"/>
      <c r="Q213" s="1810"/>
      <c r="R213" s="1810"/>
      <c r="S213" s="1810"/>
      <c r="T213" s="1810"/>
      <c r="U213" s="1810"/>
      <c r="V213" s="1810"/>
      <c r="W213" s="1810"/>
      <c r="X213" s="1810"/>
      <c r="Y213" s="1810"/>
      <c r="Z213" s="1810"/>
      <c r="BC213" t="s">
        <v>535</v>
      </c>
      <c r="BN213" s="23" t="s">
        <v>50</v>
      </c>
      <c r="BT213" s="32" t="s">
        <v>205</v>
      </c>
    </row>
    <row r="214" spans="1:72" ht="12.95" customHeight="1">
      <c r="D214" s="3" t="s">
        <v>1833</v>
      </c>
      <c r="Z214" s="40"/>
      <c r="AB214" s="1809"/>
      <c r="AC214" s="1809"/>
      <c r="AD214" s="1809"/>
      <c r="AE214" s="1809"/>
      <c r="AF214" s="1809"/>
      <c r="AG214" s="1809"/>
      <c r="AH214" s="1809"/>
      <c r="AI214" s="1809"/>
      <c r="AJ214" s="1809"/>
      <c r="AK214" s="1809"/>
      <c r="AL214" s="1809"/>
      <c r="AM214" s="21"/>
      <c r="AN214" s="21"/>
      <c r="AO214" s="21"/>
      <c r="AP214" s="21"/>
      <c r="AQ214" s="21"/>
      <c r="AR214" s="21"/>
      <c r="AS214" s="21"/>
      <c r="AT214" s="21"/>
      <c r="AU214" s="21"/>
      <c r="AV214" s="21"/>
      <c r="AW214" s="21"/>
      <c r="AX214" s="21"/>
      <c r="AY214" s="21"/>
      <c r="BC214" t="s">
        <v>539</v>
      </c>
      <c r="BN214" s="23" t="s">
        <v>327</v>
      </c>
      <c r="BT214" s="32" t="s">
        <v>206</v>
      </c>
    </row>
    <row r="215" spans="1:72" ht="12.95" customHeight="1">
      <c r="D215" s="3" t="s">
        <v>1831</v>
      </c>
      <c r="Z215" s="40"/>
      <c r="AB215" s="1809"/>
      <c r="AC215" s="1809"/>
      <c r="AD215" s="1809"/>
      <c r="AE215" s="1809"/>
      <c r="AF215" s="1809"/>
      <c r="AG215" s="1809"/>
      <c r="AH215" s="1809"/>
      <c r="AI215" s="1809"/>
      <c r="AJ215" s="1809"/>
      <c r="AK215" s="1809"/>
      <c r="AL215" s="1809"/>
      <c r="AM215" s="21"/>
      <c r="AN215" s="21"/>
      <c r="AO215" s="21"/>
      <c r="AP215" s="21"/>
      <c r="AQ215" s="21"/>
      <c r="AR215" s="21"/>
      <c r="AS215" s="21"/>
      <c r="AT215" s="21"/>
      <c r="AU215" s="21"/>
      <c r="AV215" s="21"/>
      <c r="AW215" s="21"/>
      <c r="AX215" s="21"/>
      <c r="AY215" s="21"/>
      <c r="BC215" t="s">
        <v>536</v>
      </c>
    </row>
    <row r="216" spans="1:72" ht="12.95" customHeight="1">
      <c r="D216" s="3"/>
      <c r="Z216" s="40"/>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BC216" t="s">
        <v>575</v>
      </c>
    </row>
    <row r="217" spans="1:72" ht="12.95" customHeight="1">
      <c r="A217" s="2" t="s">
        <v>601</v>
      </c>
      <c r="C217" s="2" t="s">
        <v>1368</v>
      </c>
      <c r="D217" s="28"/>
      <c r="BC217" t="s">
        <v>537</v>
      </c>
    </row>
    <row r="218" spans="1:72" ht="12.95" customHeight="1">
      <c r="A218" s="2"/>
      <c r="C218" s="2"/>
      <c r="D218" s="4" t="s">
        <v>1041</v>
      </c>
      <c r="BC218" t="s">
        <v>538</v>
      </c>
    </row>
    <row r="219" spans="1:72" ht="12.95" customHeight="1">
      <c r="A219" s="2"/>
      <c r="C219" s="2"/>
      <c r="D219" s="1647" t="s">
        <v>1130</v>
      </c>
      <c r="E219" s="1647"/>
      <c r="F219" s="1647"/>
      <c r="G219" s="1647"/>
      <c r="H219" s="1647"/>
      <c r="I219" s="1647"/>
      <c r="J219" s="1647"/>
      <c r="K219" s="1647"/>
      <c r="L219" s="1647"/>
      <c r="M219" s="1647"/>
      <c r="N219" s="1647"/>
      <c r="O219" s="1647"/>
      <c r="P219" s="1647"/>
      <c r="Q219" s="1647"/>
      <c r="R219" s="1647"/>
      <c r="S219" s="1647"/>
      <c r="T219" s="1647"/>
      <c r="U219" s="1647"/>
      <c r="V219" s="1647"/>
      <c r="W219" s="1647"/>
      <c r="X219" s="1647"/>
      <c r="Y219" s="1647"/>
      <c r="Z219" s="1647"/>
      <c r="AZ219" s="3"/>
      <c r="BA219" s="3"/>
      <c r="BC219" t="s">
        <v>378</v>
      </c>
    </row>
    <row r="220" spans="1:72" ht="12.95" customHeight="1">
      <c r="A220" s="2"/>
      <c r="B220" s="14"/>
      <c r="C220" s="2"/>
      <c r="BA220" s="3"/>
      <c r="BC220" t="s">
        <v>301</v>
      </c>
    </row>
    <row r="221" spans="1:72" ht="12.95" customHeight="1">
      <c r="A221" s="1641" t="s">
        <v>549</v>
      </c>
      <c r="B221" s="1641"/>
      <c r="C221" s="1641"/>
      <c r="D221" s="1641"/>
      <c r="E221" s="1641"/>
      <c r="F221" s="1641"/>
      <c r="G221" s="1641"/>
      <c r="H221" s="1641"/>
      <c r="I221" s="1641"/>
      <c r="J221" s="1641"/>
      <c r="K221" s="1641"/>
      <c r="L221" s="1641"/>
      <c r="M221" s="1641"/>
      <c r="N221" s="1641"/>
      <c r="O221" s="1641"/>
      <c r="P221" s="1641"/>
      <c r="Q221" s="1641"/>
      <c r="R221" s="1641"/>
      <c r="S221" s="1641"/>
      <c r="T221" s="1641"/>
      <c r="U221" s="1641"/>
      <c r="V221" s="1641"/>
      <c r="W221" s="1641"/>
      <c r="X221" s="1641"/>
      <c r="Y221" s="1641"/>
      <c r="Z221" s="1641"/>
      <c r="AA221" s="1641"/>
      <c r="AB221" s="1641"/>
      <c r="AC221" s="1641"/>
      <c r="AD221" s="1641"/>
      <c r="AE221" s="1641"/>
      <c r="AF221" s="1641"/>
      <c r="AG221" s="1641"/>
      <c r="AH221" s="1641"/>
      <c r="AI221" s="1641"/>
      <c r="AJ221" s="1641"/>
      <c r="AK221" s="1641"/>
      <c r="AL221" s="1641"/>
      <c r="AM221" s="95"/>
      <c r="AN221" s="95"/>
      <c r="AO221" s="95"/>
      <c r="AP221" s="95"/>
      <c r="AQ221" s="95"/>
      <c r="AR221" s="95"/>
      <c r="AS221" s="95"/>
      <c r="AT221" s="95"/>
      <c r="AU221" s="95"/>
      <c r="AV221" s="95"/>
      <c r="AW221" s="95"/>
      <c r="AX221" s="95"/>
      <c r="AY221" s="95"/>
      <c r="BA221" s="3"/>
    </row>
    <row r="222" spans="1:72" ht="12.95" customHeight="1" thickBot="1">
      <c r="A222" s="1642"/>
      <c r="B222" s="1642"/>
      <c r="C222" s="1642"/>
      <c r="D222" s="1642"/>
      <c r="E222" s="1642"/>
      <c r="F222" s="1642"/>
      <c r="G222" s="1642"/>
      <c r="H222" s="1642"/>
      <c r="I222" s="1642"/>
      <c r="J222" s="1642"/>
      <c r="K222" s="1642"/>
      <c r="L222" s="1642"/>
      <c r="M222" s="1642"/>
      <c r="N222" s="1642"/>
      <c r="O222" s="1642"/>
      <c r="P222" s="1642"/>
      <c r="Q222" s="1642"/>
      <c r="R222" s="1642"/>
      <c r="S222" s="1642"/>
      <c r="T222" s="1642"/>
      <c r="U222" s="1642"/>
      <c r="V222" s="1642"/>
      <c r="W222" s="1642"/>
      <c r="X222" s="1642"/>
      <c r="Y222" s="1642"/>
      <c r="Z222" s="1642"/>
      <c r="AA222" s="1642"/>
      <c r="AB222" s="1642"/>
      <c r="AC222" s="1642"/>
      <c r="AD222" s="1642"/>
      <c r="AE222" s="1642"/>
      <c r="AF222" s="1642"/>
      <c r="AG222" s="1642"/>
      <c r="AH222" s="1642"/>
      <c r="AI222" s="1642"/>
      <c r="AJ222" s="1642"/>
      <c r="AK222" s="1642"/>
      <c r="AL222" s="1642"/>
      <c r="AM222" s="95"/>
      <c r="AN222" s="95"/>
      <c r="AO222" s="95"/>
      <c r="AP222" s="95"/>
      <c r="AQ222" s="95"/>
      <c r="AR222" s="95"/>
      <c r="AS222" s="95"/>
      <c r="AT222" s="95"/>
      <c r="AU222" s="95"/>
      <c r="AV222" s="95"/>
      <c r="AW222" s="95"/>
      <c r="AX222" s="95"/>
      <c r="AY222" s="95"/>
      <c r="AZ222" s="3"/>
      <c r="BA222" s="3"/>
      <c r="BP222" s="34"/>
    </row>
    <row r="223" spans="1:72" ht="12.95" customHeight="1" thickTop="1">
      <c r="BA223" s="3"/>
      <c r="BB223" s="3"/>
      <c r="BQ223" s="34"/>
    </row>
    <row r="224" spans="1:72" ht="12.95" customHeight="1">
      <c r="A224" s="2" t="s">
        <v>320</v>
      </c>
      <c r="B224" s="2"/>
      <c r="C224" s="2" t="s">
        <v>2505</v>
      </c>
      <c r="D224" s="2"/>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Z224" s="4"/>
      <c r="BA224" s="3"/>
      <c r="BB224" s="3"/>
      <c r="BQ224" s="34"/>
    </row>
    <row r="225" spans="1:69" ht="12.95" customHeight="1">
      <c r="B225" s="4"/>
      <c r="D225" s="4" t="s">
        <v>616</v>
      </c>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1353" t="s">
        <v>600</v>
      </c>
      <c r="AJ225" s="1353"/>
      <c r="AL225" s="3"/>
      <c r="AM225" s="3"/>
      <c r="AN225" s="3"/>
      <c r="AO225" s="3"/>
      <c r="AP225" s="3"/>
      <c r="AQ225" s="3"/>
      <c r="AR225" s="3"/>
      <c r="AS225" s="3"/>
      <c r="AT225" s="3"/>
      <c r="AU225" s="3"/>
      <c r="AV225" s="3"/>
      <c r="AW225" s="3"/>
      <c r="AX225" s="3"/>
      <c r="AY225" s="3"/>
      <c r="BO225" s="34"/>
    </row>
    <row r="226" spans="1:69" ht="12.95" customHeight="1">
      <c r="B226" s="4"/>
      <c r="D226" s="4" t="s">
        <v>563</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53" t="s">
        <v>600</v>
      </c>
      <c r="AJ226" s="1353"/>
      <c r="AL226" s="3"/>
      <c r="AM226" s="3"/>
      <c r="AN226" s="3"/>
      <c r="AO226" s="3"/>
      <c r="AP226" s="3"/>
      <c r="AQ226" s="3"/>
      <c r="AR226" s="3"/>
      <c r="AS226" s="3"/>
      <c r="AT226" s="3"/>
      <c r="AU226" s="3"/>
      <c r="AV226" s="3"/>
      <c r="AW226" s="3"/>
      <c r="AX226" s="3"/>
      <c r="AY226" s="3"/>
      <c r="AZ226" s="4"/>
      <c r="BB226" s="218" t="s">
        <v>547</v>
      </c>
      <c r="BG226" s="259">
        <f>IF(AND(AND($M$248="for profit",$M$256="for profit",$M$264="nonprofit")),2,0)</f>
        <v>0</v>
      </c>
      <c r="BO226" s="34"/>
    </row>
    <row r="227" spans="1:69" ht="12.95" customHeight="1">
      <c r="B227" s="4"/>
      <c r="D227" s="4" t="s">
        <v>167</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53" t="s">
        <v>554</v>
      </c>
      <c r="AJ227" s="1353"/>
      <c r="AL227" s="3"/>
      <c r="AM227" s="3"/>
      <c r="AN227" s="3"/>
      <c r="AO227" s="3"/>
      <c r="AP227" s="3"/>
      <c r="AQ227" s="3"/>
      <c r="AR227" s="3"/>
      <c r="AS227" s="3"/>
      <c r="AT227" s="3"/>
      <c r="AU227" s="3"/>
      <c r="AV227" s="3"/>
      <c r="AW227" s="3"/>
      <c r="AX227" s="3"/>
      <c r="AY227" s="3"/>
      <c r="BA227" s="3"/>
      <c r="BB227" s="218" t="s">
        <v>547</v>
      </c>
      <c r="BG227" s="259">
        <f>IF(AND(AND($M$248="for profit",$M$256="nonprofit",$M$264="for profit")),2,0)</f>
        <v>0</v>
      </c>
      <c r="BQ227" s="34"/>
    </row>
    <row r="228" spans="1:69" ht="12.95" customHeight="1">
      <c r="B228" s="4"/>
      <c r="D228" s="4" t="s">
        <v>295</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53" t="s">
        <v>600</v>
      </c>
      <c r="AJ228" s="1353"/>
      <c r="AL228" s="3"/>
      <c r="AM228" s="3"/>
      <c r="AN228" s="3"/>
      <c r="AO228" s="3"/>
      <c r="AP228" s="3"/>
      <c r="AQ228" s="3"/>
      <c r="AR228" s="3"/>
      <c r="AS228" s="3"/>
      <c r="AT228" s="3"/>
      <c r="AU228" s="3"/>
      <c r="AV228" s="3"/>
      <c r="AW228" s="3"/>
      <c r="AX228" s="3"/>
      <c r="AY228" s="3"/>
      <c r="AZ228" s="4"/>
      <c r="BA228" s="3"/>
      <c r="BB228" s="218" t="s">
        <v>547</v>
      </c>
      <c r="BG228" s="259">
        <f>IF(AND(AND($M$248="nonprofit",$M$256="for profit",$M$264="for profit")),2,0)</f>
        <v>0</v>
      </c>
      <c r="BQ228" s="34"/>
    </row>
    <row r="229" spans="1:69" ht="12.95" customHeight="1">
      <c r="B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L229" s="3"/>
      <c r="AM229" s="3"/>
      <c r="AN229" s="3"/>
      <c r="AO229" s="3"/>
      <c r="AP229" s="3"/>
      <c r="AQ229" s="3"/>
      <c r="AR229" s="3"/>
      <c r="AS229" s="3"/>
      <c r="AT229" s="3"/>
      <c r="AU229" s="3"/>
      <c r="AV229" s="3"/>
      <c r="AW229" s="3"/>
      <c r="AX229" s="3"/>
      <c r="AY229" s="3"/>
      <c r="BA229" s="3"/>
      <c r="BB229" s="218" t="s">
        <v>547</v>
      </c>
      <c r="BG229" s="259">
        <f>IF(AND(AND($M$248="for profit",$M$256="nonprofit",$M$264="(select one)")),2,0)</f>
        <v>2</v>
      </c>
      <c r="BO229" s="34"/>
    </row>
    <row r="230" spans="1:69" ht="12.95" customHeight="1">
      <c r="A230" s="2" t="s">
        <v>585</v>
      </c>
      <c r="B230" s="4"/>
      <c r="C230" s="2" t="s">
        <v>2506</v>
      </c>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IF(AND(AND($M$248="nonprofit",$M$256="for profit",$M$264="(select one)")),2,0)</f>
        <v>0</v>
      </c>
      <c r="BO230" s="34"/>
    </row>
    <row r="231" spans="1:69" ht="12.95" customHeight="1">
      <c r="D231" s="4" t="s">
        <v>479</v>
      </c>
      <c r="E231" s="4"/>
      <c r="F231" s="4"/>
      <c r="G231" s="4"/>
      <c r="H231" s="4"/>
      <c r="I231" s="4"/>
      <c r="J231" s="4"/>
      <c r="K231" s="4"/>
      <c r="M231" s="1768" t="str">
        <f>H16</f>
        <v>Roseville 712, L.P.</v>
      </c>
      <c r="N231" s="1768"/>
      <c r="O231" s="1768"/>
      <c r="P231" s="1768"/>
      <c r="Q231" s="1768"/>
      <c r="R231" s="1768"/>
      <c r="S231" s="1768"/>
      <c r="T231" s="1768"/>
      <c r="U231" s="1768"/>
      <c r="V231" s="1768"/>
      <c r="W231" s="1768"/>
      <c r="X231" s="1768"/>
      <c r="Y231" s="1768"/>
      <c r="Z231" s="1768"/>
      <c r="AA231" s="1768"/>
      <c r="AB231" s="1768"/>
      <c r="AC231" s="1768"/>
      <c r="AD231" s="1768"/>
      <c r="AE231" s="1768"/>
      <c r="AF231" s="1768"/>
      <c r="AG231" s="1768"/>
      <c r="AH231" s="1768"/>
      <c r="AI231" s="1768"/>
      <c r="AJ231" s="1768"/>
      <c r="AK231" s="1768"/>
      <c r="BA231" s="3"/>
      <c r="BB231" s="218"/>
      <c r="BG231" s="218"/>
      <c r="BQ231" s="34"/>
    </row>
    <row r="232" spans="1:69" ht="12.95" customHeight="1">
      <c r="D232" s="4" t="s">
        <v>86</v>
      </c>
      <c r="E232" s="4"/>
      <c r="F232" s="4"/>
      <c r="G232" s="4"/>
      <c r="H232" s="4"/>
      <c r="I232" s="4"/>
      <c r="J232" s="4"/>
      <c r="K232" s="4"/>
      <c r="M232" s="1598" t="s">
        <v>2638</v>
      </c>
      <c r="N232" s="1647"/>
      <c r="O232" s="1647"/>
      <c r="P232" s="1647"/>
      <c r="Q232" s="1647"/>
      <c r="R232" s="1647"/>
      <c r="S232" s="1647"/>
      <c r="T232" s="1647"/>
      <c r="U232" s="1647"/>
      <c r="V232" s="1647"/>
      <c r="W232" s="1647"/>
      <c r="X232" s="1647"/>
      <c r="Y232" s="1647"/>
      <c r="Z232" s="1647"/>
      <c r="AA232" s="1647"/>
      <c r="AB232" s="1647"/>
      <c r="AC232" s="1647"/>
      <c r="AD232" s="1647"/>
      <c r="AE232" s="1647"/>
      <c r="AZ232" s="4"/>
      <c r="BA232" s="3"/>
      <c r="BB232" s="219" t="s">
        <v>547</v>
      </c>
      <c r="BG232" s="259">
        <f>IF(AND(AND($M$248="nonprofit",$M$256="nonprofit",$M$264="for profit")),2,0)</f>
        <v>0</v>
      </c>
      <c r="BQ232" s="34"/>
    </row>
    <row r="233" spans="1:69" ht="12.95" customHeight="1">
      <c r="D233" s="4" t="s">
        <v>589</v>
      </c>
      <c r="E233" s="4"/>
      <c r="M233" s="1598" t="s">
        <v>2628</v>
      </c>
      <c r="N233" s="1647"/>
      <c r="O233" s="1647"/>
      <c r="P233" s="1647"/>
      <c r="Q233" s="1647"/>
      <c r="R233" s="1647"/>
      <c r="S233" s="1647"/>
      <c r="T233" s="1647"/>
      <c r="V233" s="33" t="s">
        <v>87</v>
      </c>
      <c r="W233" s="1627" t="s">
        <v>2639</v>
      </c>
      <c r="X233" s="1350"/>
      <c r="Y233" s="4" t="s">
        <v>592</v>
      </c>
      <c r="AC233" s="1647">
        <v>95661</v>
      </c>
      <c r="AD233" s="1647"/>
      <c r="AE233" s="1647"/>
      <c r="BB233" s="219" t="s">
        <v>547</v>
      </c>
      <c r="BG233" s="259">
        <f>IF(AND(AND($M$248="nonprofit",$M$256="for profit",$M$264="nonprofit")),2,0)</f>
        <v>0</v>
      </c>
    </row>
    <row r="234" spans="1:69" ht="12.95" customHeight="1">
      <c r="D234" s="4" t="s">
        <v>88</v>
      </c>
      <c r="E234" s="4"/>
      <c r="F234" s="4"/>
      <c r="G234" s="4"/>
      <c r="H234" s="4"/>
      <c r="I234" s="4"/>
      <c r="J234" s="4"/>
      <c r="K234" s="19"/>
      <c r="M234" s="1598" t="s">
        <v>2626</v>
      </c>
      <c r="N234" s="1647"/>
      <c r="O234" s="1647"/>
      <c r="P234" s="1647"/>
      <c r="Q234" s="1647"/>
      <c r="R234" s="1647"/>
      <c r="S234" s="1647"/>
      <c r="T234" s="1647"/>
      <c r="U234" s="1647"/>
      <c r="V234" s="1647"/>
      <c r="W234" s="1647"/>
      <c r="X234" s="1647"/>
      <c r="Y234" s="1647"/>
      <c r="Z234" s="1647"/>
      <c r="AA234" s="1647"/>
      <c r="AB234" s="1647"/>
      <c r="AC234" s="1647"/>
      <c r="AD234" s="1647"/>
      <c r="AE234" s="1647"/>
      <c r="AI234" s="4"/>
      <c r="AJ234" s="4"/>
      <c r="AK234" s="4"/>
      <c r="AL234" s="4"/>
      <c r="AM234" s="4"/>
      <c r="AN234" s="4"/>
      <c r="AO234" s="4"/>
      <c r="AP234" s="4"/>
      <c r="AQ234" s="4"/>
      <c r="AR234" s="4"/>
      <c r="AS234" s="4"/>
      <c r="AT234" s="4"/>
      <c r="AU234" s="4"/>
      <c r="AV234" s="4"/>
      <c r="AW234" s="4"/>
      <c r="AX234" s="4"/>
      <c r="AY234" s="4"/>
      <c r="AZ234" s="4"/>
      <c r="BB234" s="219" t="s">
        <v>547</v>
      </c>
      <c r="BG234" s="258">
        <f>IF(AND(AND($M$248="for profit",$M$256="nonprofit",$M$264="nonprofit")),2,0)</f>
        <v>0</v>
      </c>
      <c r="BO234" s="34"/>
    </row>
    <row r="235" spans="1:69" ht="12.95" customHeight="1">
      <c r="D235" s="4" t="s">
        <v>89</v>
      </c>
      <c r="E235" s="4"/>
      <c r="F235" s="4"/>
      <c r="M235" s="1354">
        <v>9168653981</v>
      </c>
      <c r="N235" s="1354"/>
      <c r="O235" s="1354"/>
      <c r="P235" s="1354"/>
      <c r="Q235" s="1354"/>
      <c r="R235" s="1354"/>
      <c r="S235" s="4" t="s">
        <v>207</v>
      </c>
      <c r="T235" s="4"/>
      <c r="U235" s="1350"/>
      <c r="V235" s="1350"/>
      <c r="W235" s="1350"/>
      <c r="X235" s="4" t="s">
        <v>90</v>
      </c>
      <c r="Z235" s="1354"/>
      <c r="AA235" s="1354"/>
      <c r="AB235" s="1354"/>
      <c r="AC235" s="1354"/>
      <c r="AD235" s="1354"/>
      <c r="AE235" s="1354"/>
      <c r="BB235" s="219"/>
      <c r="BG235" s="218"/>
    </row>
    <row r="236" spans="1:69" ht="12.95" customHeight="1">
      <c r="D236" s="4" t="s">
        <v>91</v>
      </c>
      <c r="E236" s="4"/>
      <c r="F236" s="4"/>
      <c r="M236" s="1743" t="s">
        <v>2640</v>
      </c>
      <c r="N236" s="1743"/>
      <c r="O236" s="1743"/>
      <c r="P236" s="1743"/>
      <c r="Q236" s="1743"/>
      <c r="R236" s="1743"/>
      <c r="S236" s="1743"/>
      <c r="T236" s="1743"/>
      <c r="U236" s="1743"/>
      <c r="V236" s="1743"/>
      <c r="W236" s="1743"/>
      <c r="X236" s="1743"/>
      <c r="Y236" s="1743"/>
      <c r="Z236" s="1743"/>
      <c r="AA236" s="1743"/>
      <c r="AB236" s="1743"/>
      <c r="AC236" s="1743"/>
      <c r="AD236" s="1743"/>
      <c r="AE236" s="1743"/>
      <c r="AF236" s="4"/>
      <c r="AG236" s="4"/>
      <c r="AH236" s="4"/>
      <c r="AI236" s="4"/>
      <c r="AJ236" s="4"/>
      <c r="AK236" s="4"/>
      <c r="AL236" s="4"/>
      <c r="AM236" s="4"/>
      <c r="AN236" s="4"/>
      <c r="AO236" s="4"/>
      <c r="AP236" s="4"/>
      <c r="AQ236" s="4"/>
      <c r="AR236" s="4"/>
      <c r="AS236" s="4"/>
      <c r="AT236" s="4"/>
      <c r="AU236" s="4"/>
      <c r="AV236" s="4"/>
      <c r="AW236" s="4"/>
      <c r="AX236" s="4"/>
      <c r="AY236" s="4"/>
      <c r="AZ236" s="4"/>
      <c r="BB236" s="218" t="s">
        <v>546</v>
      </c>
      <c r="BG236" s="259">
        <f>IF(AND(AND($M$248="nonprofit",$M$256="nonprofit",$M$264="(select one)")),1,0)</f>
        <v>0</v>
      </c>
    </row>
    <row r="237" spans="1:69" ht="12.95" customHeight="1">
      <c r="A237" s="2" t="s">
        <v>595</v>
      </c>
      <c r="C237" s="2" t="s">
        <v>534</v>
      </c>
      <c r="M237" s="1359" t="s">
        <v>537</v>
      </c>
      <c r="N237" s="1359"/>
      <c r="O237" s="1359"/>
      <c r="P237" s="1359"/>
      <c r="Q237" s="1359"/>
      <c r="R237" s="1359"/>
      <c r="S237" s="1359"/>
      <c r="T237" s="1359"/>
      <c r="U237" s="218" t="s">
        <v>939</v>
      </c>
      <c r="V237" s="218"/>
      <c r="W237" s="218"/>
      <c r="X237" s="218"/>
      <c r="Y237" s="218"/>
      <c r="Z237" s="218"/>
      <c r="AA237" s="1745" t="s">
        <v>2641</v>
      </c>
      <c r="AB237" s="1746"/>
      <c r="AC237" s="1746"/>
      <c r="AD237" s="1746"/>
      <c r="AE237" s="1746"/>
      <c r="AF237" s="1746"/>
      <c r="AG237" s="1746"/>
      <c r="AH237" s="1746"/>
      <c r="AI237" s="1746"/>
      <c r="AJ237" s="1746"/>
      <c r="AK237" s="1746"/>
      <c r="AL237" s="3"/>
      <c r="AM237" s="3"/>
      <c r="AN237" s="3"/>
      <c r="AO237" s="3"/>
      <c r="AP237" s="3"/>
      <c r="AQ237" s="3"/>
      <c r="AR237" s="3"/>
      <c r="AS237" s="3"/>
      <c r="AT237" s="3"/>
      <c r="AU237" s="3"/>
      <c r="AV237" s="3"/>
      <c r="AW237" s="3"/>
      <c r="AX237" s="3"/>
      <c r="AY237" s="3"/>
      <c r="BB237" s="218" t="s">
        <v>546</v>
      </c>
      <c r="BG237" s="259">
        <f>IF(AND(AND($M$248="nonprofit",$M$256="nonprofit",$M$264="nonprofit")),1,0)</f>
        <v>0</v>
      </c>
    </row>
    <row r="238" spans="1:69" ht="12.95" customHeight="1">
      <c r="D238" t="s">
        <v>540</v>
      </c>
      <c r="M238" s="1352"/>
      <c r="N238" s="1352"/>
      <c r="O238" s="1352"/>
      <c r="P238" s="1352"/>
      <c r="Q238" s="1352"/>
      <c r="R238" s="1352"/>
      <c r="S238" s="1352"/>
      <c r="T238" s="1352"/>
      <c r="U238" s="1352"/>
      <c r="V238" s="1352"/>
      <c r="W238" s="1352"/>
      <c r="X238" s="1352"/>
      <c r="Y238" s="1352"/>
      <c r="Z238" s="1352"/>
      <c r="AA238" s="1352"/>
      <c r="AB238" s="1352"/>
      <c r="AC238" s="1352"/>
      <c r="AD238" s="1352"/>
      <c r="AE238" s="1352"/>
      <c r="AF238" s="4"/>
      <c r="AG238" s="4"/>
      <c r="AH238" s="4"/>
      <c r="AI238" s="4"/>
      <c r="AJ238" s="4"/>
      <c r="AK238" s="3"/>
      <c r="AL238" s="3"/>
      <c r="AM238" s="3"/>
      <c r="AN238" s="3"/>
      <c r="AO238" s="3"/>
      <c r="AP238" s="3"/>
      <c r="AQ238" s="3"/>
      <c r="AR238" s="3"/>
      <c r="AS238" s="3"/>
      <c r="AT238" s="3"/>
      <c r="AU238" s="3"/>
      <c r="AV238" s="3"/>
      <c r="AW238" s="3"/>
      <c r="AX238" s="3"/>
      <c r="AY238" s="3"/>
      <c r="BB238" s="218" t="s">
        <v>546</v>
      </c>
      <c r="BG238" s="259">
        <f>IF(AND(AND($M$248="nonprofit",$M$256="(select one)",$M$264="(select one)")),1,0)</f>
        <v>0</v>
      </c>
      <c r="BN238" s="34"/>
    </row>
    <row r="239" spans="1:69" ht="12.95" customHeight="1">
      <c r="D239" s="4"/>
      <c r="BB239" s="218" t="s">
        <v>906</v>
      </c>
      <c r="BG239" s="259">
        <f>IF(AND(AND($M$248="for profit",$M$256="for profit",$M$264="(select one)")),3,0)</f>
        <v>0</v>
      </c>
    </row>
    <row r="240" spans="1:69" ht="12.95" customHeight="1">
      <c r="A240" s="2" t="s">
        <v>598</v>
      </c>
      <c r="C240" s="2" t="s">
        <v>1326</v>
      </c>
      <c r="D240" s="4"/>
      <c r="L240" s="8"/>
      <c r="M240" s="8"/>
      <c r="N240" s="8"/>
      <c r="BB240" s="218" t="s">
        <v>906</v>
      </c>
      <c r="BG240" s="259">
        <f>IF(AND(AND($M$248="for profit",$M$256="for profit",$M$264="for profit")),3,0)</f>
        <v>0</v>
      </c>
    </row>
    <row r="241" spans="1:71" ht="12.95" customHeight="1">
      <c r="D241" s="4"/>
      <c r="L241" s="8"/>
      <c r="M241" s="8"/>
      <c r="N241" s="8"/>
      <c r="O241" s="8"/>
      <c r="P241" s="8"/>
      <c r="Q241" s="8"/>
      <c r="R241" s="8"/>
      <c r="S241" s="8"/>
      <c r="T241" s="8"/>
      <c r="U241" s="8"/>
      <c r="V241" s="8"/>
      <c r="W241" s="8"/>
      <c r="X241" s="8"/>
      <c r="Y241" s="8"/>
      <c r="Z241" s="8"/>
      <c r="AA241" s="8"/>
      <c r="AB241" s="8"/>
      <c r="AC241" s="8"/>
      <c r="AD241" s="8"/>
      <c r="AE241" s="4"/>
      <c r="AF241" s="4"/>
      <c r="AG241" s="4"/>
      <c r="AH241" s="4"/>
      <c r="AI241" s="4"/>
      <c r="AJ241" s="4"/>
      <c r="AK241" s="3"/>
      <c r="AL241" s="3"/>
      <c r="AM241" s="3"/>
      <c r="AN241" s="3"/>
      <c r="AO241" s="3"/>
      <c r="AP241" s="3"/>
      <c r="AQ241" s="3"/>
      <c r="AR241" s="3"/>
      <c r="AS241" s="3"/>
      <c r="AT241" s="3"/>
      <c r="AU241" s="3"/>
      <c r="AV241" s="3"/>
      <c r="AW241" s="3"/>
      <c r="AX241" s="3"/>
      <c r="AY241" s="3"/>
      <c r="BB241" s="218" t="s">
        <v>906</v>
      </c>
      <c r="BG241" s="259">
        <f>IF(AND(AND($M$248="for profit",$M$256="(select one)",$M$264="(select one)")),3,0)</f>
        <v>0</v>
      </c>
    </row>
    <row r="242" spans="1:71" ht="12.95" customHeight="1">
      <c r="A242" s="19"/>
      <c r="B242" s="4"/>
      <c r="C242" s="56" t="s">
        <v>482</v>
      </c>
      <c r="D242" s="4" t="s">
        <v>541</v>
      </c>
      <c r="E242" s="4"/>
      <c r="F242" s="4"/>
      <c r="G242" s="4"/>
      <c r="H242" s="4"/>
      <c r="I242" s="4"/>
      <c r="J242" s="4"/>
      <c r="K242" s="4"/>
      <c r="L242" s="4"/>
      <c r="M242" s="1756" t="s">
        <v>2642</v>
      </c>
      <c r="N242" s="1749"/>
      <c r="O242" s="1749"/>
      <c r="P242" s="1749"/>
      <c r="Q242" s="1749"/>
      <c r="R242" s="1749"/>
      <c r="S242" s="1749"/>
      <c r="T242" s="1749"/>
      <c r="U242" s="1749"/>
      <c r="V242" s="1749"/>
      <c r="W242" s="1749"/>
      <c r="X242" s="1749"/>
      <c r="Y242" s="1749"/>
      <c r="Z242" s="1749"/>
      <c r="AA242" s="1749"/>
      <c r="AB242" s="1749"/>
      <c r="AC242" s="1749"/>
      <c r="AD242" s="1749"/>
      <c r="AE242" s="1749"/>
      <c r="AF242" s="1749" t="s">
        <v>2644</v>
      </c>
      <c r="AG242" s="1749"/>
      <c r="AH242" s="1749"/>
      <c r="AI242" s="1749"/>
      <c r="AJ242" s="1749"/>
      <c r="AK242" s="1749"/>
      <c r="BO242" s="34"/>
      <c r="BP242" s="4"/>
      <c r="BQ242" s="4"/>
      <c r="BR242" s="4"/>
      <c r="BS242" s="4"/>
    </row>
    <row r="243" spans="1:71" ht="12.95" customHeight="1">
      <c r="A243" s="19"/>
      <c r="B243" s="4"/>
      <c r="C243" s="4"/>
      <c r="D243" s="4" t="s">
        <v>86</v>
      </c>
      <c r="E243" s="4"/>
      <c r="F243" s="4"/>
      <c r="G243" s="4"/>
      <c r="H243" s="4"/>
      <c r="I243" s="4"/>
      <c r="J243" s="4"/>
      <c r="K243" s="4"/>
      <c r="L243" s="4"/>
      <c r="M243" s="1598" t="s">
        <v>2638</v>
      </c>
      <c r="N243" s="1647"/>
      <c r="O243" s="1647"/>
      <c r="P243" s="1647"/>
      <c r="Q243" s="1647"/>
      <c r="R243" s="1647"/>
      <c r="S243" s="1647"/>
      <c r="T243" s="1647"/>
      <c r="U243" s="1647"/>
      <c r="V243" s="1647"/>
      <c r="W243" s="1647"/>
      <c r="X243" s="1647"/>
      <c r="Y243" s="1647"/>
      <c r="Z243" s="1647"/>
      <c r="AA243" s="1647"/>
      <c r="AB243" s="1647"/>
      <c r="AC243" s="1647"/>
      <c r="AD243" s="1647"/>
      <c r="AE243" s="1647"/>
      <c r="AF243" s="3" t="s">
        <v>1322</v>
      </c>
      <c r="AL243" s="4"/>
      <c r="AM243" s="4"/>
      <c r="AN243" s="4"/>
      <c r="AO243" s="4"/>
      <c r="AP243" s="4"/>
      <c r="AQ243" s="4"/>
      <c r="AR243" s="4"/>
      <c r="AS243" s="4"/>
      <c r="AT243" s="4"/>
      <c r="AU243" s="4"/>
      <c r="AV243" s="4"/>
      <c r="AW243" s="4"/>
      <c r="AX243" s="4"/>
      <c r="AY243" s="4"/>
      <c r="BG243">
        <f>SUM(BG226:BG241)</f>
        <v>2</v>
      </c>
    </row>
    <row r="244" spans="1:71" ht="12.95" customHeight="1">
      <c r="A244" s="19"/>
      <c r="B244" s="4"/>
      <c r="C244" s="4"/>
      <c r="D244" s="4" t="s">
        <v>589</v>
      </c>
      <c r="E244" s="4"/>
      <c r="M244" s="1598" t="s">
        <v>2628</v>
      </c>
      <c r="N244" s="1647"/>
      <c r="O244" s="1647"/>
      <c r="P244" s="1647"/>
      <c r="Q244" s="1647"/>
      <c r="R244" s="1647"/>
      <c r="S244" s="1647"/>
      <c r="T244" s="1647"/>
      <c r="V244" s="33" t="s">
        <v>87</v>
      </c>
      <c r="W244" s="1627" t="s">
        <v>2639</v>
      </c>
      <c r="X244" s="1350"/>
      <c r="Y244" s="4" t="s">
        <v>592</v>
      </c>
      <c r="AC244" s="1647">
        <v>95661</v>
      </c>
      <c r="AD244" s="1647"/>
      <c r="AE244" s="1647"/>
      <c r="AF244" s="3" t="s">
        <v>1323</v>
      </c>
      <c r="BB244" t="s">
        <v>308</v>
      </c>
      <c r="BG244">
        <v>1</v>
      </c>
      <c r="BH244" t="s">
        <v>543</v>
      </c>
    </row>
    <row r="245" spans="1:71" ht="12.95" customHeight="1">
      <c r="A245" s="19"/>
      <c r="B245" s="4"/>
      <c r="C245" s="4"/>
      <c r="D245" s="4" t="s">
        <v>88</v>
      </c>
      <c r="E245" s="4"/>
      <c r="F245" s="4"/>
      <c r="G245" s="4"/>
      <c r="H245" s="4"/>
      <c r="I245" s="4"/>
      <c r="J245" s="4"/>
      <c r="K245" s="4"/>
      <c r="L245" s="19"/>
      <c r="M245" s="1598" t="s">
        <v>2626</v>
      </c>
      <c r="N245" s="1647"/>
      <c r="O245" s="1647"/>
      <c r="P245" s="1647"/>
      <c r="Q245" s="1647"/>
      <c r="R245" s="1647"/>
      <c r="S245" s="1647"/>
      <c r="T245" s="1647"/>
      <c r="U245" s="1647"/>
      <c r="V245" s="1647"/>
      <c r="W245" s="1647"/>
      <c r="X245" s="1647"/>
      <c r="Y245" s="1647"/>
      <c r="Z245" s="1647"/>
      <c r="AA245" s="1647"/>
      <c r="AB245" s="1647"/>
      <c r="AC245" s="1647"/>
      <c r="AD245" s="1647"/>
      <c r="AE245" s="1647"/>
      <c r="AH245" s="1741">
        <v>8.9999999999999993E-3</v>
      </c>
      <c r="AI245" s="1741"/>
      <c r="AJ245" s="1741"/>
      <c r="AK245" s="1741"/>
      <c r="AL245" s="4"/>
      <c r="AM245" s="4"/>
      <c r="AN245" s="4"/>
      <c r="AO245" s="4"/>
      <c r="AP245" s="4"/>
      <c r="AQ245" s="4"/>
      <c r="AR245" s="4"/>
      <c r="AS245" s="4"/>
      <c r="AT245" s="4"/>
      <c r="AU245" s="4"/>
      <c r="AV245" s="4"/>
      <c r="AW245" s="4"/>
      <c r="AX245" s="4"/>
      <c r="AY245" s="4"/>
      <c r="BB245" s="4" t="s">
        <v>281</v>
      </c>
      <c r="BG245">
        <v>2</v>
      </c>
      <c r="BH245" t="s">
        <v>575</v>
      </c>
      <c r="BO245" s="257" t="str">
        <f>VLOOKUP(BG243,BG244:BH246,2,FALSE)</f>
        <v>Joint Venture</v>
      </c>
    </row>
    <row r="246" spans="1:71" ht="12.95" customHeight="1">
      <c r="A246" s="19"/>
      <c r="B246" s="4"/>
      <c r="C246" s="4"/>
      <c r="D246" s="4" t="s">
        <v>89</v>
      </c>
      <c r="E246" s="4"/>
      <c r="F246" s="4"/>
      <c r="M246" s="1354">
        <v>9168653981</v>
      </c>
      <c r="N246" s="1354"/>
      <c r="O246" s="1354"/>
      <c r="P246" s="1354"/>
      <c r="Q246" s="1354"/>
      <c r="R246" s="1354"/>
      <c r="S246" s="4" t="s">
        <v>207</v>
      </c>
      <c r="T246" s="4"/>
      <c r="U246" s="1350"/>
      <c r="V246" s="1350"/>
      <c r="W246" s="1350"/>
      <c r="X246" s="4" t="s">
        <v>90</v>
      </c>
      <c r="Z246" s="1354">
        <v>9167735866</v>
      </c>
      <c r="AA246" s="1354"/>
      <c r="AB246" s="1354"/>
      <c r="AC246" s="1354"/>
      <c r="AD246" s="1354"/>
      <c r="AE246" s="1354"/>
      <c r="BB246" s="4" t="s">
        <v>173</v>
      </c>
      <c r="BG246">
        <v>3</v>
      </c>
      <c r="BH246" t="s">
        <v>545</v>
      </c>
      <c r="BN246" s="34"/>
    </row>
    <row r="247" spans="1:71" ht="12.95" customHeight="1">
      <c r="A247" s="19"/>
      <c r="B247" s="4"/>
      <c r="C247" s="4"/>
      <c r="D247" s="4" t="s">
        <v>91</v>
      </c>
      <c r="E247" s="4"/>
      <c r="F247" s="4"/>
      <c r="M247" s="1743" t="s">
        <v>2640</v>
      </c>
      <c r="N247" s="1743"/>
      <c r="O247" s="1743"/>
      <c r="P247" s="1743"/>
      <c r="Q247" s="1743"/>
      <c r="R247" s="1743"/>
      <c r="S247" s="1743"/>
      <c r="T247" s="1743"/>
      <c r="U247" s="1743"/>
      <c r="V247" s="1743"/>
      <c r="W247" s="1743"/>
      <c r="X247" s="1743"/>
      <c r="Y247" s="1743"/>
      <c r="Z247" s="1743"/>
      <c r="AA247" s="1743"/>
      <c r="AB247" s="1743"/>
      <c r="AC247" s="1743"/>
      <c r="AD247" s="1743"/>
      <c r="AE247" s="1743"/>
      <c r="AG247" s="4"/>
      <c r="AH247" s="4"/>
      <c r="AI247" s="4"/>
      <c r="AJ247" s="4"/>
      <c r="AK247" s="4"/>
      <c r="AL247" s="4"/>
      <c r="AM247" s="4"/>
      <c r="AN247" s="4"/>
      <c r="AO247" s="4"/>
      <c r="AP247" s="4"/>
      <c r="AQ247" s="4"/>
      <c r="AR247" s="4"/>
      <c r="AS247" s="4"/>
      <c r="AT247" s="4"/>
      <c r="AU247" s="4"/>
      <c r="AV247" s="4"/>
      <c r="AW247" s="4"/>
      <c r="AX247" s="4"/>
      <c r="AY247" s="4"/>
      <c r="BN247" s="34"/>
    </row>
    <row r="248" spans="1:71" ht="12.95" customHeight="1">
      <c r="A248" s="13"/>
      <c r="B248" s="4"/>
      <c r="C248" s="56"/>
      <c r="D248" s="4" t="s">
        <v>544</v>
      </c>
      <c r="E248" s="4"/>
      <c r="F248" s="4"/>
      <c r="G248" s="4"/>
      <c r="H248" s="4"/>
      <c r="I248" s="4"/>
      <c r="J248" s="4"/>
      <c r="K248" s="4"/>
      <c r="L248" s="4"/>
      <c r="M248" s="1359" t="s">
        <v>545</v>
      </c>
      <c r="N248" s="1359"/>
      <c r="O248" s="1359"/>
      <c r="P248" s="1359"/>
      <c r="Q248" s="1359"/>
      <c r="R248" s="1359"/>
      <c r="S248" s="1359"/>
      <c r="T248" s="1359"/>
      <c r="U248" s="218" t="s">
        <v>939</v>
      </c>
      <c r="V248" s="218"/>
      <c r="W248" s="218"/>
      <c r="X248" s="218"/>
      <c r="Y248" s="218"/>
      <c r="Z248" s="218"/>
      <c r="AA248" s="1745" t="s">
        <v>2641</v>
      </c>
      <c r="AB248" s="1746"/>
      <c r="AC248" s="1746"/>
      <c r="AD248" s="1746"/>
      <c r="AE248" s="1746"/>
      <c r="AF248" s="1746"/>
      <c r="AG248" s="1746"/>
      <c r="AH248" s="1746"/>
      <c r="AI248" s="1746"/>
      <c r="AJ248" s="1746"/>
      <c r="AK248" s="1746"/>
      <c r="BN248" s="34"/>
    </row>
    <row r="249" spans="1:71" ht="12.95" customHeight="1">
      <c r="A249" s="19"/>
      <c r="B249" s="4"/>
      <c r="C249" s="4"/>
      <c r="D249" s="4"/>
      <c r="E249" s="4"/>
      <c r="F249" s="4"/>
      <c r="G249" s="4"/>
      <c r="H249" s="4"/>
      <c r="I249" s="4"/>
      <c r="J249" s="4"/>
      <c r="K249" s="4"/>
      <c r="L249" s="4"/>
      <c r="AG249" s="4"/>
      <c r="AH249" s="4"/>
      <c r="AI249" s="4"/>
      <c r="AJ249" s="4"/>
      <c r="BN249" s="34"/>
    </row>
    <row r="250" spans="1:71" ht="12.95" customHeight="1">
      <c r="A250" s="2"/>
      <c r="B250" s="4"/>
      <c r="C250" s="56" t="s">
        <v>99</v>
      </c>
      <c r="D250" s="4" t="s">
        <v>995</v>
      </c>
      <c r="E250" s="4"/>
      <c r="F250" s="4"/>
      <c r="G250" s="4"/>
      <c r="H250" s="4"/>
      <c r="I250" s="4"/>
      <c r="J250" s="4"/>
      <c r="K250" s="4"/>
      <c r="L250" s="4"/>
      <c r="M250" s="1756" t="s">
        <v>2643</v>
      </c>
      <c r="N250" s="1749"/>
      <c r="O250" s="1749"/>
      <c r="P250" s="1749"/>
      <c r="Q250" s="1749"/>
      <c r="R250" s="1749"/>
      <c r="S250" s="1749"/>
      <c r="T250" s="1749"/>
      <c r="U250" s="1749"/>
      <c r="V250" s="1749"/>
      <c r="W250" s="1749"/>
      <c r="X250" s="1749"/>
      <c r="Y250" s="1749"/>
      <c r="Z250" s="1749"/>
      <c r="AA250" s="1749"/>
      <c r="AB250" s="1749"/>
      <c r="AC250" s="1749"/>
      <c r="AD250" s="1749"/>
      <c r="AE250" s="1749"/>
      <c r="AF250" s="1749" t="s">
        <v>2645</v>
      </c>
      <c r="AG250" s="1749"/>
      <c r="AH250" s="1749"/>
      <c r="AI250" s="1749"/>
      <c r="AJ250" s="1749"/>
      <c r="AK250" s="1749"/>
      <c r="BN250" s="34"/>
    </row>
    <row r="251" spans="1:71" ht="12.95" customHeight="1">
      <c r="A251" s="19"/>
      <c r="B251" s="4"/>
      <c r="C251" s="4"/>
      <c r="D251" s="4" t="s">
        <v>86</v>
      </c>
      <c r="E251" s="4"/>
      <c r="F251" s="4"/>
      <c r="G251" s="4"/>
      <c r="H251" s="4"/>
      <c r="I251" s="4"/>
      <c r="J251" s="4"/>
      <c r="K251" s="4"/>
      <c r="L251" s="4"/>
      <c r="M251" s="1598" t="s">
        <v>2646</v>
      </c>
      <c r="N251" s="1647"/>
      <c r="O251" s="1647"/>
      <c r="P251" s="1647"/>
      <c r="Q251" s="1647"/>
      <c r="R251" s="1647"/>
      <c r="S251" s="1647"/>
      <c r="T251" s="1647"/>
      <c r="U251" s="1647"/>
      <c r="V251" s="1647"/>
      <c r="W251" s="1647"/>
      <c r="X251" s="1647"/>
      <c r="Y251" s="1647"/>
      <c r="Z251" s="1647"/>
      <c r="AA251" s="1647"/>
      <c r="AB251" s="1647"/>
      <c r="AC251" s="1647"/>
      <c r="AD251" s="1647"/>
      <c r="AE251" s="1647"/>
      <c r="AF251" s="3" t="s">
        <v>1322</v>
      </c>
      <c r="AL251" s="4"/>
      <c r="AM251" s="4"/>
      <c r="AN251" s="4"/>
      <c r="AO251" s="4"/>
      <c r="AP251" s="4"/>
      <c r="AQ251" s="4"/>
      <c r="AR251" s="4"/>
      <c r="AS251" s="4"/>
      <c r="AT251" s="4"/>
      <c r="AU251" s="4"/>
      <c r="AV251" s="4"/>
      <c r="AW251" s="4"/>
      <c r="AX251" s="4"/>
      <c r="AY251" s="4"/>
      <c r="BN251" s="34"/>
    </row>
    <row r="252" spans="1:71" ht="12.95" customHeight="1">
      <c r="A252" s="19"/>
      <c r="B252" s="4"/>
      <c r="C252" s="4"/>
      <c r="D252" s="4" t="s">
        <v>589</v>
      </c>
      <c r="E252" s="4"/>
      <c r="M252" s="1598" t="s">
        <v>2647</v>
      </c>
      <c r="N252" s="1647"/>
      <c r="O252" s="1647"/>
      <c r="P252" s="1647"/>
      <c r="Q252" s="1647"/>
      <c r="R252" s="1647"/>
      <c r="S252" s="1647"/>
      <c r="T252" s="1647"/>
      <c r="V252" s="33" t="s">
        <v>87</v>
      </c>
      <c r="W252" s="1627" t="s">
        <v>2639</v>
      </c>
      <c r="X252" s="1350"/>
      <c r="Y252" s="4" t="s">
        <v>592</v>
      </c>
      <c r="AC252" s="1647">
        <v>92780</v>
      </c>
      <c r="AD252" s="1647"/>
      <c r="AE252" s="1647"/>
      <c r="AF252" s="3" t="s">
        <v>1323</v>
      </c>
      <c r="BN252" s="34"/>
    </row>
    <row r="253" spans="1:71" ht="12.95" customHeight="1">
      <c r="A253" s="19"/>
      <c r="B253" s="4"/>
      <c r="C253" s="4"/>
      <c r="D253" s="4" t="s">
        <v>88</v>
      </c>
      <c r="E253" s="4"/>
      <c r="F253" s="4"/>
      <c r="G253" s="4"/>
      <c r="H253" s="4"/>
      <c r="I253" s="4"/>
      <c r="J253" s="4"/>
      <c r="K253" s="4"/>
      <c r="L253" s="19"/>
      <c r="M253" s="1598" t="s">
        <v>2648</v>
      </c>
      <c r="N253" s="1647"/>
      <c r="O253" s="1647"/>
      <c r="P253" s="1647"/>
      <c r="Q253" s="1647"/>
      <c r="R253" s="1647"/>
      <c r="S253" s="1647"/>
      <c r="T253" s="1647"/>
      <c r="U253" s="1647"/>
      <c r="V253" s="1647"/>
      <c r="W253" s="1647"/>
      <c r="X253" s="1647"/>
      <c r="Y253" s="1647"/>
      <c r="Z253" s="1647"/>
      <c r="AA253" s="1647"/>
      <c r="AB253" s="1647"/>
      <c r="AC253" s="1647"/>
      <c r="AD253" s="1647"/>
      <c r="AE253" s="1647"/>
      <c r="AH253" s="1741">
        <v>1E-3</v>
      </c>
      <c r="AI253" s="1741"/>
      <c r="AJ253" s="1741"/>
      <c r="AK253" s="1741"/>
      <c r="AL253" s="4"/>
      <c r="AM253" s="4"/>
      <c r="AN253" s="4"/>
      <c r="AO253" s="4"/>
      <c r="AP253" s="4"/>
      <c r="AQ253" s="4"/>
      <c r="AR253" s="4"/>
      <c r="AS253" s="4"/>
      <c r="AT253" s="4"/>
      <c r="AU253" s="4"/>
      <c r="AV253" s="4"/>
      <c r="AW253" s="4"/>
      <c r="AX253" s="4"/>
      <c r="AY253" s="4"/>
      <c r="BN253" s="34"/>
    </row>
    <row r="254" spans="1:71" ht="12.95" customHeight="1">
      <c r="A254" s="19"/>
      <c r="B254" s="4"/>
      <c r="C254" s="4"/>
      <c r="D254" s="4" t="s">
        <v>89</v>
      </c>
      <c r="E254" s="4"/>
      <c r="F254" s="4"/>
      <c r="M254" s="1354">
        <v>7146281654</v>
      </c>
      <c r="N254" s="1354"/>
      <c r="O254" s="1354"/>
      <c r="P254" s="1354"/>
      <c r="Q254" s="1354"/>
      <c r="R254" s="1354"/>
      <c r="S254" s="4" t="s">
        <v>207</v>
      </c>
      <c r="T254" s="4"/>
      <c r="U254" s="1350">
        <v>719</v>
      </c>
      <c r="V254" s="1350"/>
      <c r="W254" s="1350"/>
      <c r="X254" s="4" t="s">
        <v>90</v>
      </c>
      <c r="Z254" s="1772" t="s">
        <v>600</v>
      </c>
      <c r="AA254" s="1354"/>
      <c r="AB254" s="1354"/>
      <c r="AC254" s="1354"/>
      <c r="AD254" s="1354"/>
      <c r="AE254" s="1354"/>
    </row>
    <row r="255" spans="1:71" ht="12.95" customHeight="1">
      <c r="A255" s="19"/>
      <c r="B255" s="4"/>
      <c r="C255" s="4"/>
      <c r="D255" s="4" t="s">
        <v>91</v>
      </c>
      <c r="E255" s="4"/>
      <c r="F255" s="4"/>
      <c r="M255" s="1743" t="s">
        <v>2649</v>
      </c>
      <c r="N255" s="1743"/>
      <c r="O255" s="1743"/>
      <c r="P255" s="1743"/>
      <c r="Q255" s="1743"/>
      <c r="R255" s="1743"/>
      <c r="S255" s="1743"/>
      <c r="T255" s="1743"/>
      <c r="U255" s="1743"/>
      <c r="V255" s="1743"/>
      <c r="W255" s="1743"/>
      <c r="X255" s="1743"/>
      <c r="Y255" s="1743"/>
      <c r="Z255" s="1743"/>
      <c r="AA255" s="1743"/>
      <c r="AB255" s="1743"/>
      <c r="AC255" s="1743"/>
      <c r="AD255" s="1743"/>
      <c r="AE255" s="1743"/>
      <c r="AG255" s="4"/>
      <c r="AH255" s="4"/>
      <c r="AI255" s="4"/>
      <c r="AJ255" s="4"/>
      <c r="AK255" s="4"/>
      <c r="AL255" s="4"/>
      <c r="AM255" s="4"/>
      <c r="AN255" s="4"/>
      <c r="AO255" s="4"/>
      <c r="AP255" s="4"/>
      <c r="AQ255" s="4"/>
      <c r="AR255" s="4"/>
      <c r="AS255" s="4"/>
      <c r="AT255" s="4"/>
      <c r="AU255" s="4"/>
      <c r="AV255" s="4"/>
      <c r="AW255" s="4"/>
      <c r="AX255" s="4"/>
      <c r="AY255" s="4"/>
      <c r="BN255" s="34"/>
    </row>
    <row r="256" spans="1:71" ht="12.95" customHeight="1">
      <c r="A256" s="13"/>
      <c r="B256" s="4"/>
      <c r="C256" s="56"/>
      <c r="D256" s="4" t="s">
        <v>544</v>
      </c>
      <c r="E256" s="4"/>
      <c r="F256" s="4"/>
      <c r="G256" s="4"/>
      <c r="H256" s="4"/>
      <c r="I256" s="4"/>
      <c r="J256" s="4"/>
      <c r="K256" s="4"/>
      <c r="L256" s="4"/>
      <c r="M256" s="1359" t="s">
        <v>543</v>
      </c>
      <c r="N256" s="1359"/>
      <c r="O256" s="1359"/>
      <c r="P256" s="1359"/>
      <c r="Q256" s="1359"/>
      <c r="R256" s="1359"/>
      <c r="S256" s="1359"/>
      <c r="T256" s="1359"/>
      <c r="U256" s="218" t="s">
        <v>939</v>
      </c>
      <c r="V256" s="218"/>
      <c r="W256" s="218"/>
      <c r="X256" s="218"/>
      <c r="Y256" s="218"/>
      <c r="Z256" s="218"/>
      <c r="AA256" s="1745" t="s">
        <v>2650</v>
      </c>
      <c r="AB256" s="1746"/>
      <c r="AC256" s="1746"/>
      <c r="AD256" s="1746"/>
      <c r="AE256" s="1746"/>
      <c r="AF256" s="1746"/>
      <c r="AG256" s="1746"/>
      <c r="AH256" s="1746"/>
      <c r="AI256" s="1746"/>
      <c r="AJ256" s="1746"/>
      <c r="AK256" s="1746"/>
      <c r="AL256" s="3"/>
      <c r="AM256" s="3"/>
      <c r="AN256" s="3"/>
      <c r="AO256" s="3"/>
      <c r="AP256" s="3"/>
      <c r="AQ256" s="3"/>
      <c r="AR256" s="3"/>
      <c r="AS256" s="3"/>
      <c r="AT256" s="3"/>
      <c r="AU256" s="3"/>
      <c r="AV256" s="3"/>
      <c r="AW256" s="3"/>
      <c r="AX256" s="3"/>
      <c r="AY256" s="3"/>
      <c r="BN256" s="34"/>
    </row>
    <row r="257" spans="1:66" ht="12.95" customHeight="1">
      <c r="A257" s="13"/>
      <c r="B257" s="4"/>
      <c r="C257" s="56"/>
      <c r="D257" s="4"/>
      <c r="E257" s="4"/>
      <c r="F257" s="4"/>
      <c r="G257" s="4"/>
      <c r="H257" s="4"/>
      <c r="I257" s="4"/>
      <c r="J257" s="4"/>
      <c r="K257" s="4"/>
      <c r="L257" s="4"/>
      <c r="M257" s="8"/>
      <c r="N257" s="8"/>
      <c r="O257" s="8"/>
      <c r="P257" s="8"/>
      <c r="Q257" s="8"/>
      <c r="R257" s="8"/>
      <c r="S257" s="8"/>
      <c r="T257" s="8"/>
      <c r="U257" s="118"/>
      <c r="V257" s="118"/>
      <c r="W257" s="118"/>
      <c r="X257" s="118"/>
      <c r="Y257" s="118"/>
      <c r="Z257" s="118"/>
      <c r="AA257" s="118"/>
      <c r="AB257" s="118"/>
      <c r="AC257" s="118"/>
      <c r="AD257" s="118"/>
      <c r="AE257" s="4"/>
      <c r="AF257" s="4"/>
      <c r="AG257" s="4"/>
      <c r="AH257" s="4"/>
      <c r="AI257" s="4"/>
      <c r="AJ257" s="4"/>
      <c r="AK257" s="4"/>
      <c r="AL257" s="3"/>
      <c r="AM257" s="3"/>
      <c r="AN257" s="3"/>
      <c r="AO257" s="3"/>
      <c r="AP257" s="3"/>
      <c r="AQ257" s="3"/>
      <c r="AR257" s="3"/>
      <c r="AS257" s="3"/>
      <c r="AT257" s="3"/>
      <c r="AU257" s="3"/>
      <c r="AV257" s="3"/>
      <c r="AW257" s="3"/>
      <c r="AX257" s="3"/>
      <c r="AY257" s="3"/>
      <c r="BN257" s="34"/>
    </row>
    <row r="258" spans="1:66" ht="12.95" customHeight="1">
      <c r="A258" s="13"/>
      <c r="B258" s="4"/>
      <c r="C258" s="56" t="s">
        <v>905</v>
      </c>
      <c r="D258" s="4" t="s">
        <v>541</v>
      </c>
      <c r="E258" s="4"/>
      <c r="F258" s="4"/>
      <c r="G258" s="4"/>
      <c r="H258" s="4"/>
      <c r="I258" s="4"/>
      <c r="J258" s="4"/>
      <c r="K258" s="4"/>
      <c r="L258" s="4"/>
      <c r="M258" s="1749"/>
      <c r="N258" s="1749"/>
      <c r="O258" s="1749"/>
      <c r="P258" s="1749"/>
      <c r="Q258" s="1749"/>
      <c r="R258" s="1749"/>
      <c r="S258" s="1749"/>
      <c r="T258" s="1749"/>
      <c r="U258" s="1749"/>
      <c r="V258" s="1749"/>
      <c r="W258" s="1749"/>
      <c r="X258" s="1749"/>
      <c r="Y258" s="1749"/>
      <c r="Z258" s="1749"/>
      <c r="AA258" s="1749"/>
      <c r="AB258" s="1749"/>
      <c r="AC258" s="1749"/>
      <c r="AD258" s="1749"/>
      <c r="AE258" s="1749"/>
      <c r="AF258" s="1749" t="s">
        <v>308</v>
      </c>
      <c r="AG258" s="1749"/>
      <c r="AH258" s="1749"/>
      <c r="AI258" s="1749"/>
      <c r="AJ258" s="1749"/>
      <c r="AK258" s="1749"/>
      <c r="AL258" s="3"/>
      <c r="AM258" s="3"/>
      <c r="AN258" s="3"/>
      <c r="AO258" s="3"/>
      <c r="AP258" s="3"/>
      <c r="AQ258" s="3"/>
      <c r="AR258" s="3"/>
      <c r="AS258" s="3"/>
      <c r="AT258" s="3"/>
      <c r="AU258" s="3"/>
      <c r="AV258" s="3"/>
      <c r="AW258" s="3"/>
      <c r="AX258" s="3"/>
      <c r="AY258" s="3"/>
      <c r="BN258" s="34"/>
    </row>
    <row r="259" spans="1:66" ht="12.95" customHeight="1">
      <c r="A259" s="13"/>
      <c r="B259" s="4"/>
      <c r="C259" s="4"/>
      <c r="D259" s="4" t="s">
        <v>86</v>
      </c>
      <c r="E259" s="4"/>
      <c r="F259" s="4"/>
      <c r="G259" s="4"/>
      <c r="H259" s="4"/>
      <c r="I259" s="4"/>
      <c r="J259" s="4"/>
      <c r="K259" s="4"/>
      <c r="L259" s="4"/>
      <c r="M259" s="1647"/>
      <c r="N259" s="1647"/>
      <c r="O259" s="1647"/>
      <c r="P259" s="1647"/>
      <c r="Q259" s="1647"/>
      <c r="R259" s="1647"/>
      <c r="S259" s="1647"/>
      <c r="T259" s="1647"/>
      <c r="U259" s="1647"/>
      <c r="V259" s="1647"/>
      <c r="W259" s="1647"/>
      <c r="X259" s="1647"/>
      <c r="Y259" s="1647"/>
      <c r="Z259" s="1647"/>
      <c r="AA259" s="1647"/>
      <c r="AB259" s="1647"/>
      <c r="AC259" s="1647"/>
      <c r="AD259" s="1647"/>
      <c r="AE259" s="1647"/>
      <c r="AF259" s="3" t="s">
        <v>1322</v>
      </c>
      <c r="AL259" s="3"/>
      <c r="AM259" s="3"/>
      <c r="AN259" s="3"/>
      <c r="AO259" s="3"/>
      <c r="AP259" s="3"/>
      <c r="AQ259" s="3"/>
      <c r="AR259" s="3"/>
      <c r="AS259" s="3"/>
      <c r="AT259" s="3"/>
      <c r="AU259" s="3"/>
      <c r="AV259" s="3"/>
      <c r="AW259" s="3"/>
      <c r="AX259" s="3"/>
      <c r="AY259" s="3"/>
      <c r="BN259" s="34"/>
    </row>
    <row r="260" spans="1:66" ht="12.95" customHeight="1">
      <c r="A260" s="13"/>
      <c r="B260" s="4"/>
      <c r="C260" s="4"/>
      <c r="D260" s="4" t="s">
        <v>589</v>
      </c>
      <c r="E260" s="4"/>
      <c r="M260" s="1647"/>
      <c r="N260" s="1647"/>
      <c r="O260" s="1647"/>
      <c r="P260" s="1647"/>
      <c r="Q260" s="1647"/>
      <c r="R260" s="1647"/>
      <c r="S260" s="1647"/>
      <c r="T260" s="1647"/>
      <c r="V260" s="33" t="s">
        <v>87</v>
      </c>
      <c r="W260" s="1350"/>
      <c r="X260" s="1350"/>
      <c r="Y260" s="4" t="s">
        <v>592</v>
      </c>
      <c r="AC260" s="1647"/>
      <c r="AD260" s="1647"/>
      <c r="AE260" s="1647"/>
      <c r="AF260" s="3" t="s">
        <v>1323</v>
      </c>
      <c r="AL260" s="3"/>
      <c r="AM260" s="3"/>
      <c r="AN260" s="3"/>
      <c r="AO260" s="3"/>
      <c r="AP260" s="3"/>
      <c r="AQ260" s="3"/>
      <c r="AR260" s="3"/>
      <c r="AS260" s="3"/>
      <c r="AT260" s="3"/>
      <c r="AU260" s="3"/>
      <c r="AV260" s="3"/>
      <c r="AW260" s="3"/>
      <c r="AX260" s="3"/>
      <c r="AY260" s="3"/>
      <c r="BN260" s="34"/>
    </row>
    <row r="261" spans="1:66" ht="12.95" customHeight="1">
      <c r="A261" s="13"/>
      <c r="B261" s="4"/>
      <c r="C261" s="4"/>
      <c r="D261" s="4" t="s">
        <v>88</v>
      </c>
      <c r="E261" s="4"/>
      <c r="F261" s="4"/>
      <c r="G261" s="4"/>
      <c r="H261" s="4"/>
      <c r="I261" s="4"/>
      <c r="J261" s="4"/>
      <c r="K261" s="4"/>
      <c r="L261" s="19"/>
      <c r="M261" s="1647"/>
      <c r="N261" s="1647"/>
      <c r="O261" s="1647"/>
      <c r="P261" s="1647"/>
      <c r="Q261" s="1647"/>
      <c r="R261" s="1647"/>
      <c r="S261" s="1647"/>
      <c r="T261" s="1647"/>
      <c r="U261" s="1647"/>
      <c r="V261" s="1647"/>
      <c r="W261" s="1647"/>
      <c r="X261" s="1647"/>
      <c r="Y261" s="1647"/>
      <c r="Z261" s="1647"/>
      <c r="AA261" s="1647"/>
      <c r="AB261" s="1647"/>
      <c r="AC261" s="1647"/>
      <c r="AD261" s="1647"/>
      <c r="AE261" s="1647"/>
      <c r="AH261" s="1741"/>
      <c r="AI261" s="1741"/>
      <c r="AJ261" s="1741"/>
      <c r="AK261" s="1741"/>
      <c r="AL261" s="3"/>
      <c r="AM261" s="3"/>
      <c r="AN261" s="3"/>
      <c r="AO261" s="3"/>
      <c r="AP261" s="3"/>
      <c r="AQ261" s="3"/>
      <c r="AR261" s="3"/>
      <c r="AS261" s="3"/>
      <c r="AT261" s="3"/>
      <c r="AU261" s="3"/>
      <c r="AV261" s="3"/>
      <c r="AW261" s="3"/>
      <c r="AX261" s="3"/>
      <c r="AY261" s="3"/>
      <c r="BN261" s="34"/>
    </row>
    <row r="262" spans="1:66" ht="12.95" customHeight="1">
      <c r="A262" s="13"/>
      <c r="B262" s="4"/>
      <c r="C262" s="4"/>
      <c r="D262" s="4" t="s">
        <v>89</v>
      </c>
      <c r="E262" s="4"/>
      <c r="F262" s="4"/>
      <c r="M262" s="1354"/>
      <c r="N262" s="1354"/>
      <c r="O262" s="1354"/>
      <c r="P262" s="1354"/>
      <c r="Q262" s="1354"/>
      <c r="R262" s="1354"/>
      <c r="S262" s="4" t="s">
        <v>207</v>
      </c>
      <c r="T262" s="4"/>
      <c r="U262" s="1350"/>
      <c r="V262" s="1350"/>
      <c r="W262" s="1350"/>
      <c r="X262" s="4" t="s">
        <v>90</v>
      </c>
      <c r="Z262" s="1354"/>
      <c r="AA262" s="1354"/>
      <c r="AB262" s="1354"/>
      <c r="AC262" s="1354"/>
      <c r="AD262" s="1354"/>
      <c r="AE262" s="1354"/>
      <c r="AL262" s="3"/>
      <c r="AM262" s="3"/>
      <c r="AN262" s="3"/>
      <c r="AO262" s="3"/>
      <c r="AP262" s="3"/>
      <c r="AQ262" s="3"/>
      <c r="AR262" s="3"/>
      <c r="AS262" s="3"/>
      <c r="AT262" s="3"/>
      <c r="AU262" s="3"/>
      <c r="AV262" s="3"/>
      <c r="AW262" s="3"/>
      <c r="AX262" s="3"/>
      <c r="AY262" s="3"/>
      <c r="BN262" s="34"/>
    </row>
    <row r="263" spans="1:66" ht="12.95" customHeight="1">
      <c r="A263" s="13"/>
      <c r="B263" s="4"/>
      <c r="C263" s="4"/>
      <c r="D263" s="4" t="s">
        <v>91</v>
      </c>
      <c r="E263" s="4"/>
      <c r="F263" s="4"/>
      <c r="M263" s="1743"/>
      <c r="N263" s="1743"/>
      <c r="O263" s="1743"/>
      <c r="P263" s="1743"/>
      <c r="Q263" s="1743"/>
      <c r="R263" s="1743"/>
      <c r="S263" s="1743"/>
      <c r="T263" s="1743"/>
      <c r="U263" s="1743"/>
      <c r="V263" s="1743"/>
      <c r="W263" s="1743"/>
      <c r="X263" s="1743"/>
      <c r="Y263" s="1743"/>
      <c r="Z263" s="1743"/>
      <c r="AA263" s="1774"/>
      <c r="AB263" s="1774"/>
      <c r="AC263" s="1774"/>
      <c r="AD263" s="1774"/>
      <c r="AE263" s="1774"/>
      <c r="AG263" s="4"/>
      <c r="AH263" s="4"/>
      <c r="AI263" s="4"/>
      <c r="AJ263" s="4"/>
      <c r="AK263" s="4"/>
      <c r="AL263" s="3"/>
      <c r="AM263" s="3"/>
      <c r="AN263" s="3"/>
      <c r="AO263" s="3"/>
      <c r="AP263" s="3"/>
      <c r="AQ263" s="3"/>
      <c r="AR263" s="3"/>
      <c r="AS263" s="3"/>
      <c r="AT263" s="3"/>
      <c r="AU263" s="3"/>
      <c r="AV263" s="3"/>
      <c r="AW263" s="3"/>
      <c r="AX263" s="3"/>
      <c r="AY263" s="3"/>
      <c r="BN263" s="34"/>
    </row>
    <row r="264" spans="1:66" ht="12.95" customHeight="1">
      <c r="A264" s="13"/>
      <c r="B264" s="4"/>
      <c r="C264" s="56"/>
      <c r="D264" s="4" t="s">
        <v>544</v>
      </c>
      <c r="E264" s="4"/>
      <c r="F264" s="4"/>
      <c r="G264" s="4"/>
      <c r="H264" s="4"/>
      <c r="I264" s="4"/>
      <c r="J264" s="4"/>
      <c r="K264" s="4"/>
      <c r="L264" s="4"/>
      <c r="M264" s="1359" t="s">
        <v>308</v>
      </c>
      <c r="N264" s="1359"/>
      <c r="O264" s="1359"/>
      <c r="P264" s="1359"/>
      <c r="Q264" s="1359"/>
      <c r="R264" s="1359"/>
      <c r="S264" s="1359"/>
      <c r="T264" s="1359"/>
      <c r="U264" s="218" t="s">
        <v>939</v>
      </c>
      <c r="V264" s="218"/>
      <c r="W264" s="218"/>
      <c r="X264" s="218"/>
      <c r="Y264" s="218"/>
      <c r="Z264" s="218"/>
      <c r="AA264" s="1742"/>
      <c r="AB264" s="1742"/>
      <c r="AC264" s="1742"/>
      <c r="AD264" s="1742"/>
      <c r="AE264" s="1742"/>
      <c r="AF264" s="1742"/>
      <c r="AG264" s="1742"/>
      <c r="AH264" s="1742"/>
      <c r="AI264" s="1742"/>
      <c r="AJ264" s="1742"/>
      <c r="AK264" s="1742"/>
      <c r="AL264" s="3"/>
      <c r="AM264" s="3"/>
      <c r="AN264" s="3"/>
      <c r="AO264" s="3"/>
      <c r="AP264" s="3"/>
      <c r="AQ264" s="3"/>
      <c r="AR264" s="3"/>
      <c r="AS264" s="3"/>
      <c r="AT264" s="3"/>
      <c r="AU264" s="3"/>
      <c r="AV264" s="3"/>
      <c r="AW264" s="3"/>
      <c r="AX264" s="3"/>
      <c r="AY264" s="3"/>
      <c r="BN264" s="34"/>
    </row>
    <row r="265" spans="1:66" ht="12.95" customHeight="1">
      <c r="A265" s="19"/>
      <c r="B265" s="4"/>
      <c r="C265" s="4"/>
      <c r="D265" s="4"/>
      <c r="E265" s="4"/>
      <c r="F265" s="4"/>
      <c r="J265" s="165"/>
      <c r="K265" s="118"/>
      <c r="L265" s="118"/>
      <c r="M265" s="118"/>
      <c r="N265" s="118"/>
      <c r="O265" s="118"/>
      <c r="P265" s="118"/>
      <c r="Q265" s="118"/>
      <c r="R265" s="118"/>
      <c r="S265" s="118"/>
      <c r="T265" s="118"/>
      <c r="U265" s="118"/>
      <c r="V265" s="118"/>
      <c r="W265" s="118"/>
      <c r="X265" s="118"/>
      <c r="Y265" s="118"/>
      <c r="AD265" s="48"/>
      <c r="AE265" s="48"/>
      <c r="BN265" s="34"/>
    </row>
    <row r="266" spans="1:66" ht="12.95" customHeight="1">
      <c r="A266" s="57" t="s">
        <v>599</v>
      </c>
      <c r="B266" s="4"/>
      <c r="C266" s="2" t="s">
        <v>296</v>
      </c>
      <c r="D266" s="4"/>
      <c r="E266" s="4"/>
      <c r="F266" s="4"/>
      <c r="G266" s="4"/>
      <c r="H266" s="4"/>
      <c r="I266" s="4"/>
      <c r="J266" s="4"/>
      <c r="K266" s="4"/>
      <c r="L266" s="4"/>
      <c r="M266" s="35"/>
      <c r="N266" s="35"/>
      <c r="O266" s="35"/>
      <c r="P266" s="35"/>
      <c r="Q266" s="35"/>
      <c r="T266" s="1773" t="str">
        <f>BO245</f>
        <v>Joint Venture</v>
      </c>
      <c r="U266" s="1773"/>
      <c r="V266" s="1773"/>
      <c r="W266" s="1773"/>
      <c r="X266" s="1773"/>
      <c r="Z266" s="331" t="s">
        <v>994</v>
      </c>
      <c r="AA266" s="332"/>
      <c r="AB266" s="332"/>
      <c r="AC266" s="332"/>
      <c r="AD266" s="105"/>
      <c r="AE266" s="105"/>
      <c r="AF266" s="105"/>
      <c r="AG266" s="105"/>
      <c r="AH266" s="105"/>
      <c r="AI266" s="105"/>
      <c r="AJ266" s="105"/>
      <c r="AK266" s="333"/>
      <c r="AL266" s="58"/>
      <c r="BN266" s="34"/>
    </row>
    <row r="267" spans="1:66" ht="12.95" customHeight="1">
      <c r="A267" s="2"/>
      <c r="B267" s="4"/>
      <c r="C267" s="2"/>
      <c r="I267" s="4"/>
      <c r="J267" s="4"/>
      <c r="K267" s="4"/>
      <c r="L267" s="4"/>
      <c r="M267" s="35"/>
      <c r="N267" s="35"/>
      <c r="O267" s="35"/>
      <c r="P267" s="35"/>
      <c r="Q267" s="35"/>
      <c r="T267" s="4"/>
      <c r="U267" s="4"/>
      <c r="V267" s="4"/>
      <c r="W267" s="35"/>
      <c r="Z267" s="334" t="s">
        <v>832</v>
      </c>
      <c r="AF267" s="4"/>
      <c r="AG267" s="4"/>
      <c r="AH267" s="4"/>
      <c r="AI267" s="4"/>
      <c r="AJ267" s="4"/>
      <c r="AL267" s="65"/>
      <c r="BN267" s="34"/>
    </row>
    <row r="268" spans="1:66" ht="12.95" customHeight="1">
      <c r="A268" s="2" t="s">
        <v>601</v>
      </c>
      <c r="B268" s="4"/>
      <c r="C268" s="2" t="s">
        <v>172</v>
      </c>
      <c r="D268" s="4"/>
      <c r="E268" s="4"/>
      <c r="F268" s="4"/>
      <c r="G268" s="4"/>
      <c r="H268" s="4"/>
      <c r="I268" s="4"/>
      <c r="J268" s="4"/>
      <c r="K268" s="4"/>
      <c r="L268" s="4"/>
      <c r="M268" s="4"/>
      <c r="N268" s="4"/>
      <c r="O268" s="4"/>
      <c r="P268" s="4"/>
      <c r="Q268" s="4"/>
      <c r="R268" s="4"/>
      <c r="S268" s="4"/>
      <c r="T268" s="4"/>
      <c r="U268" s="4"/>
      <c r="V268" s="4"/>
      <c r="W268" s="4"/>
      <c r="Z268" s="335" t="s">
        <v>993</v>
      </c>
      <c r="AA268" s="48"/>
      <c r="AB268" s="48"/>
      <c r="AC268" s="48"/>
      <c r="AD268" s="48"/>
      <c r="AE268" s="48"/>
      <c r="AF268" s="104"/>
      <c r="AG268" s="104"/>
      <c r="AH268" s="104"/>
      <c r="AI268" s="104"/>
      <c r="AJ268" s="104"/>
      <c r="AK268" s="48"/>
      <c r="AL268" s="49"/>
      <c r="BN268" s="34"/>
    </row>
    <row r="269" spans="1:66" ht="12.95" customHeight="1">
      <c r="A269" s="4"/>
      <c r="B269" s="36">
        <v>0</v>
      </c>
      <c r="D269" s="1647" t="s">
        <v>281</v>
      </c>
      <c r="E269" s="1647"/>
      <c r="F269" s="1647"/>
      <c r="G269" s="1647"/>
      <c r="H269" s="1647"/>
      <c r="J269" t="s">
        <v>280</v>
      </c>
      <c r="X269" s="1635"/>
      <c r="Y269" s="1635"/>
      <c r="Z269" s="1635"/>
      <c r="AA269" s="1635"/>
      <c r="AB269" s="1635"/>
      <c r="AC269" s="1635"/>
      <c r="BN269" s="34"/>
    </row>
    <row r="270" spans="1:66" ht="12.95" customHeight="1">
      <c r="A270" s="4"/>
      <c r="B270" s="19"/>
      <c r="D270" s="37" t="s">
        <v>282</v>
      </c>
      <c r="E270" s="4"/>
      <c r="F270" s="4"/>
      <c r="G270" s="4"/>
      <c r="H270" s="4"/>
      <c r="I270" s="4"/>
      <c r="J270" s="4"/>
      <c r="K270" s="4"/>
      <c r="L270" s="4"/>
      <c r="M270" s="4"/>
      <c r="N270" s="4"/>
      <c r="O270" s="4"/>
      <c r="P270" s="4"/>
      <c r="Q270" s="4"/>
      <c r="R270" s="4"/>
      <c r="S270" s="4"/>
      <c r="T270" s="4"/>
      <c r="U270" s="4"/>
      <c r="V270" s="4"/>
      <c r="W270" s="4"/>
      <c r="X270" s="4"/>
      <c r="Y270" s="4"/>
      <c r="Z270" s="4"/>
      <c r="AA270" s="4"/>
      <c r="AH270" s="4"/>
      <c r="AI270" s="4"/>
      <c r="AJ270" s="4"/>
      <c r="AK270" s="3"/>
      <c r="AL270" s="3"/>
      <c r="AM270" s="3"/>
      <c r="AN270" s="3"/>
      <c r="AO270" s="3"/>
      <c r="AP270" s="3"/>
      <c r="AQ270" s="3"/>
      <c r="AR270" s="3"/>
      <c r="AS270" s="3"/>
      <c r="AT270" s="3"/>
      <c r="AU270" s="3"/>
      <c r="AV270" s="3"/>
      <c r="AW270" s="3"/>
      <c r="AX270" s="3"/>
      <c r="AY270" s="3"/>
      <c r="BN270" s="34"/>
    </row>
    <row r="271" spans="1:66" ht="12.95" customHeight="1">
      <c r="A271" s="35"/>
      <c r="B271" s="35"/>
      <c r="C271" s="35"/>
      <c r="D271" s="35"/>
      <c r="E271" s="35"/>
      <c r="F271" s="35"/>
      <c r="G271" s="35"/>
      <c r="H271" s="35"/>
      <c r="I271" s="35"/>
      <c r="J271" s="35"/>
      <c r="K271" s="35"/>
      <c r="L271" s="35"/>
      <c r="M271" s="35"/>
      <c r="N271" s="35"/>
      <c r="O271" s="35"/>
      <c r="P271" s="35"/>
      <c r="Q271" s="35"/>
      <c r="R271" s="35"/>
      <c r="S271" s="35"/>
      <c r="T271" s="35"/>
      <c r="U271" s="4"/>
      <c r="V271" s="4"/>
      <c r="W271" s="36"/>
      <c r="X271" s="4"/>
      <c r="Y271" s="4"/>
      <c r="Z271" s="6"/>
      <c r="AA271" s="6"/>
      <c r="AB271" s="6"/>
      <c r="AC271" s="6"/>
      <c r="AD271" s="6"/>
      <c r="AE271" s="4"/>
      <c r="AK271" s="3"/>
      <c r="AL271" s="3"/>
      <c r="AM271" s="3"/>
      <c r="AN271" s="3"/>
      <c r="AO271" s="3"/>
      <c r="AP271" s="3"/>
      <c r="AQ271" s="3"/>
      <c r="AR271" s="3"/>
      <c r="AS271" s="3"/>
      <c r="AT271" s="3"/>
      <c r="AU271" s="3"/>
      <c r="AV271" s="3"/>
      <c r="AW271" s="3"/>
      <c r="AX271" s="3"/>
      <c r="AY271" s="3"/>
      <c r="BN271" s="34"/>
    </row>
    <row r="272" spans="1:66" ht="12.95" customHeight="1">
      <c r="A272" s="2" t="s">
        <v>476</v>
      </c>
      <c r="B272" s="2"/>
      <c r="C272" s="2" t="s">
        <v>631</v>
      </c>
      <c r="D272" s="4"/>
      <c r="E272" s="4"/>
      <c r="F272" s="4"/>
      <c r="G272" s="4"/>
      <c r="H272" s="4"/>
      <c r="I272" s="4"/>
      <c r="J272" s="4"/>
      <c r="K272" s="4"/>
      <c r="L272" s="4"/>
      <c r="M272" s="4"/>
      <c r="N272" s="4"/>
      <c r="O272" s="4"/>
      <c r="P272" s="4"/>
      <c r="Q272" s="4"/>
      <c r="R272" s="4"/>
      <c r="S272" s="4"/>
      <c r="T272" s="4"/>
      <c r="BN272" s="34"/>
    </row>
    <row r="273" spans="1:66" ht="12.95" customHeight="1">
      <c r="D273" s="4" t="s">
        <v>297</v>
      </c>
      <c r="E273" s="4"/>
      <c r="F273" s="4"/>
      <c r="G273" s="4"/>
      <c r="H273" s="4"/>
      <c r="I273" s="4"/>
      <c r="J273" s="4"/>
      <c r="K273" s="4"/>
      <c r="L273" s="1756" t="s">
        <v>2641</v>
      </c>
      <c r="M273" s="1749"/>
      <c r="N273" s="1749"/>
      <c r="O273" s="1749"/>
      <c r="P273" s="1749"/>
      <c r="Q273" s="1749"/>
      <c r="R273" s="1749"/>
      <c r="S273" s="1749"/>
      <c r="T273" s="1749"/>
      <c r="U273" s="1749"/>
      <c r="V273" s="1749"/>
      <c r="W273" s="1749"/>
      <c r="X273" s="1749"/>
      <c r="Y273" s="1749"/>
      <c r="Z273" s="1749"/>
      <c r="AA273" s="1749"/>
      <c r="AB273" s="1749"/>
      <c r="AC273" s="1749"/>
      <c r="AD273" s="1749"/>
      <c r="AE273" s="1749"/>
      <c r="AF273" s="1749"/>
      <c r="AG273" s="1749"/>
      <c r="AH273" s="1749"/>
      <c r="AI273" s="1749"/>
      <c r="AJ273" s="1749"/>
      <c r="AK273" s="3"/>
      <c r="AL273" s="3"/>
      <c r="AM273" s="3"/>
      <c r="AN273" s="3"/>
      <c r="AO273" s="3"/>
      <c r="AP273" s="3"/>
      <c r="AQ273" s="3"/>
      <c r="AR273" s="3"/>
      <c r="AS273" s="3"/>
      <c r="AT273" s="3"/>
      <c r="AU273" s="3"/>
      <c r="AV273" s="3"/>
      <c r="AW273" s="3"/>
      <c r="AX273" s="3"/>
      <c r="AY273" s="3"/>
      <c r="BN273" s="34"/>
    </row>
    <row r="274" spans="1:66" ht="12.95" customHeight="1">
      <c r="D274" s="4" t="s">
        <v>86</v>
      </c>
      <c r="E274" s="4"/>
      <c r="F274" s="4"/>
      <c r="G274" s="4"/>
      <c r="H274" s="4"/>
      <c r="I274" s="4"/>
      <c r="J274" s="4"/>
      <c r="K274" s="4"/>
      <c r="L274" s="1598" t="s">
        <v>2638</v>
      </c>
      <c r="M274" s="1647"/>
      <c r="N274" s="1647"/>
      <c r="O274" s="1647"/>
      <c r="P274" s="1647"/>
      <c r="Q274" s="1647"/>
      <c r="R274" s="1647"/>
      <c r="S274" s="1647"/>
      <c r="T274" s="1647"/>
      <c r="U274" s="1647"/>
      <c r="V274" s="1647"/>
      <c r="W274" s="1647"/>
      <c r="X274" s="1647"/>
      <c r="Y274" s="1647"/>
      <c r="Z274" s="1647"/>
      <c r="AA274" s="1647"/>
      <c r="AB274" s="1647"/>
      <c r="AC274" s="1647"/>
      <c r="AD274" s="1647"/>
      <c r="AK274" s="3"/>
      <c r="AL274" s="3"/>
      <c r="AM274" s="3"/>
      <c r="AN274" s="3"/>
      <c r="AO274" s="3"/>
      <c r="AP274" s="3"/>
      <c r="AQ274" s="3"/>
      <c r="AR274" s="3"/>
      <c r="AS274" s="3"/>
      <c r="AT274" s="3"/>
      <c r="AU274" s="3"/>
      <c r="AV274" s="3"/>
      <c r="AW274" s="3"/>
      <c r="AX274" s="3"/>
      <c r="AY274" s="3"/>
      <c r="BN274" s="34"/>
    </row>
    <row r="275" spans="1:66" ht="12.95" customHeight="1">
      <c r="D275" s="4" t="s">
        <v>589</v>
      </c>
      <c r="E275" s="4"/>
      <c r="L275" s="1598" t="s">
        <v>2628</v>
      </c>
      <c r="M275" s="1647"/>
      <c r="N275" s="1647"/>
      <c r="O275" s="1647"/>
      <c r="P275" s="1647"/>
      <c r="Q275" s="1647"/>
      <c r="R275" s="1647"/>
      <c r="S275" s="1647"/>
      <c r="U275" s="33" t="s">
        <v>87</v>
      </c>
      <c r="V275" s="1627" t="s">
        <v>2639</v>
      </c>
      <c r="W275" s="1350"/>
      <c r="X275" s="4" t="s">
        <v>592</v>
      </c>
      <c r="AB275" s="1647">
        <v>95661</v>
      </c>
      <c r="AC275" s="1647"/>
      <c r="AD275" s="1647"/>
      <c r="AK275" s="3"/>
      <c r="AL275" s="3"/>
      <c r="AM275" s="3"/>
      <c r="AN275" s="3"/>
      <c r="AO275" s="3"/>
      <c r="AP275" s="3"/>
      <c r="AQ275" s="3"/>
      <c r="AR275" s="3"/>
      <c r="AS275" s="3"/>
      <c r="AT275" s="3"/>
      <c r="AU275" s="3"/>
      <c r="AV275" s="3"/>
      <c r="AW275" s="3"/>
      <c r="AX275" s="3"/>
      <c r="AY275" s="3"/>
      <c r="BN275" s="34"/>
    </row>
    <row r="276" spans="1:66" ht="12.95" customHeight="1">
      <c r="D276" s="4" t="s">
        <v>88</v>
      </c>
      <c r="E276" s="4"/>
      <c r="F276" s="4"/>
      <c r="G276" s="4"/>
      <c r="H276" s="4"/>
      <c r="I276" s="4"/>
      <c r="J276" s="4"/>
      <c r="K276" s="19"/>
      <c r="L276" s="1598" t="s">
        <v>2626</v>
      </c>
      <c r="M276" s="1647"/>
      <c r="N276" s="1647"/>
      <c r="O276" s="1647"/>
      <c r="P276" s="1647"/>
      <c r="Q276" s="1647"/>
      <c r="R276" s="1647"/>
      <c r="S276" s="1647"/>
      <c r="T276" s="1647"/>
      <c r="U276" s="1647"/>
      <c r="V276" s="1647"/>
      <c r="W276" s="1647"/>
      <c r="X276" s="1647"/>
      <c r="Y276" s="1647"/>
      <c r="Z276" s="1647"/>
      <c r="AA276" s="1647"/>
      <c r="AB276" s="1647"/>
      <c r="AC276" s="1647"/>
      <c r="AD276" s="1647"/>
      <c r="AI276" s="4"/>
      <c r="AJ276" s="4"/>
      <c r="AK276" s="3"/>
      <c r="AL276" s="3"/>
      <c r="AM276" s="3"/>
      <c r="AN276" s="3"/>
      <c r="AO276" s="3"/>
      <c r="AP276" s="3"/>
      <c r="AQ276" s="3"/>
      <c r="AR276" s="3"/>
      <c r="AS276" s="3"/>
      <c r="AT276" s="3"/>
      <c r="AU276" s="3"/>
      <c r="AV276" s="3"/>
      <c r="AW276" s="3"/>
      <c r="AX276" s="3"/>
      <c r="AY276" s="3"/>
      <c r="BN276" s="34"/>
    </row>
    <row r="277" spans="1:66" ht="12.95" customHeight="1">
      <c r="D277" s="4" t="s">
        <v>89</v>
      </c>
      <c r="E277" s="4"/>
      <c r="F277" s="4"/>
      <c r="L277" s="1354">
        <v>9168653981</v>
      </c>
      <c r="M277" s="1354"/>
      <c r="N277" s="1354"/>
      <c r="O277" s="1354"/>
      <c r="P277" s="1354"/>
      <c r="Q277" s="1354"/>
      <c r="R277" s="4" t="s">
        <v>207</v>
      </c>
      <c r="S277" s="4"/>
      <c r="T277" s="1350"/>
      <c r="U277" s="1350"/>
      <c r="V277" s="1350"/>
      <c r="W277" s="4" t="s">
        <v>90</v>
      </c>
      <c r="Y277" s="1354">
        <v>9167735866</v>
      </c>
      <c r="Z277" s="1354"/>
      <c r="AA277" s="1354"/>
      <c r="AB277" s="1354"/>
      <c r="AC277" s="1354"/>
      <c r="AD277" s="1354"/>
      <c r="BN277" s="34"/>
    </row>
    <row r="278" spans="1:66" ht="12.95" customHeight="1">
      <c r="D278" s="4" t="s">
        <v>91</v>
      </c>
      <c r="E278" s="4"/>
      <c r="F278" s="4"/>
      <c r="L278" s="1743" t="s">
        <v>2640</v>
      </c>
      <c r="M278" s="1743"/>
      <c r="N278" s="1743"/>
      <c r="O278" s="1743"/>
      <c r="P278" s="1743"/>
      <c r="Q278" s="1743"/>
      <c r="R278" s="1743"/>
      <c r="S278" s="1743"/>
      <c r="T278" s="1743"/>
      <c r="U278" s="1743"/>
      <c r="V278" s="1743"/>
      <c r="W278" s="1743"/>
      <c r="X278" s="1743"/>
      <c r="Y278" s="1743"/>
      <c r="Z278" s="1743"/>
      <c r="AA278" s="1743"/>
      <c r="AB278" s="1743"/>
      <c r="AC278" s="1743"/>
      <c r="AD278" s="1743"/>
      <c r="AF278" s="4"/>
      <c r="AG278" s="4"/>
      <c r="AH278" s="4"/>
      <c r="AI278" s="4"/>
      <c r="AJ278" s="4"/>
      <c r="BN278" s="34"/>
    </row>
    <row r="279" spans="1:66" ht="12.95" customHeight="1">
      <c r="D279" s="3" t="s">
        <v>632</v>
      </c>
      <c r="E279" s="3"/>
      <c r="F279" s="3"/>
      <c r="G279" s="3"/>
      <c r="H279" s="3"/>
      <c r="I279" s="3"/>
      <c r="L279" s="1627" t="s">
        <v>2651</v>
      </c>
      <c r="M279" s="1627"/>
      <c r="N279" s="1627"/>
      <c r="O279" s="1627"/>
      <c r="P279" s="1627"/>
      <c r="Q279" s="1627"/>
      <c r="R279" s="1627"/>
      <c r="S279" s="1627"/>
      <c r="T279" s="1627"/>
      <c r="U279" s="1627"/>
      <c r="V279" s="1627"/>
      <c r="W279" s="1627"/>
      <c r="X279" s="1627"/>
      <c r="Y279" s="1627"/>
      <c r="Z279" s="1627"/>
      <c r="AA279" s="1627"/>
      <c r="AB279" s="1627"/>
      <c r="AC279" s="1627"/>
      <c r="AD279" s="1627"/>
      <c r="AK279" s="3"/>
      <c r="AL279" s="3"/>
      <c r="AM279" s="3"/>
      <c r="AN279" s="3"/>
      <c r="AO279" s="3"/>
      <c r="AP279" s="3"/>
      <c r="AQ279" s="3"/>
      <c r="AR279" s="3"/>
      <c r="AS279" s="3"/>
      <c r="AT279" s="3"/>
      <c r="AU279" s="3"/>
      <c r="AV279" s="3"/>
      <c r="AW279" s="3"/>
      <c r="AX279" s="3"/>
      <c r="AY279" s="3"/>
      <c r="BN279" s="34"/>
    </row>
    <row r="280" spans="1:66" ht="12.95" customHeight="1">
      <c r="L280" s="22" t="s">
        <v>633</v>
      </c>
      <c r="BN280" s="34"/>
    </row>
    <row r="281" spans="1:66" ht="12.95" customHeight="1">
      <c r="A281" s="1641" t="s">
        <v>550</v>
      </c>
      <c r="B281" s="1641"/>
      <c r="C281" s="1641"/>
      <c r="D281" s="1641"/>
      <c r="E281" s="1641"/>
      <c r="F281" s="1641"/>
      <c r="G281" s="1641"/>
      <c r="H281" s="1641"/>
      <c r="I281" s="1641"/>
      <c r="J281" s="1641"/>
      <c r="K281" s="1641"/>
      <c r="L281" s="1641"/>
      <c r="M281" s="1641"/>
      <c r="N281" s="1641"/>
      <c r="O281" s="1641"/>
      <c r="P281" s="1641"/>
      <c r="Q281" s="1641"/>
      <c r="R281" s="1641"/>
      <c r="S281" s="1641"/>
      <c r="T281" s="1641"/>
      <c r="U281" s="1641"/>
      <c r="V281" s="1641"/>
      <c r="W281" s="1641"/>
      <c r="X281" s="1641"/>
      <c r="Y281" s="1641"/>
      <c r="Z281" s="1641"/>
      <c r="AA281" s="1641"/>
      <c r="AB281" s="1641"/>
      <c r="AC281" s="1641"/>
      <c r="AD281" s="1641"/>
      <c r="AE281" s="1641"/>
      <c r="AF281" s="1641"/>
      <c r="AG281" s="1641"/>
      <c r="AH281" s="1641"/>
      <c r="AI281" s="1641"/>
      <c r="AJ281" s="1641"/>
      <c r="AK281" s="1641"/>
      <c r="AL281" s="1641"/>
      <c r="AM281" s="95"/>
      <c r="AN281" s="95"/>
      <c r="AO281" s="95"/>
      <c r="AP281" s="95"/>
      <c r="AQ281" s="95"/>
      <c r="AR281" s="95"/>
      <c r="AS281" s="95"/>
      <c r="AT281" s="95"/>
      <c r="AU281" s="95"/>
      <c r="AV281" s="95"/>
      <c r="AW281" s="95"/>
      <c r="AX281" s="95"/>
      <c r="AY281" s="95"/>
      <c r="BN281" s="34"/>
    </row>
    <row r="282" spans="1:66" ht="12.95" customHeight="1" thickBot="1">
      <c r="A282" s="1642"/>
      <c r="B282" s="1642"/>
      <c r="C282" s="1642"/>
      <c r="D282" s="1642"/>
      <c r="E282" s="1642"/>
      <c r="F282" s="1642"/>
      <c r="G282" s="1642"/>
      <c r="H282" s="1642"/>
      <c r="I282" s="1642"/>
      <c r="J282" s="1642"/>
      <c r="K282" s="1642"/>
      <c r="L282" s="1642"/>
      <c r="M282" s="1642"/>
      <c r="N282" s="1642"/>
      <c r="O282" s="1642"/>
      <c r="P282" s="1642"/>
      <c r="Q282" s="1642"/>
      <c r="R282" s="1642"/>
      <c r="S282" s="1642"/>
      <c r="T282" s="1642"/>
      <c r="U282" s="1642"/>
      <c r="V282" s="1642"/>
      <c r="W282" s="1642"/>
      <c r="X282" s="1642"/>
      <c r="Y282" s="1642"/>
      <c r="Z282" s="1642"/>
      <c r="AA282" s="1642"/>
      <c r="AB282" s="1642"/>
      <c r="AC282" s="1642"/>
      <c r="AD282" s="1642"/>
      <c r="AE282" s="1642"/>
      <c r="AF282" s="1642"/>
      <c r="AG282" s="1642"/>
      <c r="AH282" s="1642"/>
      <c r="AI282" s="1642"/>
      <c r="AJ282" s="1642"/>
      <c r="AK282" s="1642"/>
      <c r="AL282" s="1642"/>
      <c r="AM282" s="95"/>
      <c r="AN282" s="95"/>
      <c r="AO282" s="95"/>
      <c r="AP282" s="95"/>
      <c r="AQ282" s="95"/>
      <c r="AR282" s="95"/>
      <c r="AS282" s="95"/>
      <c r="AT282" s="95"/>
      <c r="AU282" s="95"/>
      <c r="AV282" s="95"/>
      <c r="AW282" s="95"/>
      <c r="AX282" s="95"/>
      <c r="AY282" s="95"/>
      <c r="BN282" s="34"/>
    </row>
    <row r="283" spans="1:66" ht="12.95" customHeight="1" thickTop="1">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4"/>
      <c r="AL283" s="25"/>
      <c r="AM283" s="25"/>
      <c r="AN283" s="25"/>
      <c r="AO283" s="25"/>
      <c r="AP283" s="25"/>
      <c r="AQ283" s="25"/>
      <c r="AR283" s="25"/>
      <c r="AS283" s="25"/>
      <c r="AT283" s="25"/>
      <c r="AU283" s="25"/>
      <c r="AV283" s="25"/>
      <c r="AW283" s="25"/>
      <c r="AX283" s="25"/>
      <c r="AY283" s="25"/>
      <c r="BN283" s="34"/>
    </row>
    <row r="284" spans="1:66" ht="12.95" customHeight="1">
      <c r="A284" s="2" t="s">
        <v>320</v>
      </c>
      <c r="C284" s="2" t="s">
        <v>634</v>
      </c>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BN284" s="34"/>
    </row>
    <row r="285" spans="1:66" ht="12.95" customHeight="1">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t="s">
        <v>635</v>
      </c>
      <c r="C286" s="3"/>
      <c r="D286" s="3"/>
      <c r="E286" s="3"/>
      <c r="F286" s="3"/>
      <c r="H286" s="1352" t="s">
        <v>2652</v>
      </c>
      <c r="I286" s="1352"/>
      <c r="J286" s="1352"/>
      <c r="K286" s="1352"/>
      <c r="L286" s="1352"/>
      <c r="M286" s="1352"/>
      <c r="N286" s="1352"/>
      <c r="O286" s="1352"/>
      <c r="P286" s="1352"/>
      <c r="Q286" s="1352"/>
      <c r="R286" s="1352"/>
      <c r="T286" s="3" t="s">
        <v>576</v>
      </c>
      <c r="V286" s="3"/>
      <c r="W286" s="3"/>
      <c r="X286" s="3"/>
      <c r="Y286" s="3"/>
      <c r="AA286" s="1352" t="s">
        <v>2655</v>
      </c>
      <c r="AB286" s="1352"/>
      <c r="AC286" s="1352"/>
      <c r="AD286" s="1352"/>
      <c r="AE286" s="1352"/>
      <c r="AF286" s="1352"/>
      <c r="AG286" s="1352"/>
      <c r="AH286" s="1352"/>
      <c r="AI286" s="1352"/>
      <c r="AJ286" s="1352"/>
      <c r="AK286" s="1352"/>
      <c r="BN286" s="34"/>
    </row>
    <row r="287" spans="1:66" ht="12.95" customHeight="1">
      <c r="B287" s="3" t="s">
        <v>480</v>
      </c>
      <c r="C287" s="3"/>
      <c r="D287" s="3"/>
      <c r="E287" s="3"/>
      <c r="F287" s="3"/>
      <c r="H287" s="1359" t="s">
        <v>2638</v>
      </c>
      <c r="I287" s="1359"/>
      <c r="J287" s="1359"/>
      <c r="K287" s="1359"/>
      <c r="L287" s="1359"/>
      <c r="M287" s="1359"/>
      <c r="N287" s="1359"/>
      <c r="O287" s="1359"/>
      <c r="P287" s="1359"/>
      <c r="Q287" s="1359"/>
      <c r="R287" s="1359"/>
      <c r="T287" s="3" t="s">
        <v>480</v>
      </c>
      <c r="V287" s="3"/>
      <c r="W287" s="3"/>
      <c r="X287" s="3"/>
      <c r="Y287" s="3"/>
      <c r="AA287" s="1359" t="s">
        <v>2656</v>
      </c>
      <c r="AB287" s="1359"/>
      <c r="AC287" s="1359"/>
      <c r="AD287" s="1359"/>
      <c r="AE287" s="1359"/>
      <c r="AF287" s="1359"/>
      <c r="AG287" s="1359"/>
      <c r="AH287" s="1359"/>
      <c r="AI287" s="1359"/>
      <c r="AJ287" s="1359"/>
      <c r="AK287" s="1359"/>
      <c r="BN287" s="34"/>
    </row>
    <row r="288" spans="1:66" ht="12.95" customHeight="1">
      <c r="B288" s="3" t="s">
        <v>481</v>
      </c>
      <c r="C288" s="3"/>
      <c r="D288" s="3"/>
      <c r="E288" s="3"/>
      <c r="F288" s="3"/>
      <c r="H288" s="1359" t="s">
        <v>2653</v>
      </c>
      <c r="I288" s="1359"/>
      <c r="J288" s="1359"/>
      <c r="K288" s="1359"/>
      <c r="L288" s="1359"/>
      <c r="M288" s="1359"/>
      <c r="N288" s="1359"/>
      <c r="O288" s="1359"/>
      <c r="P288" s="1359"/>
      <c r="Q288" s="1359"/>
      <c r="R288" s="1359"/>
      <c r="T288" s="3" t="s">
        <v>76</v>
      </c>
      <c r="V288" s="3"/>
      <c r="W288" s="3"/>
      <c r="X288" s="3"/>
      <c r="Y288" s="3"/>
      <c r="AA288" s="1359" t="s">
        <v>2657</v>
      </c>
      <c r="AB288" s="1359"/>
      <c r="AC288" s="1359"/>
      <c r="AD288" s="1359"/>
      <c r="AE288" s="1359"/>
      <c r="AF288" s="1359"/>
      <c r="AG288" s="1359"/>
      <c r="AH288" s="1359"/>
      <c r="AI288" s="1359"/>
      <c r="AJ288" s="1359"/>
      <c r="AK288" s="1359"/>
      <c r="BN288" s="34"/>
    </row>
    <row r="289" spans="2:66" ht="12.95" customHeight="1">
      <c r="B289" s="3" t="s">
        <v>88</v>
      </c>
      <c r="C289" s="3"/>
      <c r="D289" s="3"/>
      <c r="E289" s="3"/>
      <c r="F289" s="3"/>
      <c r="H289" s="1359" t="s">
        <v>2654</v>
      </c>
      <c r="I289" s="1359"/>
      <c r="J289" s="1359"/>
      <c r="K289" s="1359"/>
      <c r="L289" s="1359"/>
      <c r="M289" s="1359"/>
      <c r="N289" s="1359"/>
      <c r="O289" s="1359"/>
      <c r="P289" s="1359"/>
      <c r="Q289" s="1359"/>
      <c r="R289" s="1359"/>
      <c r="T289" s="3" t="s">
        <v>88</v>
      </c>
      <c r="V289" s="3"/>
      <c r="W289" s="3"/>
      <c r="X289" s="3"/>
      <c r="Y289" s="3"/>
      <c r="AA289" s="1359" t="s">
        <v>2658</v>
      </c>
      <c r="AB289" s="1359"/>
      <c r="AC289" s="1359"/>
      <c r="AD289" s="1359"/>
      <c r="AE289" s="1359"/>
      <c r="AF289" s="1359"/>
      <c r="AG289" s="1359"/>
      <c r="AH289" s="1359"/>
      <c r="AI289" s="1359"/>
      <c r="AJ289" s="1359"/>
      <c r="AK289" s="1359"/>
      <c r="BN289" s="34"/>
    </row>
    <row r="290" spans="2:66" ht="12.95" customHeight="1">
      <c r="B290" s="3" t="s">
        <v>89</v>
      </c>
      <c r="C290" s="3"/>
      <c r="D290" s="3"/>
      <c r="E290" s="3"/>
      <c r="F290" s="3"/>
      <c r="G290" s="3"/>
      <c r="H290" s="1648">
        <v>9167736060</v>
      </c>
      <c r="I290" s="1648"/>
      <c r="J290" s="1648"/>
      <c r="K290" s="1648"/>
      <c r="L290" s="1648"/>
      <c r="M290" s="1648"/>
      <c r="N290" s="4" t="s">
        <v>207</v>
      </c>
      <c r="O290" s="4"/>
      <c r="P290" s="1647"/>
      <c r="Q290" s="1647"/>
      <c r="R290" s="1647"/>
      <c r="S290" s="3"/>
      <c r="T290" s="3" t="s">
        <v>89</v>
      </c>
      <c r="V290" s="3"/>
      <c r="W290" s="3"/>
      <c r="X290" s="3"/>
      <c r="Y290" s="3"/>
      <c r="AA290" s="1648">
        <v>7149559539</v>
      </c>
      <c r="AB290" s="1648"/>
      <c r="AC290" s="1648"/>
      <c r="AD290" s="1648"/>
      <c r="AE290" s="1648"/>
      <c r="AF290" s="1648"/>
      <c r="AG290" s="4" t="s">
        <v>207</v>
      </c>
      <c r="AH290" s="4"/>
      <c r="AI290" s="1647"/>
      <c r="AJ290" s="1647"/>
      <c r="AK290" s="1647"/>
      <c r="BN290" s="34"/>
    </row>
    <row r="291" spans="2:66" ht="12.95" customHeight="1">
      <c r="B291" s="3" t="s">
        <v>90</v>
      </c>
      <c r="C291" s="3"/>
      <c r="D291" s="3"/>
      <c r="E291" s="3"/>
      <c r="F291" s="3"/>
      <c r="G291" s="3"/>
      <c r="H291" s="1354">
        <v>9167735866</v>
      </c>
      <c r="I291" s="1354"/>
      <c r="J291" s="1354"/>
      <c r="K291" s="1354"/>
      <c r="L291" s="1354"/>
      <c r="M291" s="1354"/>
      <c r="N291" s="4"/>
      <c r="O291" s="4"/>
      <c r="P291" s="35"/>
      <c r="Q291" s="35"/>
      <c r="R291" s="35"/>
      <c r="S291" s="3"/>
      <c r="T291" s="3" t="s">
        <v>90</v>
      </c>
      <c r="V291" s="3"/>
      <c r="W291" s="3"/>
      <c r="X291" s="3"/>
      <c r="Y291" s="3"/>
      <c r="AA291" s="1772" t="s">
        <v>600</v>
      </c>
      <c r="AB291" s="1354"/>
      <c r="AC291" s="1354"/>
      <c r="AD291" s="1354"/>
      <c r="AE291" s="1354"/>
      <c r="AF291" s="1354"/>
      <c r="AG291" s="4"/>
      <c r="AH291" s="4"/>
      <c r="AI291" s="35"/>
      <c r="AJ291" s="35"/>
      <c r="AK291" s="35"/>
      <c r="BN291" s="34"/>
    </row>
    <row r="292" spans="2:66" ht="12.95" customHeight="1">
      <c r="B292" s="3" t="s">
        <v>77</v>
      </c>
      <c r="C292" s="3"/>
      <c r="D292" s="3"/>
      <c r="E292" s="3"/>
      <c r="F292" s="3"/>
      <c r="G292" s="3"/>
      <c r="H292" s="1359" t="s">
        <v>2659</v>
      </c>
      <c r="I292" s="1359"/>
      <c r="J292" s="1359"/>
      <c r="K292" s="1359"/>
      <c r="L292" s="1359"/>
      <c r="M292" s="1359"/>
      <c r="N292" s="1352"/>
      <c r="O292" s="1352"/>
      <c r="P292" s="1352"/>
      <c r="Q292" s="1352"/>
      <c r="R292" s="1352"/>
      <c r="S292" s="3"/>
      <c r="T292" s="3" t="s">
        <v>77</v>
      </c>
      <c r="V292" s="3"/>
      <c r="W292" s="3"/>
      <c r="X292" s="3"/>
      <c r="Y292" s="3"/>
      <c r="AA292" s="1359" t="s">
        <v>2660</v>
      </c>
      <c r="AB292" s="1359"/>
      <c r="AC292" s="1359"/>
      <c r="AD292" s="1359"/>
      <c r="AE292" s="1359"/>
      <c r="AF292" s="1359"/>
      <c r="AG292" s="1352"/>
      <c r="AH292" s="1352"/>
      <c r="AI292" s="1352"/>
      <c r="AJ292" s="1352"/>
      <c r="AK292" s="1352"/>
      <c r="BN292" s="34"/>
    </row>
    <row r="293" spans="2:66" ht="12.95" customHeight="1">
      <c r="B293" s="3"/>
      <c r="C293" s="3"/>
      <c r="D293" s="3"/>
      <c r="E293" s="3"/>
      <c r="F293" s="3"/>
      <c r="G293" s="3"/>
      <c r="H293" s="3"/>
      <c r="I293" s="3"/>
      <c r="J293" s="3"/>
      <c r="K293" s="3"/>
      <c r="L293" s="3"/>
      <c r="M293" s="3"/>
      <c r="N293" s="3"/>
      <c r="O293" s="3"/>
      <c r="P293" s="3"/>
      <c r="Q293" s="3"/>
      <c r="R293" s="3"/>
      <c r="S293" s="3"/>
      <c r="T293" s="3"/>
      <c r="V293" s="3"/>
      <c r="W293" s="3"/>
      <c r="X293" s="3"/>
      <c r="Y293" s="3"/>
      <c r="AA293" s="3"/>
      <c r="AB293" s="3"/>
      <c r="AC293" s="3"/>
      <c r="AD293" s="3"/>
      <c r="AE293" s="3"/>
      <c r="AF293" s="3"/>
      <c r="AG293" s="3"/>
      <c r="AH293" s="3"/>
      <c r="AI293" s="3"/>
      <c r="AJ293" s="3"/>
      <c r="AK293" s="3"/>
      <c r="BN293" s="34"/>
    </row>
    <row r="294" spans="2:66" ht="12.95" customHeight="1">
      <c r="B294" s="3" t="s">
        <v>324</v>
      </c>
      <c r="C294" s="3"/>
      <c r="D294" s="3"/>
      <c r="E294" s="3"/>
      <c r="F294" s="3"/>
      <c r="H294" s="1352" t="s">
        <v>2661</v>
      </c>
      <c r="I294" s="1352"/>
      <c r="J294" s="1352"/>
      <c r="K294" s="1352"/>
      <c r="L294" s="1352"/>
      <c r="M294" s="1352"/>
      <c r="N294" s="1352"/>
      <c r="O294" s="1352"/>
      <c r="P294" s="1352"/>
      <c r="Q294" s="1352"/>
      <c r="R294" s="1352"/>
      <c r="T294" s="3" t="s">
        <v>365</v>
      </c>
      <c r="V294" s="3"/>
      <c r="W294" s="3"/>
      <c r="X294" s="3"/>
      <c r="Y294" s="3"/>
      <c r="AA294" s="1352" t="s">
        <v>2666</v>
      </c>
      <c r="AB294" s="1352"/>
      <c r="AC294" s="1352"/>
      <c r="AD294" s="1352"/>
      <c r="AE294" s="1352"/>
      <c r="AF294" s="1352"/>
      <c r="AG294" s="1352"/>
      <c r="AH294" s="1352"/>
      <c r="AI294" s="1352"/>
      <c r="AJ294" s="1352"/>
      <c r="AK294" s="1352"/>
      <c r="BN294" s="34"/>
    </row>
    <row r="295" spans="2:66" ht="12.95" customHeight="1">
      <c r="B295" s="3" t="s">
        <v>480</v>
      </c>
      <c r="C295" s="3"/>
      <c r="D295" s="3"/>
      <c r="E295" s="3"/>
      <c r="F295" s="3"/>
      <c r="H295" s="1359" t="s">
        <v>2662</v>
      </c>
      <c r="I295" s="1359"/>
      <c r="J295" s="1359"/>
      <c r="K295" s="1359"/>
      <c r="L295" s="1359"/>
      <c r="M295" s="1359"/>
      <c r="N295" s="1359"/>
      <c r="O295" s="1359"/>
      <c r="P295" s="1359"/>
      <c r="Q295" s="1359"/>
      <c r="R295" s="1359"/>
      <c r="T295" s="3" t="s">
        <v>480</v>
      </c>
      <c r="V295" s="3"/>
      <c r="W295" s="3"/>
      <c r="X295" s="3"/>
      <c r="Y295" s="3"/>
      <c r="AA295" s="1359" t="s">
        <v>2638</v>
      </c>
      <c r="AB295" s="1359"/>
      <c r="AC295" s="1359"/>
      <c r="AD295" s="1359"/>
      <c r="AE295" s="1359"/>
      <c r="AF295" s="1359"/>
      <c r="AG295" s="1359"/>
      <c r="AH295" s="1359"/>
      <c r="AI295" s="1359"/>
      <c r="AJ295" s="1359"/>
      <c r="AK295" s="1359"/>
      <c r="BN295" s="34"/>
    </row>
    <row r="296" spans="2:66" ht="12.95" customHeight="1">
      <c r="B296" s="3" t="s">
        <v>481</v>
      </c>
      <c r="C296" s="3"/>
      <c r="D296" s="3"/>
      <c r="E296" s="3"/>
      <c r="F296" s="3"/>
      <c r="H296" s="1359" t="s">
        <v>2663</v>
      </c>
      <c r="I296" s="1359"/>
      <c r="J296" s="1359"/>
      <c r="K296" s="1359"/>
      <c r="L296" s="1359"/>
      <c r="M296" s="1359"/>
      <c r="N296" s="1359"/>
      <c r="O296" s="1359"/>
      <c r="P296" s="1359"/>
      <c r="Q296" s="1359"/>
      <c r="R296" s="1359"/>
      <c r="T296" s="3" t="s">
        <v>76</v>
      </c>
      <c r="V296" s="3"/>
      <c r="W296" s="3"/>
      <c r="X296" s="3"/>
      <c r="Y296" s="3"/>
      <c r="AA296" s="1359" t="s">
        <v>2653</v>
      </c>
      <c r="AB296" s="1359"/>
      <c r="AC296" s="1359"/>
      <c r="AD296" s="1359"/>
      <c r="AE296" s="1359"/>
      <c r="AF296" s="1359"/>
      <c r="AG296" s="1359"/>
      <c r="AH296" s="1359"/>
      <c r="AI296" s="1359"/>
      <c r="AJ296" s="1359"/>
      <c r="AK296" s="1359"/>
      <c r="BN296" s="34"/>
    </row>
    <row r="297" spans="2:66" ht="12.95" customHeight="1">
      <c r="B297" s="3" t="s">
        <v>88</v>
      </c>
      <c r="C297" s="3"/>
      <c r="D297" s="3"/>
      <c r="E297" s="3"/>
      <c r="F297" s="3"/>
      <c r="H297" s="1359" t="s">
        <v>2664</v>
      </c>
      <c r="I297" s="1359"/>
      <c r="J297" s="1359"/>
      <c r="K297" s="1359"/>
      <c r="L297" s="1359"/>
      <c r="M297" s="1359"/>
      <c r="N297" s="1359"/>
      <c r="O297" s="1359"/>
      <c r="P297" s="1359"/>
      <c r="Q297" s="1359"/>
      <c r="R297" s="1359"/>
      <c r="T297" s="3" t="s">
        <v>88</v>
      </c>
      <c r="V297" s="3"/>
      <c r="W297" s="3"/>
      <c r="X297" s="3"/>
      <c r="Y297" s="3"/>
      <c r="AA297" s="1359" t="s">
        <v>2667</v>
      </c>
      <c r="AB297" s="1359"/>
      <c r="AC297" s="1359"/>
      <c r="AD297" s="1359"/>
      <c r="AE297" s="1359"/>
      <c r="AF297" s="1359"/>
      <c r="AG297" s="1359"/>
      <c r="AH297" s="1359"/>
      <c r="AI297" s="1359"/>
      <c r="AJ297" s="1359"/>
      <c r="AK297" s="1359"/>
      <c r="BN297" s="34"/>
    </row>
    <row r="298" spans="2:66" ht="12.95" customHeight="1">
      <c r="B298" s="3" t="s">
        <v>89</v>
      </c>
      <c r="C298" s="3"/>
      <c r="D298" s="3"/>
      <c r="E298" s="3"/>
      <c r="F298" s="3"/>
      <c r="G298" s="3"/>
      <c r="H298" s="1648">
        <v>2132398048</v>
      </c>
      <c r="I298" s="1648"/>
      <c r="J298" s="1648"/>
      <c r="K298" s="1648"/>
      <c r="L298" s="1648"/>
      <c r="M298" s="1648"/>
      <c r="N298" s="4" t="s">
        <v>207</v>
      </c>
      <c r="O298" s="4"/>
      <c r="P298" s="1647"/>
      <c r="Q298" s="1647"/>
      <c r="R298" s="1647"/>
      <c r="S298" s="3"/>
      <c r="T298" s="3" t="s">
        <v>89</v>
      </c>
      <c r="V298" s="3"/>
      <c r="W298" s="3"/>
      <c r="X298" s="3"/>
      <c r="Y298" s="3"/>
      <c r="AA298" s="1648">
        <v>9167243856</v>
      </c>
      <c r="AB298" s="1648"/>
      <c r="AC298" s="1648"/>
      <c r="AD298" s="1648"/>
      <c r="AE298" s="1648"/>
      <c r="AF298" s="1648"/>
      <c r="AG298" s="4" t="s">
        <v>207</v>
      </c>
      <c r="AH298" s="4"/>
      <c r="AI298" s="1647"/>
      <c r="AJ298" s="1647"/>
      <c r="AK298" s="1647"/>
      <c r="BN298" s="34"/>
    </row>
    <row r="299" spans="2:66" ht="12.95" customHeight="1">
      <c r="B299" s="3" t="s">
        <v>90</v>
      </c>
      <c r="C299" s="3"/>
      <c r="D299" s="3"/>
      <c r="E299" s="3"/>
      <c r="F299" s="3"/>
      <c r="G299" s="3"/>
      <c r="H299" s="1354">
        <v>2132930410</v>
      </c>
      <c r="I299" s="1354"/>
      <c r="J299" s="1354"/>
      <c r="K299" s="1354"/>
      <c r="L299" s="1354"/>
      <c r="M299" s="1354"/>
      <c r="N299" s="4"/>
      <c r="O299" s="4"/>
      <c r="P299" s="35"/>
      <c r="Q299" s="35"/>
      <c r="R299" s="35"/>
      <c r="S299" s="3"/>
      <c r="T299" s="3" t="s">
        <v>90</v>
      </c>
      <c r="V299" s="3"/>
      <c r="W299" s="3"/>
      <c r="X299" s="3"/>
      <c r="Y299" s="3"/>
      <c r="AA299" s="1354">
        <v>9167735866</v>
      </c>
      <c r="AB299" s="1354"/>
      <c r="AC299" s="1354"/>
      <c r="AD299" s="1354"/>
      <c r="AE299" s="1354"/>
      <c r="AF299" s="1354"/>
      <c r="AG299" s="4"/>
      <c r="AH299" s="4"/>
      <c r="AI299" s="35"/>
      <c r="AJ299" s="35"/>
      <c r="AK299" s="35"/>
      <c r="BN299" s="34"/>
    </row>
    <row r="300" spans="2:66" ht="12.95" customHeight="1">
      <c r="B300" s="3" t="s">
        <v>77</v>
      </c>
      <c r="C300" s="3"/>
      <c r="D300" s="3"/>
      <c r="E300" s="3"/>
      <c r="F300" s="3"/>
      <c r="G300" s="3"/>
      <c r="H300" s="1359" t="s">
        <v>2665</v>
      </c>
      <c r="I300" s="1359"/>
      <c r="J300" s="1359"/>
      <c r="K300" s="1359"/>
      <c r="L300" s="1359"/>
      <c r="M300" s="1359"/>
      <c r="N300" s="1352"/>
      <c r="O300" s="1352"/>
      <c r="P300" s="1352"/>
      <c r="Q300" s="1352"/>
      <c r="R300" s="1352"/>
      <c r="S300" s="3"/>
      <c r="T300" s="3" t="s">
        <v>77</v>
      </c>
      <c r="V300" s="3"/>
      <c r="W300" s="3"/>
      <c r="X300" s="3"/>
      <c r="Y300" s="3"/>
      <c r="AA300" s="1359" t="s">
        <v>2668</v>
      </c>
      <c r="AB300" s="1359"/>
      <c r="AC300" s="1359"/>
      <c r="AD300" s="1359"/>
      <c r="AE300" s="1359"/>
      <c r="AF300" s="1359"/>
      <c r="AG300" s="1352"/>
      <c r="AH300" s="1352"/>
      <c r="AI300" s="1352"/>
      <c r="AJ300" s="1352"/>
      <c r="AK300" s="1352"/>
      <c r="BN300" s="34"/>
    </row>
    <row r="301" spans="2:66" ht="12.95" customHeight="1">
      <c r="BN301" s="34"/>
    </row>
    <row r="302" spans="2:66" ht="12.95" customHeight="1">
      <c r="B302" s="3" t="s">
        <v>78</v>
      </c>
      <c r="C302" s="3"/>
      <c r="D302" s="3"/>
      <c r="E302" s="3"/>
      <c r="F302" s="3"/>
      <c r="H302" s="1352" t="s">
        <v>2650</v>
      </c>
      <c r="I302" s="1352"/>
      <c r="J302" s="1352"/>
      <c r="K302" s="1352"/>
      <c r="L302" s="1352"/>
      <c r="M302" s="1352"/>
      <c r="N302" s="1352"/>
      <c r="O302" s="1352"/>
      <c r="P302" s="1352"/>
      <c r="Q302" s="1352"/>
      <c r="R302" s="1352"/>
      <c r="T302" s="4" t="s">
        <v>907</v>
      </c>
      <c r="V302" s="3"/>
      <c r="W302" s="3"/>
      <c r="X302" s="3"/>
      <c r="Y302" s="3"/>
      <c r="AA302" s="1352" t="s">
        <v>2650</v>
      </c>
      <c r="AB302" s="1352"/>
      <c r="AC302" s="1352"/>
      <c r="AD302" s="1352"/>
      <c r="AE302" s="1352"/>
      <c r="AF302" s="1352"/>
      <c r="AG302" s="1352"/>
      <c r="AH302" s="1352"/>
      <c r="AI302" s="1352"/>
      <c r="AJ302" s="1352"/>
      <c r="AK302" s="1352"/>
      <c r="BN302" s="34"/>
    </row>
    <row r="303" spans="2:66" ht="12.95" customHeight="1">
      <c r="B303" s="3" t="s">
        <v>480</v>
      </c>
      <c r="C303" s="3"/>
      <c r="D303" s="3"/>
      <c r="E303" s="3"/>
      <c r="F303" s="3"/>
      <c r="H303" s="1359"/>
      <c r="I303" s="1359"/>
      <c r="J303" s="1359"/>
      <c r="K303" s="1359"/>
      <c r="L303" s="1359"/>
      <c r="M303" s="1359"/>
      <c r="N303" s="1359"/>
      <c r="O303" s="1359"/>
      <c r="P303" s="1359"/>
      <c r="Q303" s="1359"/>
      <c r="R303" s="1359"/>
      <c r="T303" s="3" t="s">
        <v>480</v>
      </c>
      <c r="V303" s="3"/>
      <c r="W303" s="3"/>
      <c r="X303" s="3"/>
      <c r="Y303" s="3"/>
      <c r="AA303" s="1359"/>
      <c r="AB303" s="1359"/>
      <c r="AC303" s="1359"/>
      <c r="AD303" s="1359"/>
      <c r="AE303" s="1359"/>
      <c r="AF303" s="1359"/>
      <c r="AG303" s="1359"/>
      <c r="AH303" s="1359"/>
      <c r="AI303" s="1359"/>
      <c r="AJ303" s="1359"/>
      <c r="AK303" s="1359"/>
      <c r="BN303" s="34"/>
    </row>
    <row r="304" spans="2:66" ht="12.95" customHeight="1">
      <c r="B304" s="3" t="s">
        <v>481</v>
      </c>
      <c r="C304" s="3"/>
      <c r="D304" s="3"/>
      <c r="E304" s="3"/>
      <c r="F304" s="3"/>
      <c r="H304" s="1359"/>
      <c r="I304" s="1359"/>
      <c r="J304" s="1359"/>
      <c r="K304" s="1359"/>
      <c r="L304" s="1359"/>
      <c r="M304" s="1359"/>
      <c r="N304" s="1359"/>
      <c r="O304" s="1359"/>
      <c r="P304" s="1359"/>
      <c r="Q304" s="1359"/>
      <c r="R304" s="1359"/>
      <c r="T304" s="3" t="s">
        <v>76</v>
      </c>
      <c r="V304" s="3"/>
      <c r="W304" s="3"/>
      <c r="X304" s="3"/>
      <c r="Y304" s="3"/>
      <c r="AA304" s="1359"/>
      <c r="AB304" s="1359"/>
      <c r="AC304" s="1359"/>
      <c r="AD304" s="1359"/>
      <c r="AE304" s="1359"/>
      <c r="AF304" s="1359"/>
      <c r="AG304" s="1359"/>
      <c r="AH304" s="1359"/>
      <c r="AI304" s="1359"/>
      <c r="AJ304" s="1359"/>
      <c r="AK304" s="1359"/>
      <c r="BN304" s="34"/>
    </row>
    <row r="305" spans="2:66" ht="12.95" customHeight="1">
      <c r="B305" s="3" t="s">
        <v>88</v>
      </c>
      <c r="C305" s="3"/>
      <c r="D305" s="3"/>
      <c r="E305" s="3"/>
      <c r="F305" s="3"/>
      <c r="H305" s="1359"/>
      <c r="I305" s="1359"/>
      <c r="J305" s="1359"/>
      <c r="K305" s="1359"/>
      <c r="L305" s="1359"/>
      <c r="M305" s="1359"/>
      <c r="N305" s="1359"/>
      <c r="O305" s="1359"/>
      <c r="P305" s="1359"/>
      <c r="Q305" s="1359"/>
      <c r="R305" s="1359"/>
      <c r="T305" s="3" t="s">
        <v>88</v>
      </c>
      <c r="V305" s="3"/>
      <c r="W305" s="3"/>
      <c r="X305" s="3"/>
      <c r="Y305" s="3"/>
      <c r="AA305" s="1359"/>
      <c r="AB305" s="1359"/>
      <c r="AC305" s="1359"/>
      <c r="AD305" s="1359"/>
      <c r="AE305" s="1359"/>
      <c r="AF305" s="1359"/>
      <c r="AG305" s="1359"/>
      <c r="AH305" s="1359"/>
      <c r="AI305" s="1359"/>
      <c r="AJ305" s="1359"/>
      <c r="AK305" s="1359"/>
      <c r="BN305" s="34"/>
    </row>
    <row r="306" spans="2:66" ht="12.95" customHeight="1">
      <c r="B306" s="3" t="s">
        <v>89</v>
      </c>
      <c r="C306" s="3"/>
      <c r="D306" s="3"/>
      <c r="E306" s="3"/>
      <c r="F306" s="3"/>
      <c r="G306" s="3"/>
      <c r="H306" s="1648"/>
      <c r="I306" s="1648"/>
      <c r="J306" s="1648"/>
      <c r="K306" s="1648"/>
      <c r="L306" s="1648"/>
      <c r="M306" s="1648"/>
      <c r="N306" s="4" t="s">
        <v>207</v>
      </c>
      <c r="O306" s="4"/>
      <c r="P306" s="1647"/>
      <c r="Q306" s="1647"/>
      <c r="R306" s="1647"/>
      <c r="S306" s="3"/>
      <c r="T306" s="3" t="s">
        <v>89</v>
      </c>
      <c r="V306" s="3"/>
      <c r="W306" s="3"/>
      <c r="X306" s="3"/>
      <c r="Y306" s="3"/>
      <c r="AA306" s="1648"/>
      <c r="AB306" s="1648"/>
      <c r="AC306" s="1648"/>
      <c r="AD306" s="1648"/>
      <c r="AE306" s="1648"/>
      <c r="AF306" s="1648"/>
      <c r="AG306" s="4" t="s">
        <v>207</v>
      </c>
      <c r="AH306" s="4"/>
      <c r="AI306" s="1647"/>
      <c r="AJ306" s="1647"/>
      <c r="AK306" s="1647"/>
      <c r="BN306" s="34"/>
    </row>
    <row r="307" spans="2:66" ht="12.95" customHeight="1">
      <c r="B307" s="3" t="s">
        <v>90</v>
      </c>
      <c r="C307" s="3"/>
      <c r="D307" s="3"/>
      <c r="E307" s="3"/>
      <c r="F307" s="3"/>
      <c r="G307" s="3"/>
      <c r="H307" s="1354"/>
      <c r="I307" s="1354"/>
      <c r="J307" s="1354"/>
      <c r="K307" s="1354"/>
      <c r="L307" s="1354"/>
      <c r="M307" s="1354"/>
      <c r="N307" s="4"/>
      <c r="O307" s="4"/>
      <c r="P307" s="35"/>
      <c r="Q307" s="35"/>
      <c r="R307" s="35"/>
      <c r="S307" s="3"/>
      <c r="T307" s="3" t="s">
        <v>90</v>
      </c>
      <c r="V307" s="3"/>
      <c r="W307" s="3"/>
      <c r="X307" s="3"/>
      <c r="Y307" s="3"/>
      <c r="AA307" s="1354"/>
      <c r="AB307" s="1354"/>
      <c r="AC307" s="1354"/>
      <c r="AD307" s="1354"/>
      <c r="AE307" s="1354"/>
      <c r="AF307" s="1354"/>
      <c r="AG307" s="4"/>
      <c r="AH307" s="4"/>
      <c r="AI307" s="35"/>
      <c r="AJ307" s="35"/>
      <c r="AK307" s="35"/>
      <c r="BN307" s="34"/>
    </row>
    <row r="308" spans="2:66" ht="12.95" customHeight="1">
      <c r="B308" s="3" t="s">
        <v>77</v>
      </c>
      <c r="C308" s="3"/>
      <c r="D308" s="3"/>
      <c r="E308" s="3"/>
      <c r="F308" s="3"/>
      <c r="G308" s="3"/>
      <c r="H308" s="1359"/>
      <c r="I308" s="1359"/>
      <c r="J308" s="1359"/>
      <c r="K308" s="1359"/>
      <c r="L308" s="1359"/>
      <c r="M308" s="1359"/>
      <c r="N308" s="1352"/>
      <c r="O308" s="1352"/>
      <c r="P308" s="1352"/>
      <c r="Q308" s="1352"/>
      <c r="R308" s="1352"/>
      <c r="S308" s="3"/>
      <c r="T308" s="3" t="s">
        <v>77</v>
      </c>
      <c r="V308" s="3"/>
      <c r="W308" s="3"/>
      <c r="X308" s="3"/>
      <c r="Y308" s="3"/>
      <c r="AA308" s="1359"/>
      <c r="AB308" s="1359"/>
      <c r="AC308" s="1359"/>
      <c r="AD308" s="1359"/>
      <c r="AE308" s="1359"/>
      <c r="AF308" s="1359"/>
      <c r="AG308" s="1352"/>
      <c r="AH308" s="1352"/>
      <c r="AI308" s="1352"/>
      <c r="AJ308" s="1352"/>
      <c r="AK308" s="1352"/>
      <c r="BN308" s="34"/>
    </row>
    <row r="309" spans="2:66" ht="12.95" customHeight="1">
      <c r="B309" s="3"/>
      <c r="C309" s="3"/>
      <c r="D309" s="3"/>
      <c r="E309" s="3"/>
      <c r="F309" s="3"/>
      <c r="G309" s="3"/>
      <c r="H309" s="8"/>
      <c r="I309" s="8"/>
      <c r="J309" s="8"/>
      <c r="K309" s="8"/>
      <c r="L309" s="8"/>
      <c r="M309" s="8"/>
      <c r="N309" s="8"/>
      <c r="O309" s="8"/>
      <c r="P309" s="8"/>
      <c r="Q309" s="8"/>
      <c r="R309" s="8"/>
      <c r="S309" s="3"/>
      <c r="T309" s="3"/>
      <c r="V309" s="3"/>
      <c r="W309" s="3"/>
      <c r="X309" s="3"/>
      <c r="Y309" s="3"/>
      <c r="AA309" s="8"/>
      <c r="AB309" s="8"/>
      <c r="AC309" s="8"/>
      <c r="AD309" s="8"/>
      <c r="AE309" s="8"/>
      <c r="AF309" s="8"/>
      <c r="AG309" s="8"/>
      <c r="AH309" s="8"/>
      <c r="AI309" s="8"/>
      <c r="AJ309" s="8"/>
      <c r="AK309" s="8"/>
      <c r="BN309" s="34"/>
    </row>
    <row r="310" spans="2:66" ht="12.95" customHeight="1">
      <c r="B310" s="4" t="s">
        <v>940</v>
      </c>
      <c r="C310" s="3"/>
      <c r="D310" s="3"/>
      <c r="E310" s="3"/>
      <c r="F310" s="3"/>
      <c r="H310" s="1352" t="s">
        <v>2669</v>
      </c>
      <c r="I310" s="1352"/>
      <c r="J310" s="1352"/>
      <c r="K310" s="1352"/>
      <c r="L310" s="1352"/>
      <c r="M310" s="1352"/>
      <c r="N310" s="1352"/>
      <c r="O310" s="1352"/>
      <c r="P310" s="1352"/>
      <c r="Q310" s="1352"/>
      <c r="R310" s="1352"/>
      <c r="S310" s="3"/>
      <c r="T310" s="3" t="s">
        <v>366</v>
      </c>
      <c r="V310" s="3"/>
      <c r="W310" s="3"/>
      <c r="X310" s="3"/>
      <c r="Y310" s="3"/>
      <c r="AA310" s="1352" t="s">
        <v>2674</v>
      </c>
      <c r="AB310" s="1352"/>
      <c r="AC310" s="1352"/>
      <c r="AD310" s="1352"/>
      <c r="AE310" s="1352"/>
      <c r="AF310" s="1352"/>
      <c r="AG310" s="1352"/>
      <c r="AH310" s="1352"/>
      <c r="AI310" s="1352"/>
      <c r="AJ310" s="1352"/>
      <c r="AK310" s="1352"/>
      <c r="BN310" s="34"/>
    </row>
    <row r="311" spans="2:66" ht="12.95" customHeight="1">
      <c r="B311" s="3" t="s">
        <v>480</v>
      </c>
      <c r="C311" s="3"/>
      <c r="D311" s="3"/>
      <c r="E311" s="3"/>
      <c r="F311" s="3"/>
      <c r="H311" s="1359" t="s">
        <v>2670</v>
      </c>
      <c r="I311" s="1359"/>
      <c r="J311" s="1359"/>
      <c r="K311" s="1359"/>
      <c r="L311" s="1359"/>
      <c r="M311" s="1359"/>
      <c r="N311" s="1359"/>
      <c r="O311" s="1359"/>
      <c r="P311" s="1359"/>
      <c r="Q311" s="1359"/>
      <c r="R311" s="1359"/>
      <c r="S311" s="3"/>
      <c r="T311" s="3" t="s">
        <v>480</v>
      </c>
      <c r="V311" s="3"/>
      <c r="W311" s="3"/>
      <c r="X311" s="3"/>
      <c r="Y311" s="3"/>
      <c r="AA311" s="1359" t="s">
        <v>2675</v>
      </c>
      <c r="AB311" s="1359"/>
      <c r="AC311" s="1359"/>
      <c r="AD311" s="1359"/>
      <c r="AE311" s="1359"/>
      <c r="AF311" s="1359"/>
      <c r="AG311" s="1359"/>
      <c r="AH311" s="1359"/>
      <c r="AI311" s="1359"/>
      <c r="AJ311" s="1359"/>
      <c r="AK311" s="1359"/>
      <c r="BN311" s="34"/>
    </row>
    <row r="312" spans="2:66" ht="12.95" customHeight="1">
      <c r="B312" s="3" t="s">
        <v>481</v>
      </c>
      <c r="C312" s="3"/>
      <c r="D312" s="3"/>
      <c r="E312" s="3"/>
      <c r="F312" s="3"/>
      <c r="H312" s="1359" t="s">
        <v>2671</v>
      </c>
      <c r="I312" s="1359"/>
      <c r="J312" s="1359"/>
      <c r="K312" s="1359"/>
      <c r="L312" s="1359"/>
      <c r="M312" s="1359"/>
      <c r="N312" s="1359"/>
      <c r="O312" s="1359"/>
      <c r="P312" s="1359"/>
      <c r="Q312" s="1359"/>
      <c r="R312" s="1359"/>
      <c r="S312" s="3"/>
      <c r="T312" s="3" t="s">
        <v>76</v>
      </c>
      <c r="V312" s="3"/>
      <c r="W312" s="3"/>
      <c r="X312" s="3"/>
      <c r="Y312" s="3"/>
      <c r="AA312" s="1359" t="s">
        <v>2676</v>
      </c>
      <c r="AB312" s="1359"/>
      <c r="AC312" s="1359"/>
      <c r="AD312" s="1359"/>
      <c r="AE312" s="1359"/>
      <c r="AF312" s="1359"/>
      <c r="AG312" s="1359"/>
      <c r="AH312" s="1359"/>
      <c r="AI312" s="1359"/>
      <c r="AJ312" s="1359"/>
      <c r="AK312" s="1359"/>
      <c r="BN312" s="34"/>
    </row>
    <row r="313" spans="2:66" ht="12.95" customHeight="1">
      <c r="B313" s="3" t="s">
        <v>88</v>
      </c>
      <c r="C313" s="3"/>
      <c r="D313" s="3"/>
      <c r="E313" s="3"/>
      <c r="F313" s="3"/>
      <c r="H313" s="1359" t="s">
        <v>2672</v>
      </c>
      <c r="I313" s="1359"/>
      <c r="J313" s="1359"/>
      <c r="K313" s="1359"/>
      <c r="L313" s="1359"/>
      <c r="M313" s="1359"/>
      <c r="N313" s="1359"/>
      <c r="O313" s="1359"/>
      <c r="P313" s="1359"/>
      <c r="Q313" s="1359"/>
      <c r="R313" s="1359"/>
      <c r="S313" s="3"/>
      <c r="T313" s="3" t="s">
        <v>88</v>
      </c>
      <c r="V313" s="3"/>
      <c r="W313" s="3"/>
      <c r="X313" s="3"/>
      <c r="Y313" s="3"/>
      <c r="AA313" s="1359" t="s">
        <v>2677</v>
      </c>
      <c r="AB313" s="1359"/>
      <c r="AC313" s="1359"/>
      <c r="AD313" s="1359"/>
      <c r="AE313" s="1359"/>
      <c r="AF313" s="1359"/>
      <c r="AG313" s="1359"/>
      <c r="AH313" s="1359"/>
      <c r="AI313" s="1359"/>
      <c r="AJ313" s="1359"/>
      <c r="AK313" s="1359"/>
      <c r="BN313" s="34"/>
    </row>
    <row r="314" spans="2:66" ht="12.95" customHeight="1">
      <c r="B314" s="3" t="s">
        <v>89</v>
      </c>
      <c r="C314" s="3"/>
      <c r="D314" s="3"/>
      <c r="E314" s="3"/>
      <c r="F314" s="3"/>
      <c r="G314" s="3"/>
      <c r="H314" s="1648">
        <v>9169305732</v>
      </c>
      <c r="I314" s="1648"/>
      <c r="J314" s="1648"/>
      <c r="K314" s="1648"/>
      <c r="L314" s="1648"/>
      <c r="M314" s="1648"/>
      <c r="N314" s="4" t="s">
        <v>207</v>
      </c>
      <c r="O314" s="4"/>
      <c r="P314" s="1647"/>
      <c r="Q314" s="1647"/>
      <c r="R314" s="1647"/>
      <c r="S314" s="3"/>
      <c r="T314" s="3" t="s">
        <v>89</v>
      </c>
      <c r="V314" s="3"/>
      <c r="W314" s="3"/>
      <c r="X314" s="3"/>
      <c r="Y314" s="3"/>
      <c r="AA314" s="1648">
        <v>9494392616</v>
      </c>
      <c r="AB314" s="1648"/>
      <c r="AC314" s="1648"/>
      <c r="AD314" s="1648"/>
      <c r="AE314" s="1648"/>
      <c r="AF314" s="1648"/>
      <c r="AG314" s="4" t="s">
        <v>207</v>
      </c>
      <c r="AH314" s="4"/>
      <c r="AI314" s="1647"/>
      <c r="AJ314" s="1647"/>
      <c r="AK314" s="1647"/>
      <c r="BN314" s="34"/>
    </row>
    <row r="315" spans="2:66" ht="12.95" customHeight="1">
      <c r="B315" s="3" t="s">
        <v>90</v>
      </c>
      <c r="C315" s="3"/>
      <c r="D315" s="3"/>
      <c r="E315" s="3"/>
      <c r="F315" s="3"/>
      <c r="G315" s="3"/>
      <c r="H315" s="1354">
        <v>9164429103</v>
      </c>
      <c r="I315" s="1354"/>
      <c r="J315" s="1354"/>
      <c r="K315" s="1354"/>
      <c r="L315" s="1354"/>
      <c r="M315" s="1354"/>
      <c r="N315" s="4"/>
      <c r="O315" s="4"/>
      <c r="P315" s="35"/>
      <c r="Q315" s="35"/>
      <c r="R315" s="35"/>
      <c r="S315" s="3"/>
      <c r="T315" s="3" t="s">
        <v>90</v>
      </c>
      <c r="V315" s="3"/>
      <c r="W315" s="3"/>
      <c r="X315" s="3"/>
      <c r="Y315" s="3"/>
      <c r="AA315" s="1772" t="s">
        <v>600</v>
      </c>
      <c r="AB315" s="1354"/>
      <c r="AC315" s="1354"/>
      <c r="AD315" s="1354"/>
      <c r="AE315" s="1354"/>
      <c r="AF315" s="1354"/>
      <c r="AG315" s="4"/>
      <c r="AH315" s="4"/>
      <c r="AI315" s="35"/>
      <c r="AJ315" s="35"/>
      <c r="AK315" s="35"/>
      <c r="BN315" s="34"/>
    </row>
    <row r="316" spans="2:66" ht="12.95" customHeight="1">
      <c r="B316" s="3" t="s">
        <v>77</v>
      </c>
      <c r="C316" s="3"/>
      <c r="D316" s="3"/>
      <c r="E316" s="3"/>
      <c r="F316" s="3"/>
      <c r="G316" s="3"/>
      <c r="H316" s="1359" t="s">
        <v>2673</v>
      </c>
      <c r="I316" s="1359"/>
      <c r="J316" s="1359"/>
      <c r="K316" s="1359"/>
      <c r="L316" s="1359"/>
      <c r="M316" s="1359"/>
      <c r="N316" s="1352"/>
      <c r="O316" s="1352"/>
      <c r="P316" s="1352"/>
      <c r="Q316" s="1352"/>
      <c r="R316" s="1352"/>
      <c r="S316" s="3"/>
      <c r="T316" s="3" t="s">
        <v>77</v>
      </c>
      <c r="V316" s="3"/>
      <c r="W316" s="3"/>
      <c r="X316" s="3"/>
      <c r="Y316" s="3"/>
      <c r="AA316" s="1359" t="s">
        <v>2678</v>
      </c>
      <c r="AB316" s="1359"/>
      <c r="AC316" s="1359"/>
      <c r="AD316" s="1359"/>
      <c r="AE316" s="1359"/>
      <c r="AF316" s="1359"/>
      <c r="AG316" s="1352"/>
      <c r="AH316" s="1352"/>
      <c r="AI316" s="1352"/>
      <c r="AJ316" s="1352"/>
      <c r="AK316" s="1352"/>
      <c r="BN316" s="34"/>
    </row>
    <row r="317" spans="2:66" ht="12.95" customHeight="1">
      <c r="BN317" s="34"/>
    </row>
    <row r="318" spans="2:66" ht="12.95" customHeight="1">
      <c r="B318" s="4" t="s">
        <v>941</v>
      </c>
      <c r="C318" s="3"/>
      <c r="D318" s="3"/>
      <c r="E318" s="3"/>
      <c r="F318" s="3"/>
      <c r="H318" s="1352" t="s">
        <v>2650</v>
      </c>
      <c r="I318" s="1352"/>
      <c r="J318" s="1352"/>
      <c r="K318" s="1352"/>
      <c r="L318" s="1352"/>
      <c r="M318" s="1352"/>
      <c r="N318" s="1352"/>
      <c r="O318" s="1352"/>
      <c r="P318" s="1352"/>
      <c r="Q318" s="1352"/>
      <c r="R318" s="1352"/>
      <c r="T318" s="3" t="s">
        <v>367</v>
      </c>
      <c r="V318" s="3"/>
      <c r="W318" s="3"/>
      <c r="X318" s="3"/>
      <c r="Y318" s="3"/>
      <c r="AA318" s="1352" t="s">
        <v>2679</v>
      </c>
      <c r="AB318" s="1352"/>
      <c r="AC318" s="1352"/>
      <c r="AD318" s="1352"/>
      <c r="AE318" s="1352"/>
      <c r="AF318" s="1352"/>
      <c r="AG318" s="1352"/>
      <c r="AH318" s="1352"/>
      <c r="AI318" s="1352"/>
      <c r="AJ318" s="1352"/>
      <c r="AK318" s="1352"/>
      <c r="BN318" s="34"/>
    </row>
    <row r="319" spans="2:66" ht="12.95" customHeight="1">
      <c r="B319" s="3" t="s">
        <v>480</v>
      </c>
      <c r="C319" s="3"/>
      <c r="D319" s="3"/>
      <c r="E319" s="3"/>
      <c r="F319" s="3"/>
      <c r="H319" s="1359"/>
      <c r="I319" s="1359"/>
      <c r="J319" s="1359"/>
      <c r="K319" s="1359"/>
      <c r="L319" s="1359"/>
      <c r="M319" s="1359"/>
      <c r="N319" s="1359"/>
      <c r="O319" s="1359"/>
      <c r="P319" s="1359"/>
      <c r="Q319" s="1359"/>
      <c r="R319" s="1359"/>
      <c r="T319" s="3" t="s">
        <v>480</v>
      </c>
      <c r="V319" s="3"/>
      <c r="W319" s="3"/>
      <c r="X319" s="3"/>
      <c r="Y319" s="3"/>
      <c r="AA319" s="1359" t="s">
        <v>2680</v>
      </c>
      <c r="AB319" s="1359"/>
      <c r="AC319" s="1359"/>
      <c r="AD319" s="1359"/>
      <c r="AE319" s="1359"/>
      <c r="AF319" s="1359"/>
      <c r="AG319" s="1359"/>
      <c r="AH319" s="1359"/>
      <c r="AI319" s="1359"/>
      <c r="AJ319" s="1359"/>
      <c r="AK319" s="1359"/>
      <c r="BN319" s="34"/>
    </row>
    <row r="320" spans="2:66" ht="12.95" customHeight="1">
      <c r="B320" s="3" t="s">
        <v>481</v>
      </c>
      <c r="C320" s="3"/>
      <c r="D320" s="3"/>
      <c r="E320" s="3"/>
      <c r="F320" s="3"/>
      <c r="H320" s="1359"/>
      <c r="I320" s="1359"/>
      <c r="J320" s="1359"/>
      <c r="K320" s="1359"/>
      <c r="L320" s="1359"/>
      <c r="M320" s="1359"/>
      <c r="N320" s="1359"/>
      <c r="O320" s="1359"/>
      <c r="P320" s="1359"/>
      <c r="Q320" s="1359"/>
      <c r="R320" s="1359"/>
      <c r="T320" s="3" t="s">
        <v>76</v>
      </c>
      <c r="V320" s="3"/>
      <c r="W320" s="3"/>
      <c r="X320" s="3"/>
      <c r="Y320" s="3"/>
      <c r="AA320" s="1359" t="s">
        <v>2681</v>
      </c>
      <c r="AB320" s="1359"/>
      <c r="AC320" s="1359"/>
      <c r="AD320" s="1359"/>
      <c r="AE320" s="1359"/>
      <c r="AF320" s="1359"/>
      <c r="AG320" s="1359"/>
      <c r="AH320" s="1359"/>
      <c r="AI320" s="1359"/>
      <c r="AJ320" s="1359"/>
      <c r="AK320" s="1359"/>
      <c r="BN320" s="34"/>
    </row>
    <row r="321" spans="2:66" ht="12.95" customHeight="1">
      <c r="B321" s="3" t="s">
        <v>88</v>
      </c>
      <c r="C321" s="3"/>
      <c r="D321" s="3"/>
      <c r="E321" s="3"/>
      <c r="F321" s="3"/>
      <c r="H321" s="1359"/>
      <c r="I321" s="1359"/>
      <c r="J321" s="1359"/>
      <c r="K321" s="1359"/>
      <c r="L321" s="1359"/>
      <c r="M321" s="1359"/>
      <c r="N321" s="1359"/>
      <c r="O321" s="1359"/>
      <c r="P321" s="1359"/>
      <c r="Q321" s="1359"/>
      <c r="R321" s="1359"/>
      <c r="T321" s="3" t="s">
        <v>88</v>
      </c>
      <c r="V321" s="3"/>
      <c r="W321" s="3"/>
      <c r="X321" s="3"/>
      <c r="Y321" s="3"/>
      <c r="AA321" s="1359" t="s">
        <v>2682</v>
      </c>
      <c r="AB321" s="1359"/>
      <c r="AC321" s="1359"/>
      <c r="AD321" s="1359"/>
      <c r="AE321" s="1359"/>
      <c r="AF321" s="1359"/>
      <c r="AG321" s="1359"/>
      <c r="AH321" s="1359"/>
      <c r="AI321" s="1359"/>
      <c r="AJ321" s="1359"/>
      <c r="AK321" s="1359"/>
      <c r="BN321" s="34"/>
    </row>
    <row r="322" spans="2:66" ht="12.95" customHeight="1">
      <c r="B322" s="3" t="s">
        <v>89</v>
      </c>
      <c r="C322" s="3"/>
      <c r="D322" s="3"/>
      <c r="E322" s="3"/>
      <c r="F322" s="3"/>
      <c r="G322" s="3"/>
      <c r="H322" s="1648"/>
      <c r="I322" s="1648"/>
      <c r="J322" s="1648"/>
      <c r="K322" s="1648"/>
      <c r="L322" s="1648"/>
      <c r="M322" s="1648"/>
      <c r="N322" s="4" t="s">
        <v>207</v>
      </c>
      <c r="O322" s="4"/>
      <c r="P322" s="1647"/>
      <c r="Q322" s="1647"/>
      <c r="R322" s="1647"/>
      <c r="S322" s="3"/>
      <c r="T322" s="3" t="s">
        <v>89</v>
      </c>
      <c r="V322" s="3"/>
      <c r="W322" s="3"/>
      <c r="X322" s="3"/>
      <c r="Y322" s="3"/>
      <c r="AA322" s="1648">
        <v>4022020771</v>
      </c>
      <c r="AB322" s="1648"/>
      <c r="AC322" s="1648"/>
      <c r="AD322" s="1648"/>
      <c r="AE322" s="1648"/>
      <c r="AF322" s="1648"/>
      <c r="AG322" s="4" t="s">
        <v>207</v>
      </c>
      <c r="AH322" s="4"/>
      <c r="AI322" s="1647"/>
      <c r="AJ322" s="1647"/>
      <c r="AK322" s="1647"/>
      <c r="BN322" s="34"/>
    </row>
    <row r="323" spans="2:66" ht="12.95" customHeight="1">
      <c r="B323" s="3" t="s">
        <v>90</v>
      </c>
      <c r="C323" s="3"/>
      <c r="D323" s="3"/>
      <c r="E323" s="3"/>
      <c r="F323" s="3"/>
      <c r="G323" s="3"/>
      <c r="H323" s="1354"/>
      <c r="I323" s="1354"/>
      <c r="J323" s="1354"/>
      <c r="K323" s="1354"/>
      <c r="L323" s="1354"/>
      <c r="M323" s="1354"/>
      <c r="N323" s="4"/>
      <c r="O323" s="4"/>
      <c r="P323" s="35"/>
      <c r="Q323" s="35"/>
      <c r="R323" s="35"/>
      <c r="S323" s="3"/>
      <c r="T323" s="3" t="s">
        <v>90</v>
      </c>
      <c r="V323" s="3"/>
      <c r="W323" s="3"/>
      <c r="X323" s="3"/>
      <c r="Y323" s="3"/>
      <c r="AA323" s="1772" t="s">
        <v>600</v>
      </c>
      <c r="AB323" s="1354"/>
      <c r="AC323" s="1354"/>
      <c r="AD323" s="1354"/>
      <c r="AE323" s="1354"/>
      <c r="AF323" s="1354"/>
      <c r="AG323" s="4"/>
      <c r="AH323" s="4"/>
      <c r="AI323" s="35"/>
      <c r="AJ323" s="35"/>
      <c r="AK323" s="35"/>
    </row>
    <row r="324" spans="2:66" ht="12.95" customHeight="1">
      <c r="B324" s="3" t="s">
        <v>77</v>
      </c>
      <c r="C324" s="3"/>
      <c r="D324" s="3"/>
      <c r="E324" s="3"/>
      <c r="F324" s="3"/>
      <c r="G324" s="3"/>
      <c r="H324" s="1359"/>
      <c r="I324" s="1359"/>
      <c r="J324" s="1359"/>
      <c r="K324" s="1359"/>
      <c r="L324" s="1359"/>
      <c r="M324" s="1359"/>
      <c r="N324" s="1352"/>
      <c r="O324" s="1352"/>
      <c r="P324" s="1352"/>
      <c r="Q324" s="1352"/>
      <c r="R324" s="1352"/>
      <c r="S324" s="3"/>
      <c r="T324" s="3" t="s">
        <v>77</v>
      </c>
      <c r="V324" s="3"/>
      <c r="W324" s="3"/>
      <c r="X324" s="3"/>
      <c r="Y324" s="3"/>
      <c r="AA324" s="1359" t="s">
        <v>2683</v>
      </c>
      <c r="AB324" s="1359"/>
      <c r="AC324" s="1359"/>
      <c r="AD324" s="1359"/>
      <c r="AE324" s="1359"/>
      <c r="AF324" s="1359"/>
      <c r="AG324" s="1352"/>
      <c r="AH324" s="1352"/>
      <c r="AI324" s="1352"/>
      <c r="AJ324" s="1352"/>
      <c r="AK324" s="1352"/>
    </row>
    <row r="325" spans="2:66" ht="12.95" customHeight="1">
      <c r="B325" s="3"/>
      <c r="C325" s="3"/>
      <c r="D325" s="3"/>
      <c r="E325" s="3"/>
      <c r="F325" s="3"/>
      <c r="G325" s="3"/>
      <c r="P325" s="163"/>
      <c r="Q325" s="163"/>
      <c r="R325" s="163"/>
      <c r="S325" s="163"/>
      <c r="T325" s="163"/>
      <c r="U325" s="163"/>
      <c r="V325" s="4"/>
      <c r="W325" s="4"/>
      <c r="X325" s="35"/>
      <c r="Y325" s="35"/>
      <c r="Z325" s="35"/>
    </row>
    <row r="326" spans="2:66" ht="12.95" customHeight="1">
      <c r="B326" s="3" t="s">
        <v>368</v>
      </c>
      <c r="C326" s="3"/>
      <c r="D326" s="3"/>
      <c r="E326" s="3"/>
      <c r="F326" s="3"/>
      <c r="H326" s="1352" t="s">
        <v>2650</v>
      </c>
      <c r="I326" s="1352"/>
      <c r="J326" s="1352"/>
      <c r="K326" s="1352"/>
      <c r="L326" s="1352"/>
      <c r="M326" s="1352"/>
      <c r="N326" s="1352"/>
      <c r="O326" s="1352"/>
      <c r="P326" s="1352"/>
      <c r="Q326" s="1352"/>
      <c r="R326" s="1352"/>
      <c r="T326" s="3" t="s">
        <v>369</v>
      </c>
      <c r="V326" s="3"/>
      <c r="W326" s="3"/>
      <c r="X326" s="3"/>
      <c r="Y326" s="3"/>
      <c r="AA326" s="1352" t="s">
        <v>2650</v>
      </c>
      <c r="AB326" s="1352"/>
      <c r="AC326" s="1352"/>
      <c r="AD326" s="1352"/>
      <c r="AE326" s="1352"/>
      <c r="AF326" s="1352"/>
      <c r="AG326" s="1352"/>
      <c r="AH326" s="1352"/>
      <c r="AI326" s="1352"/>
      <c r="AJ326" s="1352"/>
      <c r="AK326" s="1352"/>
    </row>
    <row r="327" spans="2:66" ht="12.95" customHeight="1">
      <c r="B327" s="3" t="s">
        <v>480</v>
      </c>
      <c r="C327" s="3"/>
      <c r="D327" s="3"/>
      <c r="E327" s="3"/>
      <c r="F327" s="3"/>
      <c r="H327" s="1359"/>
      <c r="I327" s="1359"/>
      <c r="J327" s="1359"/>
      <c r="K327" s="1359"/>
      <c r="L327" s="1359"/>
      <c r="M327" s="1359"/>
      <c r="N327" s="1359"/>
      <c r="O327" s="1359"/>
      <c r="P327" s="1359"/>
      <c r="Q327" s="1359"/>
      <c r="R327" s="1359"/>
      <c r="T327" s="3" t="s">
        <v>480</v>
      </c>
      <c r="V327" s="3"/>
      <c r="W327" s="3"/>
      <c r="X327" s="3"/>
      <c r="Y327" s="3"/>
      <c r="AA327" s="1359"/>
      <c r="AB327" s="1359"/>
      <c r="AC327" s="1359"/>
      <c r="AD327" s="1359"/>
      <c r="AE327" s="1359"/>
      <c r="AF327" s="1359"/>
      <c r="AG327" s="1359"/>
      <c r="AH327" s="1359"/>
      <c r="AI327" s="1359"/>
      <c r="AJ327" s="1359"/>
      <c r="AK327" s="1359"/>
    </row>
    <row r="328" spans="2:66" ht="12.95" customHeight="1">
      <c r="B328" s="3" t="s">
        <v>481</v>
      </c>
      <c r="C328" s="3"/>
      <c r="D328" s="3"/>
      <c r="E328" s="3"/>
      <c r="F328" s="3"/>
      <c r="H328" s="1359"/>
      <c r="I328" s="1359"/>
      <c r="J328" s="1359"/>
      <c r="K328" s="1359"/>
      <c r="L328" s="1359"/>
      <c r="M328" s="1359"/>
      <c r="N328" s="1359"/>
      <c r="O328" s="1359"/>
      <c r="P328" s="1359"/>
      <c r="Q328" s="1359"/>
      <c r="R328" s="1359"/>
      <c r="T328" s="3" t="s">
        <v>76</v>
      </c>
      <c r="V328" s="3"/>
      <c r="W328" s="3"/>
      <c r="X328" s="3"/>
      <c r="Y328" s="3"/>
      <c r="AA328" s="1359"/>
      <c r="AB328" s="1359"/>
      <c r="AC328" s="1359"/>
      <c r="AD328" s="1359"/>
      <c r="AE328" s="1359"/>
      <c r="AF328" s="1359"/>
      <c r="AG328" s="1359"/>
      <c r="AH328" s="1359"/>
      <c r="AI328" s="1359"/>
      <c r="AJ328" s="1359"/>
      <c r="AK328" s="1359"/>
    </row>
    <row r="329" spans="2:66" ht="12.95" customHeight="1">
      <c r="B329" s="3" t="s">
        <v>88</v>
      </c>
      <c r="C329" s="3"/>
      <c r="D329" s="3"/>
      <c r="E329" s="3"/>
      <c r="F329" s="3"/>
      <c r="H329" s="1359"/>
      <c r="I329" s="1359"/>
      <c r="J329" s="1359"/>
      <c r="K329" s="1359"/>
      <c r="L329" s="1359"/>
      <c r="M329" s="1359"/>
      <c r="N329" s="1359"/>
      <c r="O329" s="1359"/>
      <c r="P329" s="1359"/>
      <c r="Q329" s="1359"/>
      <c r="R329" s="1359"/>
      <c r="T329" s="3" t="s">
        <v>88</v>
      </c>
      <c r="V329" s="3"/>
      <c r="W329" s="3"/>
      <c r="X329" s="3"/>
      <c r="Y329" s="3"/>
      <c r="AA329" s="1359"/>
      <c r="AB329" s="1359"/>
      <c r="AC329" s="1359"/>
      <c r="AD329" s="1359"/>
      <c r="AE329" s="1359"/>
      <c r="AF329" s="1359"/>
      <c r="AG329" s="1359"/>
      <c r="AH329" s="1359"/>
      <c r="AI329" s="1359"/>
      <c r="AJ329" s="1359"/>
      <c r="AK329" s="1359"/>
    </row>
    <row r="330" spans="2:66" ht="12.95" customHeight="1">
      <c r="B330" s="3" t="s">
        <v>89</v>
      </c>
      <c r="C330" s="3"/>
      <c r="D330" s="3"/>
      <c r="E330" s="3"/>
      <c r="F330" s="3"/>
      <c r="G330" s="3"/>
      <c r="H330" s="1648"/>
      <c r="I330" s="1648"/>
      <c r="J330" s="1648"/>
      <c r="K330" s="1648"/>
      <c r="L330" s="1648"/>
      <c r="M330" s="1648"/>
      <c r="N330" s="4" t="s">
        <v>207</v>
      </c>
      <c r="O330" s="4"/>
      <c r="P330" s="1647"/>
      <c r="Q330" s="1647"/>
      <c r="R330" s="1647"/>
      <c r="S330" s="3"/>
      <c r="T330" s="3" t="s">
        <v>89</v>
      </c>
      <c r="V330" s="3"/>
      <c r="W330" s="3"/>
      <c r="X330" s="3"/>
      <c r="Y330" s="3"/>
      <c r="AA330" s="1648"/>
      <c r="AB330" s="1648"/>
      <c r="AC330" s="1648"/>
      <c r="AD330" s="1648"/>
      <c r="AE330" s="1648"/>
      <c r="AF330" s="1648"/>
      <c r="AG330" s="4" t="s">
        <v>207</v>
      </c>
      <c r="AH330" s="4"/>
      <c r="AI330" s="1647"/>
      <c r="AJ330" s="1647"/>
      <c r="AK330" s="1647"/>
    </row>
    <row r="331" spans="2:66" ht="12.95" customHeight="1">
      <c r="B331" s="3" t="s">
        <v>90</v>
      </c>
      <c r="C331" s="3"/>
      <c r="D331" s="3"/>
      <c r="E331" s="3"/>
      <c r="F331" s="3"/>
      <c r="G331" s="3"/>
      <c r="H331" s="1354"/>
      <c r="I331" s="1354"/>
      <c r="J331" s="1354"/>
      <c r="K331" s="1354"/>
      <c r="L331" s="1354"/>
      <c r="M331" s="1354"/>
      <c r="N331" s="4"/>
      <c r="O331" s="4"/>
      <c r="P331" s="35"/>
      <c r="Q331" s="35"/>
      <c r="R331" s="35"/>
      <c r="S331" s="3"/>
      <c r="T331" s="3" t="s">
        <v>90</v>
      </c>
      <c r="V331" s="3"/>
      <c r="W331" s="3"/>
      <c r="X331" s="3"/>
      <c r="Y331" s="3"/>
      <c r="AA331" s="1354"/>
      <c r="AB331" s="1354"/>
      <c r="AC331" s="1354"/>
      <c r="AD331" s="1354"/>
      <c r="AE331" s="1354"/>
      <c r="AF331" s="1354"/>
      <c r="AG331" s="4"/>
      <c r="AH331" s="4"/>
      <c r="AI331" s="35"/>
      <c r="AJ331" s="35"/>
      <c r="AK331" s="35"/>
    </row>
    <row r="332" spans="2:66" ht="12.95" customHeight="1">
      <c r="B332" s="3" t="s">
        <v>77</v>
      </c>
      <c r="C332" s="3"/>
      <c r="D332" s="3"/>
      <c r="E332" s="3"/>
      <c r="F332" s="3"/>
      <c r="G332" s="3"/>
      <c r="H332" s="1359"/>
      <c r="I332" s="1359"/>
      <c r="J332" s="1359"/>
      <c r="K332" s="1359"/>
      <c r="L332" s="1359"/>
      <c r="M332" s="1359"/>
      <c r="N332" s="1352"/>
      <c r="O332" s="1352"/>
      <c r="P332" s="1352"/>
      <c r="Q332" s="1352"/>
      <c r="R332" s="1352"/>
      <c r="S332" s="3"/>
      <c r="T332" s="3" t="s">
        <v>77</v>
      </c>
      <c r="V332" s="3"/>
      <c r="W332" s="3"/>
      <c r="X332" s="3"/>
      <c r="Y332" s="3"/>
      <c r="AA332" s="1359"/>
      <c r="AB332" s="1359"/>
      <c r="AC332" s="1359"/>
      <c r="AD332" s="1359"/>
      <c r="AE332" s="1359"/>
      <c r="AF332" s="1359"/>
      <c r="AG332" s="1352"/>
      <c r="AH332" s="1352"/>
      <c r="AI332" s="1352"/>
      <c r="AJ332" s="1352"/>
      <c r="AK332" s="1352"/>
    </row>
    <row r="333" spans="2:66" ht="12.95" customHeight="1">
      <c r="B333" s="3"/>
      <c r="C333" s="3"/>
      <c r="D333" s="3"/>
      <c r="E333" s="3"/>
      <c r="F333" s="3"/>
      <c r="G333" s="3"/>
      <c r="P333" s="163"/>
      <c r="Q333" s="163"/>
      <c r="R333" s="163"/>
      <c r="S333" s="163"/>
      <c r="T333" s="163"/>
      <c r="U333" s="163"/>
      <c r="V333" s="4"/>
      <c r="W333" s="4"/>
      <c r="X333" s="35"/>
      <c r="Y333" s="35"/>
      <c r="Z333" s="35"/>
    </row>
    <row r="334" spans="2:66" ht="12.95" customHeight="1">
      <c r="B334" s="3" t="s">
        <v>330</v>
      </c>
      <c r="C334" s="3"/>
      <c r="D334" s="3"/>
      <c r="E334" s="3"/>
      <c r="F334" s="3"/>
      <c r="H334" s="1352" t="s">
        <v>2684</v>
      </c>
      <c r="I334" s="1352"/>
      <c r="J334" s="1352"/>
      <c r="K334" s="1352"/>
      <c r="L334" s="1352"/>
      <c r="M334" s="1352"/>
      <c r="N334" s="1352"/>
      <c r="O334" s="1352"/>
      <c r="P334" s="1352"/>
      <c r="Q334" s="1352"/>
      <c r="R334" s="1352"/>
      <c r="T334" s="218" t="s">
        <v>916</v>
      </c>
      <c r="V334" s="3"/>
      <c r="W334" s="3"/>
      <c r="X334" s="3"/>
      <c r="Y334" s="3"/>
      <c r="AA334" s="1352" t="s">
        <v>2689</v>
      </c>
      <c r="AB334" s="1352"/>
      <c r="AC334" s="1352"/>
      <c r="AD334" s="1352"/>
      <c r="AE334" s="1352"/>
      <c r="AF334" s="1352"/>
      <c r="AG334" s="1352"/>
      <c r="AH334" s="1352"/>
      <c r="AI334" s="1352"/>
      <c r="AJ334" s="1352"/>
      <c r="AK334" s="1352"/>
    </row>
    <row r="335" spans="2:66" ht="12.95" customHeight="1">
      <c r="B335" s="3" t="s">
        <v>480</v>
      </c>
      <c r="C335" s="3"/>
      <c r="D335" s="3"/>
      <c r="E335" s="3"/>
      <c r="F335" s="3"/>
      <c r="H335" s="1359" t="s">
        <v>2685</v>
      </c>
      <c r="I335" s="1359"/>
      <c r="J335" s="1359"/>
      <c r="K335" s="1359"/>
      <c r="L335" s="1359"/>
      <c r="M335" s="1359"/>
      <c r="N335" s="1359"/>
      <c r="O335" s="1359"/>
      <c r="P335" s="1359"/>
      <c r="Q335" s="1359"/>
      <c r="R335" s="1359"/>
      <c r="T335" s="3" t="s">
        <v>480</v>
      </c>
      <c r="V335" s="3"/>
      <c r="W335" s="3"/>
      <c r="X335" s="3"/>
      <c r="Y335" s="3"/>
      <c r="AA335" s="1359" t="s">
        <v>2638</v>
      </c>
      <c r="AB335" s="1359"/>
      <c r="AC335" s="1359"/>
      <c r="AD335" s="1359"/>
      <c r="AE335" s="1359"/>
      <c r="AF335" s="1359"/>
      <c r="AG335" s="1359"/>
      <c r="AH335" s="1359"/>
      <c r="AI335" s="1359"/>
      <c r="AJ335" s="1359"/>
      <c r="AK335" s="1359"/>
    </row>
    <row r="336" spans="2:66" ht="12.95" customHeight="1">
      <c r="B336" s="3" t="s">
        <v>76</v>
      </c>
      <c r="C336" s="3"/>
      <c r="D336" s="3"/>
      <c r="E336" s="3"/>
      <c r="F336" s="3"/>
      <c r="H336" s="1359" t="s">
        <v>2686</v>
      </c>
      <c r="I336" s="1359"/>
      <c r="J336" s="1359"/>
      <c r="K336" s="1359"/>
      <c r="L336" s="1359"/>
      <c r="M336" s="1359"/>
      <c r="N336" s="1359"/>
      <c r="O336" s="1359"/>
      <c r="P336" s="1359"/>
      <c r="Q336" s="1359"/>
      <c r="R336" s="1359"/>
      <c r="T336" s="3" t="s">
        <v>76</v>
      </c>
      <c r="V336" s="3"/>
      <c r="W336" s="3"/>
      <c r="X336" s="3"/>
      <c r="Y336" s="3"/>
      <c r="AA336" s="1359" t="s">
        <v>2653</v>
      </c>
      <c r="AB336" s="1359"/>
      <c r="AC336" s="1359"/>
      <c r="AD336" s="1359"/>
      <c r="AE336" s="1359"/>
      <c r="AF336" s="1359"/>
      <c r="AG336" s="1359"/>
      <c r="AH336" s="1359"/>
      <c r="AI336" s="1359"/>
      <c r="AJ336" s="1359"/>
      <c r="AK336" s="1359"/>
    </row>
    <row r="337" spans="1:66" ht="12.95" customHeight="1">
      <c r="B337" s="3" t="s">
        <v>88</v>
      </c>
      <c r="C337" s="3"/>
      <c r="D337" s="3"/>
      <c r="E337" s="3"/>
      <c r="F337" s="3"/>
      <c r="G337" s="3"/>
      <c r="H337" s="1359" t="s">
        <v>2687</v>
      </c>
      <c r="I337" s="1359"/>
      <c r="J337" s="1359"/>
      <c r="K337" s="1359"/>
      <c r="L337" s="1359"/>
      <c r="M337" s="1359"/>
      <c r="N337" s="1359"/>
      <c r="O337" s="1359"/>
      <c r="P337" s="1359"/>
      <c r="Q337" s="1359"/>
      <c r="R337" s="1359"/>
      <c r="T337" s="3" t="s">
        <v>88</v>
      </c>
      <c r="V337" s="3"/>
      <c r="W337" s="3"/>
      <c r="X337" s="3"/>
      <c r="Y337" s="3"/>
      <c r="AA337" s="1359" t="s">
        <v>2690</v>
      </c>
      <c r="AB337" s="1359"/>
      <c r="AC337" s="1359"/>
      <c r="AD337" s="1359"/>
      <c r="AE337" s="1359"/>
      <c r="AF337" s="1359"/>
      <c r="AG337" s="1359"/>
      <c r="AH337" s="1359"/>
      <c r="AI337" s="1359"/>
      <c r="AJ337" s="1359"/>
      <c r="AK337" s="1359"/>
    </row>
    <row r="338" spans="1:66" ht="12.95" customHeight="1">
      <c r="B338" s="3" t="s">
        <v>89</v>
      </c>
      <c r="C338" s="3"/>
      <c r="D338" s="3"/>
      <c r="E338" s="3"/>
      <c r="F338" s="3"/>
      <c r="G338" s="3"/>
      <c r="H338" s="1648">
        <v>7609301221</v>
      </c>
      <c r="I338" s="1648"/>
      <c r="J338" s="1648"/>
      <c r="K338" s="1648"/>
      <c r="L338" s="1648"/>
      <c r="M338" s="1648"/>
      <c r="N338" s="4" t="s">
        <v>207</v>
      </c>
      <c r="O338" s="4"/>
      <c r="P338" s="1647"/>
      <c r="Q338" s="1647"/>
      <c r="R338" s="1647"/>
      <c r="S338" s="3"/>
      <c r="T338" s="3" t="s">
        <v>89</v>
      </c>
      <c r="V338" s="3"/>
      <c r="W338" s="3"/>
      <c r="X338" s="3"/>
      <c r="Y338" s="3"/>
      <c r="AA338" s="1648">
        <v>9167243939</v>
      </c>
      <c r="AB338" s="1648"/>
      <c r="AC338" s="1648"/>
      <c r="AD338" s="1648"/>
      <c r="AE338" s="1648"/>
      <c r="AF338" s="1648"/>
      <c r="AG338" s="4" t="s">
        <v>207</v>
      </c>
      <c r="AH338" s="4"/>
      <c r="AI338" s="1647"/>
      <c r="AJ338" s="1647"/>
      <c r="AK338" s="1647"/>
    </row>
    <row r="339" spans="1:66" ht="12.95" customHeight="1">
      <c r="B339" s="3" t="s">
        <v>90</v>
      </c>
      <c r="C339" s="3"/>
      <c r="D339" s="3"/>
      <c r="E339" s="3"/>
      <c r="F339" s="3"/>
      <c r="G339" s="3"/>
      <c r="H339" s="1354">
        <v>7606833390</v>
      </c>
      <c r="I339" s="1354"/>
      <c r="J339" s="1354"/>
      <c r="K339" s="1354"/>
      <c r="L339" s="1354"/>
      <c r="M339" s="1354"/>
      <c r="N339" s="4"/>
      <c r="O339" s="4"/>
      <c r="P339" s="35"/>
      <c r="Q339" s="35"/>
      <c r="R339" s="35"/>
      <c r="S339" s="3"/>
      <c r="T339" s="3" t="s">
        <v>90</v>
      </c>
      <c r="V339" s="3"/>
      <c r="W339" s="3"/>
      <c r="X339" s="3"/>
      <c r="Y339" s="3"/>
      <c r="AA339" s="1354">
        <v>9167735866</v>
      </c>
      <c r="AB339" s="1354"/>
      <c r="AC339" s="1354"/>
      <c r="AD339" s="1354"/>
      <c r="AE339" s="1354"/>
      <c r="AF339" s="1354"/>
      <c r="AG339" s="4"/>
      <c r="AH339" s="4"/>
      <c r="AI339" s="35"/>
      <c r="AJ339" s="35"/>
      <c r="AK339" s="35"/>
    </row>
    <row r="340" spans="1:66" ht="12.95" customHeight="1">
      <c r="B340" s="3" t="s">
        <v>77</v>
      </c>
      <c r="C340" s="3"/>
      <c r="D340" s="3"/>
      <c r="E340" s="3"/>
      <c r="F340" s="3"/>
      <c r="G340" s="3"/>
      <c r="H340" s="1359" t="s">
        <v>2688</v>
      </c>
      <c r="I340" s="1359"/>
      <c r="J340" s="1359"/>
      <c r="K340" s="1359"/>
      <c r="L340" s="1359"/>
      <c r="M340" s="1359"/>
      <c r="N340" s="1352"/>
      <c r="O340" s="1352"/>
      <c r="P340" s="1352"/>
      <c r="Q340" s="1352"/>
      <c r="R340" s="1352"/>
      <c r="S340" s="3"/>
      <c r="T340" s="3" t="s">
        <v>77</v>
      </c>
      <c r="V340" s="3"/>
      <c r="W340" s="3"/>
      <c r="X340" s="3"/>
      <c r="Y340" s="3"/>
      <c r="AA340" s="1359" t="s">
        <v>2691</v>
      </c>
      <c r="AB340" s="1359"/>
      <c r="AC340" s="1359"/>
      <c r="AD340" s="1359"/>
      <c r="AE340" s="1359"/>
      <c r="AF340" s="1359"/>
      <c r="AG340" s="1352"/>
      <c r="AH340" s="1352"/>
      <c r="AI340" s="1352"/>
      <c r="AJ340" s="1352"/>
      <c r="AK340" s="1352"/>
    </row>
    <row r="341" spans="1:66" ht="12.95" customHeight="1">
      <c r="B341" s="3"/>
      <c r="C341" s="3"/>
      <c r="D341" s="3"/>
      <c r="E341" s="3"/>
      <c r="F341" s="3"/>
      <c r="G341" s="3"/>
      <c r="H341" s="8"/>
      <c r="I341" s="8"/>
      <c r="J341" s="8"/>
      <c r="K341" s="8"/>
      <c r="L341" s="8"/>
      <c r="M341" s="8"/>
      <c r="N341" s="8"/>
      <c r="O341" s="8"/>
      <c r="P341" s="8"/>
      <c r="Q341" s="8"/>
      <c r="R341" s="8"/>
      <c r="S341" s="3"/>
      <c r="T341" s="3"/>
      <c r="V341" s="3"/>
      <c r="W341" s="3"/>
      <c r="X341" s="3"/>
      <c r="Y341" s="3"/>
      <c r="AA341" s="8"/>
      <c r="AB341" s="8"/>
      <c r="AC341" s="8"/>
      <c r="AD341" s="8"/>
      <c r="AE341" s="8"/>
      <c r="AF341" s="8"/>
      <c r="AG341" s="8"/>
      <c r="AH341" s="8"/>
      <c r="AI341" s="8"/>
      <c r="AJ341" s="8"/>
      <c r="AK341" s="8"/>
    </row>
    <row r="342" spans="1:66" ht="12.95" customHeight="1">
      <c r="B342" s="3"/>
      <c r="C342" s="4"/>
      <c r="D342" s="4"/>
      <c r="E342" s="4"/>
      <c r="F342" s="4"/>
      <c r="I342" s="218" t="s">
        <v>917</v>
      </c>
      <c r="P342" s="1352" t="s">
        <v>2650</v>
      </c>
      <c r="Q342" s="1352"/>
      <c r="R342" s="1352"/>
      <c r="S342" s="1352"/>
      <c r="T342" s="1352"/>
      <c r="U342" s="1352"/>
      <c r="V342" s="1352"/>
      <c r="W342" s="1352"/>
      <c r="X342" s="1352"/>
      <c r="Y342" s="1352"/>
      <c r="Z342" s="1352"/>
      <c r="AA342" s="1352"/>
      <c r="AB342" s="1352"/>
      <c r="AC342" s="1352"/>
      <c r="AD342" s="1352"/>
      <c r="AE342" s="1352"/>
      <c r="BN342" t="s">
        <v>600</v>
      </c>
    </row>
    <row r="343" spans="1:66" ht="12.95" customHeight="1">
      <c r="B343" s="4"/>
      <c r="C343" s="4"/>
      <c r="D343" s="4"/>
      <c r="E343" s="4"/>
      <c r="F343" s="4"/>
      <c r="I343" s="4" t="s">
        <v>480</v>
      </c>
      <c r="P343" s="1359"/>
      <c r="Q343" s="1359"/>
      <c r="R343" s="1359"/>
      <c r="S343" s="1359"/>
      <c r="T343" s="1359"/>
      <c r="U343" s="1359"/>
      <c r="V343" s="1359"/>
      <c r="W343" s="1359"/>
      <c r="X343" s="1359"/>
      <c r="Y343" s="1359"/>
      <c r="Z343" s="1359"/>
      <c r="AA343" s="1359"/>
      <c r="AB343" s="1359"/>
      <c r="AC343" s="1359"/>
      <c r="AD343" s="1359"/>
      <c r="AE343" s="1359"/>
      <c r="BN343" t="s">
        <v>678</v>
      </c>
    </row>
    <row r="344" spans="1:66" ht="12.95" customHeight="1">
      <c r="B344" s="4"/>
      <c r="C344" s="4"/>
      <c r="D344" s="4"/>
      <c r="E344" s="4"/>
      <c r="F344" s="4"/>
      <c r="I344" s="4" t="s">
        <v>76</v>
      </c>
      <c r="P344" s="1359"/>
      <c r="Q344" s="1359"/>
      <c r="R344" s="1359"/>
      <c r="S344" s="1359"/>
      <c r="T344" s="1359"/>
      <c r="U344" s="1359"/>
      <c r="V344" s="1359"/>
      <c r="W344" s="1359"/>
      <c r="X344" s="1359"/>
      <c r="Y344" s="1359"/>
      <c r="Z344" s="1359"/>
      <c r="AA344" s="1359"/>
      <c r="AB344" s="1359"/>
      <c r="AC344" s="1359"/>
      <c r="AD344" s="1359"/>
      <c r="AE344" s="1359"/>
      <c r="BN344" t="s">
        <v>554</v>
      </c>
    </row>
    <row r="345" spans="1:66" ht="12.95" customHeight="1">
      <c r="B345" s="4"/>
      <c r="C345" s="4"/>
      <c r="D345" s="4"/>
      <c r="E345" s="4"/>
      <c r="F345" s="4"/>
      <c r="G345" s="4"/>
      <c r="I345" s="4" t="s">
        <v>88</v>
      </c>
      <c r="P345" s="1359"/>
      <c r="Q345" s="1359"/>
      <c r="R345" s="1359"/>
      <c r="S345" s="1359"/>
      <c r="T345" s="1359"/>
      <c r="U345" s="1359"/>
      <c r="V345" s="1359"/>
      <c r="W345" s="1359"/>
      <c r="X345" s="1359"/>
      <c r="Y345" s="1359"/>
      <c r="Z345" s="1359"/>
      <c r="AA345" s="1359"/>
      <c r="AB345" s="1359"/>
      <c r="AC345" s="1359"/>
      <c r="AD345" s="1359"/>
      <c r="AE345" s="1359"/>
    </row>
    <row r="346" spans="1:66" ht="12.95" customHeight="1">
      <c r="B346" s="4"/>
      <c r="C346" s="4"/>
      <c r="D346" s="4"/>
      <c r="E346" s="4"/>
      <c r="F346" s="4"/>
      <c r="G346" s="4"/>
      <c r="H346" s="324"/>
      <c r="I346" s="4" t="s">
        <v>89</v>
      </c>
      <c r="P346" s="1354"/>
      <c r="Q346" s="1354"/>
      <c r="R346" s="1354"/>
      <c r="S346" s="1354"/>
      <c r="T346" s="1354"/>
      <c r="U346" s="1354"/>
      <c r="V346" s="1354"/>
      <c r="W346" s="1354"/>
      <c r="X346" s="1354"/>
      <c r="Y346" s="1354"/>
      <c r="Z346" s="1354"/>
      <c r="AA346" s="4" t="s">
        <v>207</v>
      </c>
      <c r="AB346" s="4"/>
      <c r="AC346" s="1350"/>
      <c r="AD346" s="1350"/>
      <c r="AE346" s="1350"/>
      <c r="AF346" s="324"/>
      <c r="AG346" s="4"/>
      <c r="AH346" s="4"/>
      <c r="AI346" s="4"/>
      <c r="AJ346" s="4"/>
      <c r="AK346" s="4"/>
    </row>
    <row r="347" spans="1:66" ht="12.95" customHeight="1">
      <c r="B347" s="4"/>
      <c r="C347" s="4"/>
      <c r="D347" s="4"/>
      <c r="E347" s="4"/>
      <c r="F347" s="4"/>
      <c r="G347" s="4"/>
      <c r="H347" s="324"/>
      <c r="I347" s="4" t="s">
        <v>90</v>
      </c>
      <c r="P347" s="1354"/>
      <c r="Q347" s="1354"/>
      <c r="R347" s="1354"/>
      <c r="S347" s="1354"/>
      <c r="T347" s="1354"/>
      <c r="U347" s="1354"/>
      <c r="V347" s="1354"/>
      <c r="W347" s="1354"/>
      <c r="X347" s="1354"/>
      <c r="Y347" s="1354"/>
      <c r="Z347" s="1354"/>
      <c r="AF347" s="324"/>
      <c r="AG347" s="4"/>
      <c r="AH347" s="4"/>
      <c r="AI347" s="35"/>
      <c r="AJ347" s="35"/>
      <c r="AK347" s="35"/>
    </row>
    <row r="348" spans="1:66" ht="12.95" customHeight="1">
      <c r="B348" s="4"/>
      <c r="C348" s="4"/>
      <c r="D348" s="4"/>
      <c r="E348" s="4"/>
      <c r="F348" s="4"/>
      <c r="G348" s="4"/>
      <c r="I348" s="4" t="s">
        <v>77</v>
      </c>
      <c r="P348" s="1352"/>
      <c r="Q348" s="1352"/>
      <c r="R348" s="1352"/>
      <c r="S348" s="1352"/>
      <c r="T348" s="1352"/>
      <c r="U348" s="1352"/>
      <c r="V348" s="1352"/>
      <c r="W348" s="1352"/>
      <c r="X348" s="1352"/>
      <c r="Y348" s="1352"/>
      <c r="Z348" s="1352"/>
      <c r="AA348" s="1352"/>
      <c r="AB348" s="1352"/>
      <c r="AC348" s="1352"/>
      <c r="AD348" s="1352"/>
      <c r="AE348" s="1352"/>
    </row>
    <row r="349" spans="1:66" ht="12.95" customHeight="1">
      <c r="T349" s="8"/>
      <c r="U349" s="8"/>
      <c r="V349" s="8"/>
      <c r="W349" s="8"/>
      <c r="X349" s="8"/>
      <c r="Y349" s="8"/>
      <c r="Z349" s="8"/>
    </row>
    <row r="350" spans="1:66" ht="12.95" customHeight="1">
      <c r="A350" s="1641" t="s">
        <v>551</v>
      </c>
      <c r="B350" s="1641"/>
      <c r="C350" s="1641"/>
      <c r="D350" s="1641"/>
      <c r="E350" s="1641"/>
      <c r="F350" s="1641"/>
      <c r="G350" s="1641"/>
      <c r="H350" s="1641"/>
      <c r="I350" s="1641"/>
      <c r="J350" s="1641"/>
      <c r="K350" s="1641"/>
      <c r="L350" s="1641"/>
      <c r="M350" s="1641"/>
      <c r="N350" s="1641"/>
      <c r="O350" s="1641"/>
      <c r="P350" s="1641"/>
      <c r="Q350" s="1641"/>
      <c r="R350" s="1641"/>
      <c r="S350" s="1641"/>
      <c r="T350" s="1641"/>
      <c r="U350" s="1641"/>
      <c r="V350" s="1641"/>
      <c r="W350" s="1641"/>
      <c r="X350" s="1641"/>
      <c r="Y350" s="1641"/>
      <c r="Z350" s="1641"/>
      <c r="AA350" s="1641"/>
      <c r="AB350" s="1641"/>
      <c r="AC350" s="1641"/>
      <c r="AD350" s="1641"/>
      <c r="AE350" s="1641"/>
      <c r="AF350" s="1641"/>
      <c r="AG350" s="1641"/>
      <c r="AH350" s="1641"/>
      <c r="AI350" s="1641"/>
      <c r="AJ350" s="1641"/>
      <c r="AK350" s="1641"/>
      <c r="AL350" s="1641"/>
      <c r="AM350" s="95"/>
      <c r="AN350" s="95"/>
      <c r="AO350" s="95"/>
      <c r="AP350" s="95"/>
      <c r="AQ350" s="95"/>
      <c r="AR350" s="95"/>
      <c r="AS350" s="95"/>
      <c r="AT350" s="95"/>
      <c r="AU350" s="95"/>
      <c r="AV350" s="95"/>
      <c r="AW350" s="95"/>
      <c r="AX350" s="95"/>
      <c r="AY350" s="95"/>
    </row>
    <row r="351" spans="1:66" ht="12.95" customHeight="1" thickBot="1">
      <c r="A351" s="1642"/>
      <c r="B351" s="1642"/>
      <c r="C351" s="1642"/>
      <c r="D351" s="1642"/>
      <c r="E351" s="1642"/>
      <c r="F351" s="1642"/>
      <c r="G351" s="1642"/>
      <c r="H351" s="1642"/>
      <c r="I351" s="1642"/>
      <c r="J351" s="1642"/>
      <c r="K351" s="1642"/>
      <c r="L351" s="1642"/>
      <c r="M351" s="1642"/>
      <c r="N351" s="1642"/>
      <c r="O351" s="1642"/>
      <c r="P351" s="1642"/>
      <c r="Q351" s="1642"/>
      <c r="R351" s="1642"/>
      <c r="S351" s="1642"/>
      <c r="T351" s="1642"/>
      <c r="U351" s="1642"/>
      <c r="V351" s="1642"/>
      <c r="W351" s="1642"/>
      <c r="X351" s="1642"/>
      <c r="Y351" s="1642"/>
      <c r="Z351" s="1642"/>
      <c r="AA351" s="1642"/>
      <c r="AB351" s="1642"/>
      <c r="AC351" s="1642"/>
      <c r="AD351" s="1642"/>
      <c r="AE351" s="1642"/>
      <c r="AF351" s="1642"/>
      <c r="AG351" s="1642"/>
      <c r="AH351" s="1642"/>
      <c r="AI351" s="1642"/>
      <c r="AJ351" s="1642"/>
      <c r="AK351" s="1642"/>
      <c r="AL351" s="1642"/>
      <c r="AM351" s="95"/>
      <c r="AN351" s="95"/>
      <c r="AO351" s="95"/>
      <c r="AP351" s="95"/>
      <c r="AQ351" s="95"/>
      <c r="AR351" s="95"/>
      <c r="AS351" s="95"/>
      <c r="AT351" s="95"/>
      <c r="AU351" s="95"/>
      <c r="AV351" s="95"/>
      <c r="AW351" s="95"/>
      <c r="AX351" s="95"/>
      <c r="AY351" s="95"/>
    </row>
    <row r="352" spans="1:66" ht="12.95" customHeight="1" thickTop="1">
      <c r="I352" s="4"/>
      <c r="J352" s="4"/>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4"/>
      <c r="AL352" s="25"/>
      <c r="AM352" s="25"/>
      <c r="AN352" s="25"/>
      <c r="AO352" s="25"/>
      <c r="AP352" s="25"/>
      <c r="AQ352" s="25"/>
      <c r="AR352" s="25"/>
      <c r="AS352" s="25"/>
      <c r="AT352" s="25"/>
      <c r="AU352" s="25"/>
      <c r="AV352" s="25"/>
      <c r="AW352" s="25"/>
      <c r="AX352" s="25"/>
      <c r="AY352" s="25"/>
    </row>
    <row r="353" spans="1:37" ht="12.95" customHeight="1">
      <c r="A353" s="2" t="s">
        <v>320</v>
      </c>
      <c r="B353" s="2"/>
      <c r="C353" s="2" t="s">
        <v>806</v>
      </c>
    </row>
    <row r="354" spans="1:37" ht="12.95" customHeight="1">
      <c r="D354" s="3" t="s">
        <v>2525</v>
      </c>
      <c r="M354" s="1353" t="s">
        <v>554</v>
      </c>
      <c r="N354" s="1353"/>
      <c r="P354" t="s">
        <v>1830</v>
      </c>
      <c r="AJ354" s="1353" t="s">
        <v>600</v>
      </c>
      <c r="AK354" s="1353"/>
    </row>
    <row r="355" spans="1:37" ht="12.95" customHeight="1">
      <c r="D355" s="3" t="s">
        <v>1819</v>
      </c>
      <c r="M355" s="1353" t="s">
        <v>600</v>
      </c>
      <c r="N355" s="1353"/>
      <c r="P355" s="3" t="s">
        <v>1979</v>
      </c>
      <c r="AJ355" s="1430"/>
      <c r="AK355" s="1430"/>
    </row>
    <row r="356" spans="1:37" ht="12.95" customHeight="1">
      <c r="D356" s="3" t="s">
        <v>716</v>
      </c>
      <c r="M356" s="1353" t="s">
        <v>600</v>
      </c>
      <c r="N356" s="1353"/>
      <c r="P356" t="s">
        <v>1829</v>
      </c>
      <c r="AJ356" s="1353" t="s">
        <v>600</v>
      </c>
      <c r="AK356" s="1353"/>
    </row>
    <row r="357" spans="1:37" ht="12.95" customHeight="1">
      <c r="D357" s="3" t="s">
        <v>717</v>
      </c>
      <c r="M357" s="1353" t="s">
        <v>600</v>
      </c>
      <c r="N357" s="1353"/>
      <c r="Q357" s="4"/>
    </row>
    <row r="358" spans="1:37" ht="12.95" customHeight="1">
      <c r="Q358" s="4"/>
    </row>
    <row r="359" spans="1:37" ht="12.95" customHeight="1">
      <c r="Q359" s="4"/>
    </row>
    <row r="360" spans="1:37" ht="12.95" customHeight="1">
      <c r="A360" s="2" t="s">
        <v>585</v>
      </c>
      <c r="B360" s="2"/>
      <c r="C360" s="2" t="s">
        <v>561</v>
      </c>
      <c r="D360" s="2"/>
    </row>
    <row r="361" spans="1:37" ht="12.95" customHeight="1">
      <c r="D361" s="39" t="s">
        <v>185</v>
      </c>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row>
    <row r="362" spans="1:37" ht="12.95" customHeight="1">
      <c r="D362" s="39" t="s">
        <v>186</v>
      </c>
      <c r="E362" s="40"/>
      <c r="F362" s="40"/>
      <c r="G362" s="40"/>
      <c r="H362" s="40"/>
      <c r="I362" s="40"/>
      <c r="J362" s="40"/>
      <c r="K362" s="40"/>
      <c r="L362" s="40"/>
      <c r="M362" s="40"/>
      <c r="N362" s="1353" t="s">
        <v>600</v>
      </c>
      <c r="O362" s="1353"/>
      <c r="P362" s="40"/>
      <c r="Q362" s="40"/>
      <c r="R362" s="40"/>
      <c r="S362" s="40"/>
      <c r="T362" s="40"/>
      <c r="U362" s="40"/>
      <c r="V362" s="40"/>
      <c r="W362" s="40"/>
      <c r="X362" s="40"/>
      <c r="Y362" s="40"/>
      <c r="Z362" s="40"/>
      <c r="AC362" s="40"/>
      <c r="AD362" s="40"/>
      <c r="AE362" s="40"/>
    </row>
    <row r="363" spans="1:37" ht="12.95" customHeight="1">
      <c r="E363" t="s">
        <v>371</v>
      </c>
      <c r="Y363" s="1353" t="s">
        <v>600</v>
      </c>
      <c r="Z363" s="1353"/>
    </row>
    <row r="364" spans="1:37" ht="12.95" customHeight="1">
      <c r="D364" s="4" t="s">
        <v>1018</v>
      </c>
      <c r="Q364" s="1352"/>
      <c r="R364" s="1352"/>
      <c r="S364" s="1352"/>
      <c r="T364" s="1352"/>
      <c r="U364" s="1352"/>
      <c r="V364" s="1352"/>
      <c r="W364" s="1352"/>
      <c r="X364" s="1352"/>
      <c r="Y364" s="1352"/>
      <c r="Z364" s="1352"/>
      <c r="AA364" s="1352"/>
      <c r="AB364" s="1352"/>
      <c r="AC364" s="1352"/>
      <c r="AD364" s="1352"/>
      <c r="AE364" s="1352"/>
      <c r="AF364" s="1352"/>
      <c r="AG364" s="1352"/>
    </row>
    <row r="365" spans="1:37" ht="12.95" customHeight="1">
      <c r="D365" t="s">
        <v>188</v>
      </c>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row>
    <row r="366" spans="1:37" ht="12.95" customHeight="1">
      <c r="D366" t="s">
        <v>189</v>
      </c>
      <c r="E366" s="40"/>
      <c r="F366" s="40"/>
      <c r="G366" s="40"/>
      <c r="H366" s="40"/>
      <c r="I366" s="40"/>
      <c r="J366" s="1353" t="s">
        <v>600</v>
      </c>
      <c r="K366" s="1353"/>
      <c r="L366" s="40"/>
      <c r="M366" s="40"/>
      <c r="N366" s="40"/>
      <c r="O366" s="40"/>
      <c r="P366" s="40"/>
      <c r="Q366" s="40"/>
      <c r="R366" s="40"/>
      <c r="S366" s="40"/>
      <c r="T366" s="40"/>
      <c r="U366" s="40"/>
      <c r="V366" s="40"/>
      <c r="W366" s="40"/>
      <c r="X366" s="40"/>
      <c r="Y366" s="40"/>
      <c r="Z366" s="40"/>
      <c r="AC366" s="40"/>
      <c r="AD366" s="40"/>
      <c r="AE366" s="40"/>
    </row>
    <row r="367" spans="1:37" ht="12.95" customHeight="1">
      <c r="E367" s="1729" t="s">
        <v>718</v>
      </c>
      <c r="F367" s="1729"/>
      <c r="G367" s="1729"/>
      <c r="H367" s="1729"/>
      <c r="I367" s="1729"/>
      <c r="J367" s="1729"/>
      <c r="K367" s="1729"/>
      <c r="L367" s="1729"/>
      <c r="M367" s="1729"/>
      <c r="N367" s="1729"/>
      <c r="O367" s="1729"/>
      <c r="P367" s="1729"/>
      <c r="Q367" s="1729"/>
      <c r="R367" s="1729"/>
      <c r="S367" s="1729"/>
      <c r="T367" s="1729"/>
      <c r="U367" s="1729"/>
      <c r="V367" s="1729"/>
      <c r="W367" s="1729"/>
      <c r="X367" s="1729"/>
      <c r="Y367" s="1729"/>
      <c r="Z367" s="1729"/>
      <c r="AA367" s="1729"/>
      <c r="AB367" s="1729"/>
      <c r="AC367" s="1729"/>
      <c r="AD367" s="1729"/>
      <c r="AE367" s="1729"/>
      <c r="AF367" s="1729"/>
      <c r="AG367" s="1729"/>
      <c r="AH367" s="1729"/>
    </row>
    <row r="368" spans="1:37" ht="12.95" customHeight="1">
      <c r="E368" s="1729"/>
      <c r="F368" s="1729"/>
      <c r="G368" s="1729"/>
      <c r="H368" s="1729"/>
      <c r="I368" s="1729"/>
      <c r="J368" s="1729"/>
      <c r="K368" s="1729"/>
      <c r="L368" s="1729"/>
      <c r="M368" s="1729"/>
      <c r="N368" s="1729"/>
      <c r="O368" s="1729"/>
      <c r="P368" s="1729"/>
      <c r="Q368" s="1729"/>
      <c r="R368" s="1729"/>
      <c r="S368" s="1729"/>
      <c r="T368" s="1729"/>
      <c r="U368" s="1729"/>
      <c r="V368" s="1729"/>
      <c r="W368" s="1729"/>
      <c r="X368" s="1729"/>
      <c r="Y368" s="1729"/>
      <c r="Z368" s="1729"/>
      <c r="AA368" s="1729"/>
      <c r="AB368" s="1729"/>
      <c r="AC368" s="1729"/>
      <c r="AD368" s="1729"/>
      <c r="AE368" s="1729"/>
      <c r="AF368" s="1729"/>
      <c r="AG368" s="1729"/>
      <c r="AH368" s="1729"/>
    </row>
    <row r="369" spans="1:36" ht="12.95" customHeight="1">
      <c r="E369" s="4" t="s">
        <v>457</v>
      </c>
      <c r="F369" s="4"/>
      <c r="G369" s="4"/>
      <c r="H369" s="4"/>
      <c r="I369" s="4"/>
      <c r="J369" s="4"/>
      <c r="K369" s="4"/>
      <c r="L369" s="4"/>
      <c r="N369" s="1728"/>
      <c r="O369" s="1728"/>
      <c r="P369" s="1728"/>
      <c r="Q369" s="1728"/>
      <c r="R369" s="4"/>
      <c r="U369" s="4" t="s">
        <v>458</v>
      </c>
      <c r="V369" s="4"/>
      <c r="W369" s="4"/>
      <c r="X369" s="4"/>
      <c r="Y369" s="4"/>
      <c r="Z369" s="4"/>
      <c r="AA369" s="4"/>
      <c r="AB369" s="4"/>
      <c r="AC369" s="1728"/>
      <c r="AD369" s="1728"/>
      <c r="AE369" s="1728"/>
      <c r="AF369" s="1728"/>
    </row>
    <row r="370" spans="1:36" ht="12.95" customHeight="1">
      <c r="E370" s="4" t="s">
        <v>459</v>
      </c>
      <c r="F370" s="4"/>
      <c r="G370" s="4"/>
      <c r="H370" s="4"/>
      <c r="I370" s="4"/>
      <c r="J370" s="4"/>
      <c r="K370" s="4"/>
      <c r="L370" s="4"/>
      <c r="N370" s="1728"/>
      <c r="O370" s="1728"/>
      <c r="P370" s="1728"/>
      <c r="Q370" s="1728"/>
      <c r="R370" s="4"/>
      <c r="U370" s="4" t="s">
        <v>0</v>
      </c>
      <c r="V370" s="4"/>
      <c r="W370" s="4"/>
      <c r="X370" s="4"/>
      <c r="Y370" s="4"/>
      <c r="Z370" s="4"/>
      <c r="AA370" s="4"/>
      <c r="AB370" s="4"/>
      <c r="AC370" s="1728"/>
      <c r="AD370" s="1728"/>
      <c r="AE370" s="1728"/>
      <c r="AF370" s="1728"/>
    </row>
    <row r="371" spans="1:36" ht="12.95" customHeight="1">
      <c r="E371" s="4" t="s">
        <v>1</v>
      </c>
      <c r="F371" s="4"/>
      <c r="G371" s="4"/>
      <c r="H371" s="4"/>
      <c r="I371" s="4"/>
      <c r="J371" s="4"/>
      <c r="K371" s="4"/>
      <c r="L371" s="4"/>
      <c r="N371" s="1728"/>
      <c r="O371" s="1728"/>
      <c r="P371" s="1728"/>
      <c r="Q371" s="1728"/>
      <c r="R371" s="4"/>
      <c r="V371" s="4"/>
      <c r="W371" s="4"/>
      <c r="X371" s="4"/>
      <c r="Y371" s="4"/>
      <c r="Z371" s="4"/>
      <c r="AA371" s="4"/>
      <c r="AB371" s="4"/>
    </row>
    <row r="372" spans="1:36" ht="12.95" customHeight="1">
      <c r="E372" s="4" t="s">
        <v>2</v>
      </c>
      <c r="F372" s="4"/>
      <c r="G372" s="4"/>
      <c r="H372" s="4"/>
      <c r="I372" s="4"/>
      <c r="J372" s="4"/>
      <c r="K372" s="4"/>
      <c r="L372" s="4"/>
      <c r="N372" s="1828"/>
      <c r="O372" s="1828"/>
      <c r="P372" s="1828"/>
      <c r="Q372" s="1828"/>
      <c r="R372" s="1828"/>
      <c r="S372" s="1828"/>
      <c r="T372" s="1828"/>
      <c r="U372" s="1828"/>
      <c r="V372" s="1828"/>
      <c r="W372" s="1828"/>
      <c r="X372" s="1828"/>
      <c r="Y372" s="1828"/>
      <c r="Z372" s="1828"/>
      <c r="AA372" s="1828"/>
      <c r="AB372" s="1828"/>
      <c r="AC372" s="1828"/>
      <c r="AD372" s="1828"/>
      <c r="AE372" s="1828"/>
      <c r="AF372" s="1828"/>
    </row>
    <row r="373" spans="1:36" ht="12.95" customHeight="1">
      <c r="E373" s="4"/>
      <c r="F373" s="4"/>
      <c r="G373" s="4"/>
      <c r="H373" s="4"/>
      <c r="I373" s="4"/>
      <c r="J373" s="4"/>
      <c r="K373" s="4"/>
      <c r="L373" s="4"/>
      <c r="N373" s="1829"/>
      <c r="O373" s="1829"/>
      <c r="P373" s="1829"/>
      <c r="Q373" s="1829"/>
      <c r="R373" s="1829"/>
      <c r="S373" s="1829"/>
      <c r="T373" s="1829"/>
      <c r="U373" s="1829"/>
      <c r="V373" s="1829"/>
      <c r="W373" s="1829"/>
      <c r="X373" s="1829"/>
      <c r="Y373" s="1829"/>
      <c r="Z373" s="1829"/>
      <c r="AA373" s="1829"/>
      <c r="AB373" s="1829"/>
      <c r="AC373" s="1829"/>
      <c r="AD373" s="1829"/>
      <c r="AE373" s="1829"/>
      <c r="AF373" s="1829"/>
    </row>
    <row r="374" spans="1:36" ht="12.95" customHeight="1">
      <c r="C374" s="547"/>
      <c r="E374" s="4"/>
      <c r="F374" s="4"/>
      <c r="G374" s="4"/>
      <c r="H374" s="4"/>
      <c r="I374" s="4"/>
      <c r="J374" s="4"/>
      <c r="K374" s="4"/>
      <c r="L374" s="4"/>
    </row>
    <row r="375" spans="1:36" ht="12.95" customHeight="1">
      <c r="D375" s="2" t="s">
        <v>1015</v>
      </c>
      <c r="E375" s="2"/>
      <c r="F375" s="4"/>
      <c r="G375" s="4"/>
      <c r="H375" s="4"/>
      <c r="I375" s="4"/>
      <c r="J375" s="4"/>
      <c r="K375" s="4"/>
      <c r="L375" s="4"/>
    </row>
    <row r="376" spans="1:36" ht="12.95" customHeight="1">
      <c r="E376" s="4" t="s">
        <v>2507</v>
      </c>
      <c r="F376" s="4"/>
      <c r="G376" s="4"/>
      <c r="H376" s="4"/>
      <c r="I376" s="4"/>
      <c r="J376" s="4"/>
      <c r="K376" s="4"/>
      <c r="L376" s="4"/>
      <c r="N376" t="s">
        <v>2501</v>
      </c>
      <c r="R376" s="27" t="s">
        <v>306</v>
      </c>
      <c r="S376" s="1727"/>
      <c r="T376" s="1727"/>
      <c r="U376" s="1" t="s">
        <v>307</v>
      </c>
      <c r="V376" s="1727"/>
      <c r="W376" s="1727"/>
      <c r="Y376" t="s">
        <v>2501</v>
      </c>
      <c r="AC376" s="27" t="s">
        <v>306</v>
      </c>
      <c r="AD376" s="1727"/>
      <c r="AE376" s="1727"/>
      <c r="AF376" s="1" t="s">
        <v>307</v>
      </c>
      <c r="AG376" s="1727"/>
      <c r="AH376" s="1727"/>
    </row>
    <row r="377" spans="1:36" ht="12.95" customHeight="1">
      <c r="E377" s="4" t="s">
        <v>1044</v>
      </c>
      <c r="F377" s="4"/>
      <c r="G377" s="4"/>
      <c r="H377" s="4"/>
      <c r="I377" s="4"/>
      <c r="J377" s="4"/>
      <c r="K377" s="4"/>
      <c r="L377" s="4"/>
      <c r="N377" s="1727"/>
      <c r="O377" s="1727"/>
      <c r="P377" s="1727"/>
    </row>
    <row r="378" spans="1:36" ht="12.95" customHeight="1">
      <c r="E378" s="218" t="s">
        <v>2508</v>
      </c>
      <c r="F378" s="4"/>
      <c r="G378" s="4"/>
      <c r="H378" s="4"/>
      <c r="I378" s="4"/>
      <c r="J378" s="4"/>
      <c r="K378" s="4"/>
      <c r="L378" s="4"/>
      <c r="AG378" s="1652" t="s">
        <v>600</v>
      </c>
      <c r="AH378" s="1652"/>
    </row>
    <row r="379" spans="1:36" ht="12.95" customHeight="1">
      <c r="E379" s="4"/>
      <c r="F379" s="4"/>
      <c r="G379" s="4" t="s">
        <v>2509</v>
      </c>
      <c r="H379" s="4"/>
      <c r="I379" s="4"/>
      <c r="J379" s="4"/>
      <c r="K379" s="4"/>
      <c r="L379" s="4"/>
      <c r="AG379" s="1652" t="s">
        <v>600</v>
      </c>
      <c r="AH379" s="1652"/>
    </row>
    <row r="380" spans="1:36" ht="12.95" customHeight="1">
      <c r="E380" s="4"/>
      <c r="F380" s="4"/>
      <c r="G380" s="349" t="s">
        <v>1045</v>
      </c>
      <c r="H380" s="4"/>
      <c r="I380" s="4"/>
      <c r="J380" s="4"/>
      <c r="K380" s="4"/>
      <c r="L380" s="4"/>
      <c r="V380" s="1353" t="s">
        <v>600</v>
      </c>
      <c r="W380" s="1353"/>
      <c r="Y380" s="22" t="s">
        <v>1020</v>
      </c>
    </row>
    <row r="381" spans="1:36" ht="12.95" customHeight="1">
      <c r="E381" s="4" t="s">
        <v>1021</v>
      </c>
      <c r="F381" s="4"/>
      <c r="G381" s="4"/>
      <c r="H381" s="4"/>
      <c r="I381" s="4"/>
      <c r="J381" s="4"/>
      <c r="K381" s="4"/>
      <c r="L381" s="4"/>
      <c r="V381" s="1353" t="s">
        <v>600</v>
      </c>
      <c r="W381" s="1353"/>
      <c r="Y381" s="4" t="s">
        <v>1022</v>
      </c>
    </row>
    <row r="382" spans="1:36" ht="12.95" customHeight="1"/>
    <row r="383" spans="1:36" ht="12.95" customHeight="1">
      <c r="A383" s="2" t="s">
        <v>79</v>
      </c>
      <c r="B383" s="2"/>
    </row>
    <row r="384" spans="1:36" ht="12.95" customHeight="1">
      <c r="D384" t="s">
        <v>429</v>
      </c>
      <c r="J384" s="1352" t="s">
        <v>2692</v>
      </c>
      <c r="K384" s="1352"/>
      <c r="L384" s="1352"/>
      <c r="M384" s="1352"/>
      <c r="N384" s="1352"/>
      <c r="O384" s="1352"/>
      <c r="P384" s="1352"/>
      <c r="Q384" s="1352"/>
      <c r="R384" s="1352"/>
      <c r="S384" s="1352"/>
      <c r="T384" s="1352"/>
      <c r="U384" s="1352"/>
      <c r="V384" s="8" t="s">
        <v>84</v>
      </c>
      <c r="W384" s="8"/>
      <c r="X384" s="8"/>
      <c r="Y384" s="8"/>
      <c r="Z384" s="8"/>
      <c r="AA384" s="8"/>
      <c r="AB384" s="8"/>
      <c r="AC384" s="1352" t="s">
        <v>2693</v>
      </c>
      <c r="AD384" s="1352"/>
      <c r="AE384" s="1352"/>
      <c r="AF384" s="1352"/>
      <c r="AG384" s="1352"/>
      <c r="AH384" s="1352"/>
      <c r="AI384" s="1352"/>
      <c r="AJ384" s="1352"/>
    </row>
    <row r="385" spans="4:36" ht="12.95" customHeight="1">
      <c r="D385" s="3" t="s">
        <v>1325</v>
      </c>
      <c r="J385" s="1359" t="s">
        <v>2694</v>
      </c>
      <c r="K385" s="1359"/>
      <c r="L385" s="1359"/>
      <c r="M385" s="1359"/>
      <c r="N385" s="1359"/>
      <c r="O385" s="1359"/>
      <c r="P385" s="1359"/>
      <c r="Q385" s="1359"/>
      <c r="R385" s="1359"/>
      <c r="S385" s="1359"/>
      <c r="T385" s="1359"/>
      <c r="U385" s="1359"/>
      <c r="V385" s="3" t="s">
        <v>1325</v>
      </c>
      <c r="W385" s="8"/>
      <c r="X385" s="8"/>
      <c r="Y385" s="8"/>
      <c r="Z385" s="8"/>
      <c r="AA385" s="8"/>
      <c r="AB385" s="8"/>
      <c r="AC385" s="1352" t="s">
        <v>2695</v>
      </c>
      <c r="AD385" s="1352"/>
      <c r="AE385" s="1352"/>
      <c r="AF385" s="1352"/>
      <c r="AG385" s="1352"/>
      <c r="AH385" s="1352"/>
      <c r="AI385" s="1352"/>
      <c r="AJ385" s="1352"/>
    </row>
    <row r="386" spans="4:36" ht="12.95" customHeight="1">
      <c r="D386" s="3" t="s">
        <v>444</v>
      </c>
      <c r="J386" s="1359" t="s">
        <v>2627</v>
      </c>
      <c r="K386" s="1359"/>
      <c r="L386" s="1359"/>
      <c r="M386" s="1359"/>
      <c r="N386" s="1359"/>
      <c r="O386" s="1359"/>
      <c r="P386" s="1359"/>
      <c r="Q386" s="1359"/>
      <c r="R386" s="1359"/>
      <c r="S386" s="1359"/>
      <c r="T386" s="1359"/>
      <c r="U386" s="1359"/>
      <c r="V386" s="3" t="s">
        <v>444</v>
      </c>
      <c r="W386" s="8"/>
      <c r="X386" s="8"/>
      <c r="Y386" s="8"/>
      <c r="Z386" s="8"/>
      <c r="AA386" s="8"/>
      <c r="AB386" s="8"/>
      <c r="AC386" s="1352" t="s">
        <v>2627</v>
      </c>
      <c r="AD386" s="1352"/>
      <c r="AE386" s="1352"/>
      <c r="AF386" s="1352"/>
      <c r="AG386" s="1352"/>
      <c r="AH386" s="1352"/>
      <c r="AI386" s="1352"/>
      <c r="AJ386" s="1352"/>
    </row>
    <row r="387" spans="4:36" ht="12.95" customHeight="1">
      <c r="D387" t="s">
        <v>1321</v>
      </c>
      <c r="J387" s="1517" t="s">
        <v>2696</v>
      </c>
      <c r="K387" s="1517"/>
      <c r="L387" s="1517"/>
      <c r="M387" s="1517"/>
      <c r="N387" s="1517"/>
      <c r="O387" s="1517"/>
      <c r="P387" s="1517"/>
      <c r="Q387" s="1517"/>
      <c r="R387" s="1517"/>
      <c r="S387" s="1517"/>
      <c r="T387" s="1517"/>
      <c r="U387" s="1517"/>
      <c r="V387" s="1352" t="s">
        <v>2653</v>
      </c>
      <c r="W387" s="1352"/>
      <c r="X387" s="1352"/>
      <c r="Y387" s="1352"/>
      <c r="Z387" s="1352"/>
      <c r="AA387" s="1352"/>
      <c r="AB387" s="1352"/>
      <c r="AC387" s="1352"/>
      <c r="AD387" s="1352"/>
      <c r="AE387" s="1352"/>
      <c r="AF387" s="1352"/>
      <c r="AG387" s="1352"/>
      <c r="AH387" s="1352"/>
      <c r="AI387" s="1352"/>
      <c r="AJ387" s="1352"/>
    </row>
    <row r="388" spans="4:36" ht="12.95" customHeight="1">
      <c r="D388" t="s">
        <v>4</v>
      </c>
      <c r="Q388" s="1619">
        <v>44447</v>
      </c>
      <c r="R388" s="1619"/>
      <c r="S388" s="1619"/>
      <c r="T388" s="1619"/>
      <c r="U388" s="1619"/>
      <c r="V388" t="s">
        <v>310</v>
      </c>
      <c r="AI388" s="1353" t="s">
        <v>678</v>
      </c>
      <c r="AJ388" s="1353"/>
    </row>
    <row r="389" spans="4:36" ht="12.95" customHeight="1">
      <c r="D389" t="s">
        <v>5</v>
      </c>
      <c r="Q389" s="1673"/>
      <c r="R389" s="1437"/>
      <c r="S389" s="1437"/>
      <c r="T389" s="1437"/>
      <c r="U389" s="1437"/>
      <c r="W389" s="21" t="s">
        <v>75</v>
      </c>
      <c r="AG389" s="1662"/>
      <c r="AH389" s="1662"/>
      <c r="AI389" s="1662"/>
      <c r="AJ389" s="1662"/>
    </row>
    <row r="390" spans="4:36" ht="12.95" customHeight="1">
      <c r="D390" t="s">
        <v>428</v>
      </c>
      <c r="Q390" s="1726"/>
      <c r="R390" s="1726"/>
      <c r="S390" s="1726"/>
      <c r="T390" s="1726"/>
      <c r="U390" s="1726"/>
      <c r="V390" s="3" t="s">
        <v>1324</v>
      </c>
      <c r="AG390" s="1820">
        <v>45231</v>
      </c>
      <c r="AH390" s="1820"/>
      <c r="AI390" s="1820"/>
      <c r="AJ390" s="1820"/>
    </row>
    <row r="391" spans="4:36" ht="12.95" customHeight="1">
      <c r="D391" t="s">
        <v>89</v>
      </c>
      <c r="I391" s="1648">
        <v>9169600240</v>
      </c>
      <c r="J391" s="1648"/>
      <c r="K391" s="1648"/>
      <c r="L391" s="1648"/>
      <c r="M391" s="1648"/>
      <c r="N391" s="1648"/>
      <c r="Q391" s="4" t="s">
        <v>207</v>
      </c>
      <c r="S391" s="1734"/>
      <c r="T391" s="1734"/>
      <c r="U391" s="1734"/>
      <c r="V391" t="s">
        <v>74</v>
      </c>
      <c r="AI391" s="1353" t="s">
        <v>678</v>
      </c>
      <c r="AJ391" s="1353"/>
    </row>
    <row r="392" spans="4:36" ht="12.95" customHeight="1">
      <c r="D392" t="s">
        <v>311</v>
      </c>
      <c r="Q392" s="1529"/>
      <c r="R392" s="1529"/>
      <c r="S392" s="1529"/>
      <c r="T392" s="1529"/>
      <c r="U392" s="1529"/>
      <c r="V392" t="s">
        <v>312</v>
      </c>
      <c r="AG392" s="1662"/>
      <c r="AH392" s="1662"/>
      <c r="AI392" s="1662"/>
      <c r="AJ392" s="1662"/>
    </row>
    <row r="393" spans="4:36" ht="12.95" customHeight="1">
      <c r="D393" t="s">
        <v>313</v>
      </c>
      <c r="Q393" s="1661"/>
      <c r="R393" s="1661"/>
      <c r="S393" s="1661"/>
      <c r="T393" s="1661"/>
      <c r="U393" s="1661"/>
      <c r="V393" t="s">
        <v>1305</v>
      </c>
      <c r="AG393" s="1662"/>
      <c r="AH393" s="1662"/>
      <c r="AI393" s="1662"/>
      <c r="AJ393" s="1662"/>
    </row>
    <row r="394" spans="4:36" ht="12.95" customHeight="1">
      <c r="D394" t="s">
        <v>1304</v>
      </c>
      <c r="AG394" s="1662"/>
      <c r="AH394" s="1662"/>
      <c r="AI394" s="1662"/>
      <c r="AJ394" s="1662"/>
    </row>
    <row r="395" spans="4:36" ht="12.95" customHeight="1">
      <c r="AG395" s="491"/>
      <c r="AH395" s="491"/>
      <c r="AI395" s="491"/>
      <c r="AJ395" s="491"/>
    </row>
    <row r="396" spans="4:36" ht="12.95" customHeight="1">
      <c r="D396" s="3" t="s">
        <v>2620</v>
      </c>
      <c r="AG396" s="491"/>
      <c r="AH396" s="491"/>
      <c r="AI396" s="1353" t="s">
        <v>554</v>
      </c>
      <c r="AJ396" s="1353"/>
    </row>
    <row r="397" spans="4:36" ht="12.95" customHeight="1">
      <c r="D397" s="3" t="s">
        <v>1848</v>
      </c>
      <c r="T397" s="1787" t="s">
        <v>2692</v>
      </c>
      <c r="U397" s="1787"/>
      <c r="V397" s="1787"/>
      <c r="W397" s="1787"/>
      <c r="X397" s="1787"/>
      <c r="Y397" s="1787"/>
      <c r="Z397" s="1787"/>
      <c r="AA397" s="1787"/>
      <c r="AB397" s="1787"/>
      <c r="AC397" s="1787"/>
      <c r="AD397" s="1787"/>
      <c r="AE397" s="1787"/>
      <c r="AF397" s="1787"/>
      <c r="AG397" s="1787"/>
      <c r="AH397" s="1787"/>
      <c r="AI397" s="1787"/>
      <c r="AJ397" s="1787"/>
    </row>
    <row r="398" spans="4:36" ht="12.95" customHeight="1">
      <c r="D398" s="3" t="s">
        <v>1847</v>
      </c>
      <c r="T398" s="1787"/>
      <c r="U398" s="1787"/>
      <c r="V398" s="1787"/>
      <c r="W398" s="1787"/>
      <c r="X398" s="1787"/>
      <c r="Y398" s="1787"/>
      <c r="Z398" s="1787"/>
      <c r="AA398" s="1787"/>
      <c r="AB398" s="1787"/>
      <c r="AC398" s="1787"/>
      <c r="AD398" s="1787"/>
      <c r="AE398" s="1787"/>
      <c r="AF398" s="1787"/>
      <c r="AG398" s="1787"/>
      <c r="AH398" s="1787"/>
      <c r="AI398" s="1787"/>
      <c r="AJ398" s="1787"/>
    </row>
    <row r="399" spans="4:36" ht="12.95" customHeight="1">
      <c r="AG399" s="491"/>
      <c r="AH399" s="491"/>
      <c r="AI399" s="491"/>
      <c r="AJ399" s="491"/>
    </row>
    <row r="400" spans="4:36" ht="12.95" customHeight="1">
      <c r="D400" s="3" t="s">
        <v>1841</v>
      </c>
      <c r="S400" s="1787" t="s">
        <v>678</v>
      </c>
      <c r="T400" s="1787"/>
      <c r="U400" s="1787"/>
      <c r="V400" t="s">
        <v>1842</v>
      </c>
      <c r="AG400" s="1819"/>
      <c r="AH400" s="1819"/>
      <c r="AI400" s="1819"/>
      <c r="AJ400" s="1819"/>
    </row>
    <row r="401" spans="1:36" ht="12.95" customHeight="1">
      <c r="D401" s="3" t="s">
        <v>1839</v>
      </c>
      <c r="S401" s="1787" t="s">
        <v>600</v>
      </c>
      <c r="T401" s="1787"/>
      <c r="U401" s="1787"/>
      <c r="V401" t="s">
        <v>1844</v>
      </c>
      <c r="AE401" s="1807"/>
      <c r="AF401" s="1807"/>
      <c r="AG401" s="1807"/>
      <c r="AH401" s="1807"/>
      <c r="AI401" s="1807"/>
      <c r="AJ401" s="1807"/>
    </row>
    <row r="402" spans="1:36" ht="12.95" customHeight="1">
      <c r="D402" s="3" t="s">
        <v>1840</v>
      </c>
      <c r="K402" s="1809"/>
      <c r="L402" s="1809"/>
      <c r="M402" s="1809"/>
      <c r="N402" s="1809"/>
      <c r="O402" s="1809"/>
      <c r="P402" s="1809"/>
      <c r="Q402" s="1809"/>
      <c r="R402" s="1809"/>
      <c r="S402" s="1809"/>
      <c r="T402" s="1809"/>
      <c r="U402" s="1809"/>
      <c r="V402" s="1809"/>
      <c r="W402" s="1809"/>
      <c r="X402" s="1809"/>
      <c r="Y402" s="1809"/>
      <c r="Z402" s="1809"/>
      <c r="AA402" s="1809"/>
      <c r="AB402" s="1809"/>
      <c r="AC402" s="1809"/>
      <c r="AD402" s="1809"/>
      <c r="AE402" s="1809"/>
      <c r="AF402" s="1809"/>
      <c r="AG402" s="1809"/>
      <c r="AH402" s="1809"/>
      <c r="AI402" s="1809"/>
      <c r="AJ402" s="1809"/>
    </row>
    <row r="403" spans="1:36" ht="12.95" customHeight="1">
      <c r="D403" s="3" t="s">
        <v>1843</v>
      </c>
      <c r="K403" s="1809"/>
      <c r="L403" s="1809"/>
      <c r="M403" s="1809"/>
      <c r="N403" s="1809"/>
      <c r="O403" s="1809"/>
      <c r="P403" s="1809"/>
      <c r="Q403" s="1809"/>
      <c r="R403" s="1809"/>
      <c r="S403" s="1809"/>
      <c r="T403" s="1809"/>
      <c r="U403" s="1809"/>
      <c r="V403" s="1809"/>
      <c r="W403" s="1809"/>
      <c r="X403" s="1809"/>
      <c r="Y403" s="1809"/>
      <c r="Z403" s="1809"/>
      <c r="AA403" s="1809"/>
      <c r="AB403" s="1809"/>
      <c r="AC403" s="1809"/>
      <c r="AD403" s="1809"/>
      <c r="AE403" s="1809"/>
      <c r="AF403" s="1809"/>
      <c r="AG403" s="1809"/>
      <c r="AH403" s="1809"/>
      <c r="AI403" s="1809"/>
      <c r="AJ403" s="1809"/>
    </row>
    <row r="404" spans="1:36" ht="12.95" customHeight="1">
      <c r="D404" s="3" t="s">
        <v>1846</v>
      </c>
      <c r="E404" s="512"/>
      <c r="F404" s="512"/>
      <c r="G404" s="512"/>
      <c r="H404" s="512"/>
      <c r="I404" s="512"/>
      <c r="J404" s="512"/>
      <c r="K404" s="512"/>
      <c r="L404" s="512"/>
      <c r="M404" s="512"/>
      <c r="N404" s="512"/>
      <c r="O404" s="512"/>
      <c r="P404" s="512"/>
      <c r="Q404" s="512"/>
      <c r="R404" s="512"/>
      <c r="S404" s="1778" t="s">
        <v>1327</v>
      </c>
      <c r="T404" s="1778"/>
      <c r="U404" s="1778"/>
      <c r="V404" s="1778"/>
      <c r="W404" s="1778"/>
      <c r="X404" s="1778"/>
      <c r="Y404" s="1778"/>
      <c r="Z404" s="1778"/>
      <c r="AA404" s="1778"/>
      <c r="AB404" s="1778"/>
      <c r="AC404" s="1778"/>
      <c r="AD404" s="1778"/>
      <c r="AE404" s="1778"/>
      <c r="AF404" s="1778"/>
      <c r="AG404" s="1778"/>
      <c r="AH404" s="1778"/>
      <c r="AI404" s="1778"/>
      <c r="AJ404" s="1778"/>
    </row>
    <row r="405" spans="1:36" ht="12.95" customHeight="1">
      <c r="D405" s="1266" t="s">
        <v>1845</v>
      </c>
      <c r="E405" s="1266"/>
      <c r="F405" s="1266"/>
      <c r="G405" s="1266"/>
      <c r="H405" s="1266"/>
      <c r="I405" s="1266"/>
      <c r="J405" s="1266"/>
      <c r="K405" s="1266"/>
      <c r="L405" s="1266"/>
      <c r="M405" s="1266"/>
      <c r="N405" s="1266"/>
      <c r="O405" s="1266"/>
      <c r="P405" s="1266"/>
      <c r="Q405" s="1266"/>
      <c r="R405" s="1266"/>
      <c r="S405" s="1266"/>
      <c r="T405" s="1266"/>
      <c r="U405" s="1266"/>
      <c r="V405" s="1266"/>
      <c r="W405" s="1266"/>
      <c r="X405" s="1266"/>
      <c r="Y405" s="1266"/>
      <c r="Z405" s="1266"/>
      <c r="AA405" s="1266"/>
      <c r="AB405" s="1266"/>
      <c r="AC405" s="1266"/>
      <c r="AD405" s="1266"/>
      <c r="AE405" s="1266"/>
      <c r="AF405" s="1266"/>
      <c r="AG405" s="1266"/>
      <c r="AH405" s="1266"/>
      <c r="AI405" s="1266"/>
      <c r="AJ405" s="1266"/>
    </row>
    <row r="406" spans="1:36" ht="12.95" customHeight="1">
      <c r="D406" s="1266"/>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AG407" s="491"/>
      <c r="AH407" s="491"/>
      <c r="AI407" s="491"/>
      <c r="AJ407" s="491"/>
    </row>
    <row r="408" spans="1:36" ht="12.95" customHeight="1">
      <c r="A408" s="2" t="s">
        <v>598</v>
      </c>
      <c r="B408" s="2"/>
      <c r="C408" s="2" t="s">
        <v>112</v>
      </c>
    </row>
    <row r="409" spans="1:36" ht="12.95" customHeight="1">
      <c r="B409" s="2"/>
      <c r="C409" s="2"/>
      <c r="D409" s="2" t="s">
        <v>1347</v>
      </c>
      <c r="I409" s="1598" t="s">
        <v>2697</v>
      </c>
      <c r="J409" s="1598"/>
      <c r="K409" s="1598"/>
      <c r="L409" s="1598"/>
      <c r="M409" s="1598"/>
      <c r="N409" s="1598"/>
      <c r="O409" s="1598"/>
      <c r="P409" s="1598"/>
      <c r="Q409" s="1598"/>
      <c r="R409" s="1598"/>
      <c r="S409" s="1598"/>
      <c r="T409" s="1598"/>
      <c r="U409" s="1598"/>
      <c r="V409" s="1598"/>
      <c r="W409" s="1598"/>
      <c r="X409" s="1598"/>
      <c r="Y409" s="1598"/>
      <c r="Z409" s="1598"/>
      <c r="AA409" s="1598"/>
      <c r="AB409" s="1598"/>
      <c r="AC409" s="1598"/>
      <c r="AD409" s="1598"/>
      <c r="AE409" s="1598"/>
    </row>
    <row r="410" spans="1:36" ht="12.95" customHeight="1">
      <c r="E410" t="s">
        <v>107</v>
      </c>
      <c r="R410" s="1353" t="s">
        <v>554</v>
      </c>
      <c r="S410" s="1353"/>
      <c r="T410" t="s">
        <v>579</v>
      </c>
      <c r="AD410" s="1728">
        <v>4</v>
      </c>
      <c r="AE410" s="1728"/>
    </row>
    <row r="411" spans="1:36" ht="12.95" customHeight="1">
      <c r="E411" t="s">
        <v>108</v>
      </c>
      <c r="R411" s="1353" t="s">
        <v>600</v>
      </c>
      <c r="S411" s="1353"/>
      <c r="T411" t="s">
        <v>579</v>
      </c>
      <c r="AD411" s="1728">
        <v>0</v>
      </c>
      <c r="AE411" s="1728"/>
    </row>
    <row r="412" spans="1:36" ht="12.95" customHeight="1">
      <c r="E412" t="s">
        <v>109</v>
      </c>
      <c r="S412" s="1353" t="s">
        <v>600</v>
      </c>
      <c r="T412" s="1353"/>
    </row>
    <row r="413" spans="1:36" ht="12.95" customHeight="1">
      <c r="E413" t="s">
        <v>170</v>
      </c>
      <c r="H413" s="1659" t="s">
        <v>335</v>
      </c>
      <c r="I413" s="1659"/>
      <c r="J413" s="1659"/>
      <c r="K413" s="1659"/>
      <c r="L413" s="1659"/>
      <c r="M413" s="1659"/>
      <c r="N413" s="1659"/>
      <c r="O413" s="1659"/>
      <c r="P413" s="1659"/>
      <c r="Q413" s="1659"/>
      <c r="R413" s="1659"/>
      <c r="S413" s="1659"/>
      <c r="T413" s="1659"/>
      <c r="U413" s="1659"/>
      <c r="V413" s="1659"/>
      <c r="W413" s="1659"/>
      <c r="X413" s="1659"/>
      <c r="Y413" s="1659"/>
      <c r="Z413" s="1659"/>
      <c r="AA413" s="1659"/>
      <c r="AB413" s="1659"/>
      <c r="AC413" s="1659"/>
      <c r="AD413" s="1659"/>
      <c r="AE413" s="1659"/>
    </row>
    <row r="414" spans="1:36" ht="12.95" customHeight="1">
      <c r="H414" s="1660"/>
      <c r="I414" s="1660"/>
      <c r="J414" s="1660"/>
      <c r="K414" s="1660"/>
      <c r="L414" s="1660"/>
      <c r="M414" s="1660"/>
      <c r="N414" s="1660"/>
      <c r="O414" s="1660"/>
      <c r="P414" s="1660"/>
      <c r="Q414" s="1660"/>
      <c r="R414" s="1660"/>
      <c r="S414" s="1660"/>
      <c r="T414" s="1660"/>
      <c r="U414" s="1660"/>
      <c r="V414" s="1660"/>
      <c r="W414" s="1660"/>
      <c r="X414" s="1660"/>
      <c r="Y414" s="1660"/>
      <c r="Z414" s="1660"/>
      <c r="AA414" s="1660"/>
      <c r="AB414" s="1660"/>
      <c r="AC414" s="1660"/>
      <c r="AD414" s="1660"/>
      <c r="AE414" s="1660"/>
    </row>
    <row r="415" spans="1:36" ht="12.95" customHeight="1"/>
    <row r="416" spans="1:36" ht="12.95" customHeight="1">
      <c r="A416" s="2" t="s">
        <v>599</v>
      </c>
      <c r="B416" s="2"/>
      <c r="C416" s="2"/>
      <c r="D416" s="2" t="s">
        <v>115</v>
      </c>
      <c r="AF416" s="2" t="s">
        <v>997</v>
      </c>
    </row>
    <row r="417" spans="1:39" ht="12.95" customHeight="1">
      <c r="E417" s="1727"/>
      <c r="F417" s="1727"/>
      <c r="G417" s="1727"/>
      <c r="H417" s="13" t="s">
        <v>116</v>
      </c>
      <c r="I417" s="1727"/>
      <c r="J417" s="1727"/>
      <c r="K417" s="1727"/>
      <c r="L417" t="s">
        <v>117</v>
      </c>
      <c r="N417" s="27" t="s">
        <v>584</v>
      </c>
      <c r="P417" s="1733">
        <v>5.27</v>
      </c>
      <c r="Q417" s="1733"/>
      <c r="R417" s="1733"/>
      <c r="S417" t="s">
        <v>118</v>
      </c>
      <c r="W417" s="1842">
        <f>IF(E417&gt;0,(E417*I417),(P417*43560))</f>
        <v>229561.19999999998</v>
      </c>
      <c r="X417" s="1842"/>
      <c r="Y417" s="1842"/>
      <c r="Z417" t="s">
        <v>119</v>
      </c>
      <c r="AF417" s="1795">
        <f>IF(P417&gt;0,(AG436/P417),(AG436/(W417/43560)))</f>
        <v>31.878557874762812</v>
      </c>
      <c r="AG417" s="1795"/>
      <c r="AH417" s="1795"/>
      <c r="AM417" s="3"/>
    </row>
    <row r="418" spans="1:39" ht="12.95" customHeight="1">
      <c r="E418" t="s">
        <v>51</v>
      </c>
    </row>
    <row r="419" spans="1:39" ht="12.95" customHeight="1">
      <c r="E419" s="1793"/>
      <c r="F419" s="1793"/>
      <c r="G419" s="1793"/>
      <c r="H419" s="1793"/>
      <c r="I419" s="1793"/>
      <c r="J419" s="1793"/>
      <c r="K419" s="1793"/>
      <c r="L419" s="1793"/>
      <c r="M419" s="1793"/>
      <c r="N419" s="1793"/>
      <c r="O419" s="1793"/>
      <c r="P419" s="1793"/>
      <c r="Q419" s="1793"/>
      <c r="R419" s="1793"/>
      <c r="S419" s="1793"/>
      <c r="T419" s="1793"/>
      <c r="U419" s="1793"/>
      <c r="V419" s="1793"/>
      <c r="W419" s="1793"/>
      <c r="X419" s="1793"/>
      <c r="Y419" s="1793"/>
      <c r="Z419" s="1793"/>
      <c r="AA419" s="1793"/>
      <c r="AB419" s="1793"/>
      <c r="AC419" s="1793"/>
      <c r="AD419" s="1793"/>
      <c r="AE419" s="1793"/>
      <c r="AF419" s="1793"/>
      <c r="AG419" s="1793"/>
      <c r="AH419" s="1793"/>
      <c r="AI419" s="1793"/>
      <c r="AJ419" s="1793"/>
    </row>
    <row r="420" spans="1:39" ht="12.95" customHeight="1">
      <c r="E420" s="118" t="s">
        <v>1996</v>
      </c>
      <c r="F420" s="1050"/>
      <c r="G420" s="1050"/>
      <c r="H420" s="1050"/>
      <c r="I420" s="1657">
        <v>5.27</v>
      </c>
      <c r="J420" s="1657"/>
      <c r="K420" s="1657"/>
      <c r="L420" s="1050"/>
      <c r="M420" s="118"/>
      <c r="N420" s="1050"/>
      <c r="O420" s="1050"/>
      <c r="P420" s="1609">
        <f>(CS623+CS631+CS647)/I420</f>
        <v>60.91081593927894</v>
      </c>
      <c r="Q420" s="1609"/>
      <c r="R420" s="1609"/>
      <c r="S420" s="118" t="s">
        <v>1997</v>
      </c>
      <c r="T420" s="1050"/>
      <c r="U420" s="1050"/>
      <c r="V420" s="1050"/>
      <c r="W420" s="1050"/>
      <c r="X420" s="1050"/>
      <c r="Y420" s="1050"/>
      <c r="Z420" s="1050"/>
      <c r="AA420" s="1050"/>
      <c r="AB420" s="1050"/>
      <c r="AC420" s="1050"/>
      <c r="AD420" s="1050"/>
      <c r="AE420" s="1050"/>
      <c r="AF420" s="1050"/>
      <c r="AG420" s="1050"/>
      <c r="AH420" s="1050"/>
      <c r="AI420" s="1050"/>
      <c r="AJ420" s="1050"/>
    </row>
    <row r="421" spans="1:39" ht="12.95" customHeight="1"/>
    <row r="422" spans="1:39" ht="12.95" customHeight="1">
      <c r="A422" s="2" t="s">
        <v>601</v>
      </c>
      <c r="B422" s="2"/>
      <c r="C422" s="2"/>
      <c r="D422" s="2" t="s">
        <v>121</v>
      </c>
    </row>
    <row r="423" spans="1:39" ht="12.95" customHeight="1">
      <c r="E423" t="s">
        <v>122</v>
      </c>
      <c r="P423" s="1353">
        <v>2</v>
      </c>
      <c r="Q423" s="1353"/>
      <c r="S423" t="s">
        <v>190</v>
      </c>
      <c r="AE423" s="1353">
        <v>2</v>
      </c>
      <c r="AF423" s="1353"/>
    </row>
    <row r="424" spans="1:39" ht="12.95" customHeight="1">
      <c r="E424" t="s">
        <v>191</v>
      </c>
      <c r="P424" s="1353">
        <v>0</v>
      </c>
      <c r="Q424" s="1353"/>
      <c r="S424" t="s">
        <v>132</v>
      </c>
      <c r="AE424" s="1353" t="s">
        <v>600</v>
      </c>
      <c r="AF424" s="1353"/>
    </row>
    <row r="425" spans="1:39" ht="12.95" customHeight="1">
      <c r="F425" s="28" t="s">
        <v>133</v>
      </c>
    </row>
    <row r="426" spans="1:39" ht="12.95" customHeight="1">
      <c r="F426" s="1769"/>
      <c r="G426" s="1769"/>
      <c r="H426" s="1769"/>
      <c r="I426" s="1769"/>
      <c r="J426" s="1769"/>
      <c r="K426" s="1769"/>
      <c r="L426" s="1769"/>
      <c r="M426" s="1769"/>
      <c r="N426" s="1769"/>
      <c r="O426" s="1769"/>
      <c r="P426" s="1769"/>
      <c r="Q426" s="1769"/>
      <c r="R426" s="1769"/>
      <c r="S426" s="1769"/>
      <c r="T426" s="1769"/>
      <c r="U426" s="1769"/>
      <c r="V426" s="1769"/>
      <c r="W426" s="1769"/>
      <c r="X426" s="1769"/>
      <c r="Y426" s="1769"/>
      <c r="Z426" s="1769"/>
      <c r="AA426" s="1769"/>
      <c r="AB426" s="1769"/>
      <c r="AC426" s="1769"/>
      <c r="AD426" s="1769"/>
      <c r="AE426" s="1769"/>
      <c r="AF426" s="1769"/>
      <c r="AG426" s="1769"/>
      <c r="AH426" s="1769"/>
    </row>
    <row r="427" spans="1:39" ht="12.95" customHeight="1">
      <c r="F427" s="1596"/>
      <c r="G427" s="1596"/>
      <c r="H427" s="1596"/>
      <c r="I427" s="1596"/>
      <c r="J427" s="1596"/>
      <c r="K427" s="1596"/>
      <c r="L427" s="1596"/>
      <c r="M427" s="1596"/>
      <c r="N427" s="1596"/>
      <c r="O427" s="1596"/>
      <c r="P427" s="1596"/>
      <c r="Q427" s="1596"/>
      <c r="R427" s="1596"/>
      <c r="S427" s="1596"/>
      <c r="T427" s="1596"/>
      <c r="U427" s="1596"/>
      <c r="V427" s="1596"/>
      <c r="W427" s="1596"/>
      <c r="X427" s="1596"/>
      <c r="Y427" s="1596"/>
      <c r="Z427" s="1596"/>
      <c r="AA427" s="1596"/>
      <c r="AB427" s="1596"/>
      <c r="AC427" s="1596"/>
      <c r="AD427" s="1596"/>
      <c r="AE427" s="1596"/>
      <c r="AF427" s="1596"/>
      <c r="AG427" s="1596"/>
      <c r="AH427" s="1596"/>
    </row>
    <row r="428" spans="1:39" ht="12.95" customHeight="1">
      <c r="E428" t="s">
        <v>617</v>
      </c>
      <c r="P428" s="1"/>
      <c r="Q428" s="1353" t="s">
        <v>678</v>
      </c>
      <c r="R428" s="1353"/>
    </row>
    <row r="429" spans="1:39" ht="12.95" customHeight="1">
      <c r="F429" t="s">
        <v>618</v>
      </c>
      <c r="P429" s="1"/>
      <c r="Q429" s="1"/>
      <c r="AF429" s="1353" t="s">
        <v>554</v>
      </c>
      <c r="AG429" s="1739"/>
    </row>
    <row r="430" spans="1:39" ht="12.95" customHeight="1"/>
    <row r="431" spans="1:39" ht="12.95" customHeight="1">
      <c r="A431" s="2"/>
      <c r="B431" s="2"/>
      <c r="C431" s="2"/>
      <c r="E431" s="4" t="s">
        <v>309</v>
      </c>
      <c r="Z431" s="1353" t="s">
        <v>678</v>
      </c>
      <c r="AA431" s="1353"/>
    </row>
    <row r="432" spans="1:39" ht="12.95" customHeight="1">
      <c r="F432" s="39" t="s">
        <v>44</v>
      </c>
      <c r="G432" s="40"/>
      <c r="H432" s="40"/>
      <c r="I432" s="40"/>
      <c r="J432" s="40"/>
      <c r="K432" s="40"/>
      <c r="L432" s="40"/>
      <c r="M432" s="40"/>
      <c r="N432" s="40"/>
      <c r="O432" s="40"/>
      <c r="P432" s="40"/>
      <c r="Q432" s="40"/>
      <c r="R432" s="40"/>
      <c r="S432" s="40"/>
      <c r="T432" s="40"/>
      <c r="U432" s="40"/>
      <c r="V432" s="40"/>
      <c r="W432" s="40"/>
      <c r="AB432" s="40"/>
    </row>
    <row r="433" spans="1:110" ht="12.95" customHeight="1">
      <c r="F433" t="s">
        <v>719</v>
      </c>
      <c r="G433" s="40"/>
      <c r="I433" s="40"/>
      <c r="J433" s="40"/>
      <c r="K433" s="40"/>
      <c r="L433" s="40"/>
      <c r="M433" s="40"/>
      <c r="N433" s="40"/>
      <c r="O433" s="28"/>
      <c r="P433" s="40"/>
      <c r="Q433" s="40"/>
      <c r="R433" s="40"/>
      <c r="S433" s="40"/>
      <c r="T433" s="40"/>
      <c r="U433" s="40"/>
      <c r="V433" s="40"/>
      <c r="W433" s="40"/>
      <c r="Z433" s="1353" t="s">
        <v>600</v>
      </c>
      <c r="AA433" s="1353"/>
    </row>
    <row r="434" spans="1:110" ht="12.95" customHeight="1"/>
    <row r="435" spans="1:110" ht="12.95" customHeight="1">
      <c r="A435" s="2" t="s">
        <v>476</v>
      </c>
      <c r="B435" s="2"/>
      <c r="C435" s="2"/>
      <c r="D435" s="2" t="s">
        <v>788</v>
      </c>
      <c r="AF435" s="48"/>
    </row>
    <row r="436" spans="1:110" ht="12.95" customHeight="1">
      <c r="D436" s="1638" t="s">
        <v>43</v>
      </c>
      <c r="E436" s="1639"/>
      <c r="F436" s="1639"/>
      <c r="G436" s="1639"/>
      <c r="H436" s="1639"/>
      <c r="I436" s="1639"/>
      <c r="J436" s="1639"/>
      <c r="K436" s="1639"/>
      <c r="L436" s="1639"/>
      <c r="M436" s="1639"/>
      <c r="N436" s="1639"/>
      <c r="O436" s="1639"/>
      <c r="P436" s="1639"/>
      <c r="Q436" s="1639"/>
      <c r="R436" s="1639"/>
      <c r="S436" s="1639"/>
      <c r="T436" s="1639"/>
      <c r="U436" s="1639"/>
      <c r="V436" s="1639"/>
      <c r="W436" s="1639"/>
      <c r="X436" s="1639"/>
      <c r="Y436" s="1639"/>
      <c r="Z436" s="1639"/>
      <c r="AA436" s="1639"/>
      <c r="AB436" s="1639"/>
      <c r="AC436" s="1639"/>
      <c r="AD436" s="1639"/>
      <c r="AE436" s="1639"/>
      <c r="AF436" s="1821"/>
      <c r="AG436" s="1814">
        <v>168</v>
      </c>
      <c r="AH436" s="1814"/>
      <c r="AI436" s="1814"/>
      <c r="AJ436" s="1814"/>
    </row>
    <row r="437" spans="1:110" ht="12.95" customHeight="1">
      <c r="D437" s="1653" t="s">
        <v>1369</v>
      </c>
      <c r="E437" s="1654"/>
      <c r="F437" s="1654"/>
      <c r="G437" s="1654"/>
      <c r="H437" s="1654"/>
      <c r="I437" s="1654"/>
      <c r="J437" s="1654"/>
      <c r="K437" s="1654"/>
      <c r="L437" s="1654"/>
      <c r="M437" s="1654"/>
      <c r="N437" s="1654"/>
      <c r="O437" s="1654"/>
      <c r="P437" s="1654"/>
      <c r="Q437" s="1654"/>
      <c r="R437" s="1654"/>
      <c r="S437" s="1654"/>
      <c r="T437" s="1654"/>
      <c r="U437" s="1654"/>
      <c r="V437" s="1654"/>
      <c r="W437" s="1654"/>
      <c r="X437" s="1654"/>
      <c r="Y437" s="1654"/>
      <c r="Z437" s="1654"/>
      <c r="AA437" s="1654"/>
      <c r="AB437" s="1654"/>
      <c r="AC437" s="1654"/>
      <c r="AD437" s="1654"/>
      <c r="AE437" s="1654"/>
      <c r="AF437" s="1655"/>
      <c r="AG437" s="1843"/>
      <c r="AH437" s="1623"/>
      <c r="AI437" s="1623"/>
      <c r="AJ437" s="1623"/>
    </row>
    <row r="438" spans="1:110" ht="12.95" customHeight="1">
      <c r="D438" s="1653" t="s">
        <v>1092</v>
      </c>
      <c r="E438" s="1654"/>
      <c r="F438" s="1654"/>
      <c r="G438" s="1654"/>
      <c r="H438" s="1654"/>
      <c r="I438" s="1654"/>
      <c r="J438" s="1654"/>
      <c r="K438" s="1654"/>
      <c r="L438" s="1654"/>
      <c r="M438" s="1654"/>
      <c r="N438" s="1654"/>
      <c r="O438" s="1654"/>
      <c r="P438" s="1654"/>
      <c r="Q438" s="1654"/>
      <c r="R438" s="1654"/>
      <c r="S438" s="1654"/>
      <c r="T438" s="1654"/>
      <c r="U438" s="1654"/>
      <c r="V438" s="1654"/>
      <c r="W438" s="1654"/>
      <c r="X438" s="1654"/>
      <c r="Y438" s="1654"/>
      <c r="Z438" s="1654"/>
      <c r="AA438" s="1654"/>
      <c r="AB438" s="1654"/>
      <c r="AC438" s="1654"/>
      <c r="AD438" s="1654"/>
      <c r="AE438" s="1654"/>
      <c r="AF438" s="1655"/>
      <c r="AG438" s="1814">
        <v>166</v>
      </c>
      <c r="AH438" s="1814"/>
      <c r="AI438" s="1814"/>
      <c r="AJ438" s="1814"/>
    </row>
    <row r="439" spans="1:110" ht="12.95" customHeight="1">
      <c r="D439" s="1653" t="s">
        <v>1093</v>
      </c>
      <c r="E439" s="1654"/>
      <c r="F439" s="1654"/>
      <c r="G439" s="1654"/>
      <c r="H439" s="1654"/>
      <c r="I439" s="1654"/>
      <c r="J439" s="1654"/>
      <c r="K439" s="1654"/>
      <c r="L439" s="1654"/>
      <c r="M439" s="1654"/>
      <c r="N439" s="1654"/>
      <c r="O439" s="1654"/>
      <c r="P439" s="1654"/>
      <c r="Q439" s="1654"/>
      <c r="R439" s="1654"/>
      <c r="S439" s="1654"/>
      <c r="T439" s="1654"/>
      <c r="U439" s="1654"/>
      <c r="V439" s="1654"/>
      <c r="W439" s="1654"/>
      <c r="X439" s="1654"/>
      <c r="Y439" s="1654"/>
      <c r="Z439" s="1654"/>
      <c r="AA439" s="1654"/>
      <c r="AB439" s="1654"/>
      <c r="AC439" s="1654"/>
      <c r="AD439" s="1654"/>
      <c r="AE439" s="1654"/>
      <c r="AF439" s="1655"/>
      <c r="AG439" s="1814">
        <v>166</v>
      </c>
      <c r="AH439" s="1814"/>
      <c r="AI439" s="1814"/>
      <c r="AJ439" s="1814"/>
    </row>
    <row r="440" spans="1:110" ht="12.95" customHeight="1">
      <c r="D440" s="1653" t="s">
        <v>1095</v>
      </c>
      <c r="E440" s="1654"/>
      <c r="F440" s="1654"/>
      <c r="G440" s="1654"/>
      <c r="H440" s="1654"/>
      <c r="I440" s="1654"/>
      <c r="J440" s="1654"/>
      <c r="K440" s="1654"/>
      <c r="L440" s="1654"/>
      <c r="M440" s="1654"/>
      <c r="N440" s="1654"/>
      <c r="O440" s="1654"/>
      <c r="P440" s="1654"/>
      <c r="Q440" s="1654"/>
      <c r="R440" s="1654"/>
      <c r="S440" s="1654"/>
      <c r="T440" s="1654"/>
      <c r="U440" s="1654"/>
      <c r="V440" s="1654"/>
      <c r="W440" s="1654"/>
      <c r="X440" s="1654"/>
      <c r="Y440" s="1654"/>
      <c r="Z440" s="1654"/>
      <c r="AA440" s="1654"/>
      <c r="AB440" s="1654"/>
      <c r="AC440" s="1654"/>
      <c r="AD440" s="1654"/>
      <c r="AE440" s="1654"/>
      <c r="AF440" s="1655"/>
      <c r="AG440" s="1827">
        <f>IF(ISERROR(AG439/AG438),"",AG439/AG438)</f>
        <v>1</v>
      </c>
      <c r="AH440" s="1827"/>
      <c r="AI440" s="1827"/>
      <c r="AJ440" s="1827"/>
    </row>
    <row r="441" spans="1:110" ht="12.95" customHeight="1">
      <c r="D441" s="1653" t="s">
        <v>1094</v>
      </c>
      <c r="E441" s="1654"/>
      <c r="F441" s="1654"/>
      <c r="G441" s="1654"/>
      <c r="H441" s="1654"/>
      <c r="I441" s="1654"/>
      <c r="J441" s="1654"/>
      <c r="K441" s="1654"/>
      <c r="L441" s="1654"/>
      <c r="M441" s="1654"/>
      <c r="N441" s="1654"/>
      <c r="O441" s="1654"/>
      <c r="P441" s="1654"/>
      <c r="Q441" s="1654"/>
      <c r="R441" s="1654"/>
      <c r="S441" s="1654"/>
      <c r="T441" s="1654"/>
      <c r="U441" s="1654"/>
      <c r="V441" s="1654"/>
      <c r="W441" s="1654"/>
      <c r="X441" s="1654"/>
      <c r="Y441" s="1654"/>
      <c r="Z441" s="1654"/>
      <c r="AA441" s="1654"/>
      <c r="AB441" s="1654"/>
      <c r="AC441" s="1654"/>
      <c r="AD441" s="1654"/>
      <c r="AE441" s="1654"/>
      <c r="AF441" s="1655"/>
      <c r="AG441" s="1816">
        <v>84286</v>
      </c>
      <c r="AH441" s="1816"/>
      <c r="AI441" s="1816"/>
      <c r="AJ441" s="1816"/>
    </row>
    <row r="442" spans="1:110" ht="12.95" customHeight="1">
      <c r="D442" s="1653" t="s">
        <v>1096</v>
      </c>
      <c r="E442" s="1654"/>
      <c r="F442" s="1654"/>
      <c r="G442" s="1654"/>
      <c r="H442" s="1654"/>
      <c r="I442" s="1654"/>
      <c r="J442" s="1654"/>
      <c r="K442" s="1654"/>
      <c r="L442" s="1654"/>
      <c r="M442" s="1654"/>
      <c r="N442" s="1654"/>
      <c r="O442" s="1654"/>
      <c r="P442" s="1654"/>
      <c r="Q442" s="1654"/>
      <c r="R442" s="1654"/>
      <c r="S442" s="1654"/>
      <c r="T442" s="1654"/>
      <c r="U442" s="1654"/>
      <c r="V442" s="1654"/>
      <c r="W442" s="1654"/>
      <c r="X442" s="1654"/>
      <c r="Y442" s="1654"/>
      <c r="Z442" s="1654"/>
      <c r="AA442" s="1654"/>
      <c r="AB442" s="1654"/>
      <c r="AC442" s="1654"/>
      <c r="AD442" s="1654"/>
      <c r="AE442" s="1654"/>
      <c r="AF442" s="1655"/>
      <c r="AG442" s="1816">
        <v>84286</v>
      </c>
      <c r="AH442" s="1816"/>
      <c r="AI442" s="1816"/>
      <c r="AJ442" s="1816"/>
    </row>
    <row r="443" spans="1:110" ht="12.95" customHeight="1">
      <c r="D443" s="1653" t="s">
        <v>1097</v>
      </c>
      <c r="E443" s="1654"/>
      <c r="F443" s="1654"/>
      <c r="G443" s="1654"/>
      <c r="H443" s="1654"/>
      <c r="I443" s="1654"/>
      <c r="J443" s="1654"/>
      <c r="K443" s="1654"/>
      <c r="L443" s="1654"/>
      <c r="M443" s="1654"/>
      <c r="N443" s="1654"/>
      <c r="O443" s="1654"/>
      <c r="P443" s="1654"/>
      <c r="Q443" s="1654"/>
      <c r="R443" s="1654"/>
      <c r="S443" s="1654"/>
      <c r="T443" s="1654"/>
      <c r="U443" s="1654"/>
      <c r="V443" s="1654"/>
      <c r="W443" s="1654"/>
      <c r="X443" s="1654"/>
      <c r="Y443" s="1654"/>
      <c r="Z443" s="1654"/>
      <c r="AA443" s="1654"/>
      <c r="AB443" s="1654"/>
      <c r="AC443" s="1654"/>
      <c r="AD443" s="1654"/>
      <c r="AE443" s="1654"/>
      <c r="AF443" s="1655"/>
      <c r="AG443" s="1827">
        <f>IF(ISERROR(AG442/AG441),"",AG442/AG441)</f>
        <v>1</v>
      </c>
      <c r="AH443" s="1827"/>
      <c r="AI443" s="1827"/>
      <c r="AJ443" s="1827"/>
    </row>
    <row r="444" spans="1:110" ht="12.95" customHeight="1">
      <c r="D444" s="1653" t="s">
        <v>1098</v>
      </c>
      <c r="E444" s="1654"/>
      <c r="F444" s="1654"/>
      <c r="G444" s="1654"/>
      <c r="H444" s="1654"/>
      <c r="I444" s="1654"/>
      <c r="J444" s="1654"/>
      <c r="K444" s="1654"/>
      <c r="L444" s="1654"/>
      <c r="M444" s="1654"/>
      <c r="N444" s="1654"/>
      <c r="O444" s="1654"/>
      <c r="P444" s="1654"/>
      <c r="Q444" s="1654"/>
      <c r="R444" s="1654"/>
      <c r="S444" s="1654"/>
      <c r="T444" s="1654"/>
      <c r="U444" s="1654"/>
      <c r="V444" s="1654"/>
      <c r="W444" s="1654"/>
      <c r="X444" s="1654"/>
      <c r="Y444" s="1654"/>
      <c r="Z444" s="1654"/>
      <c r="AA444" s="1654"/>
      <c r="AB444" s="1654"/>
      <c r="AC444" s="1654"/>
      <c r="AD444" s="1654"/>
      <c r="AE444" s="1654"/>
      <c r="AF444" s="1655"/>
      <c r="AG444" s="1827">
        <f>MIN(IF(AG440&gt;AG443,AG443,AG440),1)</f>
        <v>1</v>
      </c>
      <c r="AH444" s="1827"/>
      <c r="AI444" s="1827"/>
      <c r="AJ444" s="1827"/>
    </row>
    <row r="445" spans="1:110" ht="12.95" customHeight="1">
      <c r="D445" s="1653" t="s">
        <v>2510</v>
      </c>
      <c r="E445" s="1639"/>
      <c r="F445" s="1639"/>
      <c r="G445" s="1639"/>
      <c r="H445" s="1639"/>
      <c r="I445" s="1639"/>
      <c r="J445" s="1639"/>
      <c r="K445" s="1639"/>
      <c r="L445" s="1639"/>
      <c r="M445" s="1639"/>
      <c r="N445" s="1639"/>
      <c r="O445" s="1639"/>
      <c r="P445" s="1639"/>
      <c r="Q445" s="1639"/>
      <c r="R445" s="1639"/>
      <c r="S445" s="1639"/>
      <c r="T445" s="1639"/>
      <c r="U445" s="1639"/>
      <c r="V445" s="1639"/>
      <c r="W445" s="1639"/>
      <c r="X445" s="1639"/>
      <c r="Y445" s="1639"/>
      <c r="Z445" s="1639"/>
      <c r="AA445" s="1639"/>
      <c r="AB445" s="1639"/>
      <c r="AC445" s="1639"/>
      <c r="AD445" s="1639"/>
      <c r="AE445" s="1639"/>
      <c r="AF445" s="1821"/>
      <c r="AG445" s="1816">
        <v>2923</v>
      </c>
      <c r="AH445" s="1816"/>
      <c r="AI445" s="1816"/>
      <c r="AJ445" s="1816"/>
    </row>
    <row r="446" spans="1:110" ht="12.95" customHeight="1">
      <c r="D446" s="1638" t="s">
        <v>578</v>
      </c>
      <c r="E446" s="1639"/>
      <c r="F446" s="1639"/>
      <c r="G446" s="1639"/>
      <c r="H446" s="1639"/>
      <c r="I446" s="1639"/>
      <c r="J446" s="1639"/>
      <c r="K446" s="1639"/>
      <c r="L446" s="1639"/>
      <c r="M446" s="1639"/>
      <c r="N446" s="1639"/>
      <c r="O446" s="1639"/>
      <c r="P446" s="1639"/>
      <c r="Q446" s="1639"/>
      <c r="R446" s="1639"/>
      <c r="S446" s="1639"/>
      <c r="T446" s="1639"/>
      <c r="U446" s="1639"/>
      <c r="V446" s="1639"/>
      <c r="W446" s="1639"/>
      <c r="X446" s="1639"/>
      <c r="Y446" s="1639"/>
      <c r="Z446" s="1639"/>
      <c r="AA446" s="1639"/>
      <c r="AB446" s="1639"/>
      <c r="AC446" s="1639"/>
      <c r="AD446" s="1639"/>
      <c r="AE446" s="1639"/>
      <c r="AF446" s="1821"/>
      <c r="AG446" s="1816">
        <v>0</v>
      </c>
      <c r="AH446" s="1816"/>
      <c r="AI446" s="1816"/>
      <c r="AJ446" s="181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53" t="s">
        <v>1348</v>
      </c>
      <c r="E447" s="1639"/>
      <c r="F447" s="1639"/>
      <c r="G447" s="1639"/>
      <c r="H447" s="1639"/>
      <c r="I447" s="1639"/>
      <c r="J447" s="1639"/>
      <c r="K447" s="1639"/>
      <c r="L447" s="1639"/>
      <c r="M447" s="1639"/>
      <c r="N447" s="1639"/>
      <c r="O447" s="1639"/>
      <c r="P447" s="1639"/>
      <c r="Q447" s="1639"/>
      <c r="R447" s="1639"/>
      <c r="S447" s="1639"/>
      <c r="T447" s="1639"/>
      <c r="U447" s="1639"/>
      <c r="V447" s="1639"/>
      <c r="W447" s="1639"/>
      <c r="X447" s="1639"/>
      <c r="Y447" s="1639"/>
      <c r="Z447" s="1639"/>
      <c r="AA447" s="1639"/>
      <c r="AB447" s="1639"/>
      <c r="AC447" s="1639"/>
      <c r="AD447" s="1639"/>
      <c r="AE447" s="1639"/>
      <c r="AF447" s="1821"/>
      <c r="AG447" s="1816">
        <v>15052</v>
      </c>
      <c r="AH447" s="1816"/>
      <c r="AI447" s="1816"/>
      <c r="AJ447" s="181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53" t="s">
        <v>1099</v>
      </c>
      <c r="E448" s="1639"/>
      <c r="F448" s="1639"/>
      <c r="G448" s="1639"/>
      <c r="H448" s="1639"/>
      <c r="I448" s="1639"/>
      <c r="J448" s="1639"/>
      <c r="K448" s="1639"/>
      <c r="L448" s="1639"/>
      <c r="M448" s="1639"/>
      <c r="N448" s="1639"/>
      <c r="O448" s="1639"/>
      <c r="P448" s="1639"/>
      <c r="Q448" s="1639"/>
      <c r="R448" s="1639"/>
      <c r="S448" s="1639"/>
      <c r="T448" s="1639"/>
      <c r="U448" s="1639"/>
      <c r="V448" s="1639"/>
      <c r="W448" s="1639"/>
      <c r="X448" s="1639"/>
      <c r="Y448" s="1639"/>
      <c r="Z448" s="1639"/>
      <c r="AA448" s="1639"/>
      <c r="AB448" s="1639"/>
      <c r="AC448" s="1639"/>
      <c r="AD448" s="1639"/>
      <c r="AE448" s="1639"/>
      <c r="AF448" s="1821"/>
      <c r="AG448" s="1816">
        <v>0</v>
      </c>
      <c r="AH448" s="1816"/>
      <c r="AI448" s="1816"/>
      <c r="AJ448" s="181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788" t="s">
        <v>1100</v>
      </c>
      <c r="E449" s="1789"/>
      <c r="F449" s="1789"/>
      <c r="G449" s="1789"/>
      <c r="H449" s="1789"/>
      <c r="I449" s="1789"/>
      <c r="J449" s="1789"/>
      <c r="K449" s="1789"/>
      <c r="L449" s="1789"/>
      <c r="M449" s="1789"/>
      <c r="N449" s="1789"/>
      <c r="O449" s="1789"/>
      <c r="P449" s="1789"/>
      <c r="Q449" s="1789"/>
      <c r="R449" s="1789"/>
      <c r="S449" s="1789"/>
      <c r="T449" s="1789"/>
      <c r="U449" s="1789"/>
      <c r="V449" s="1789"/>
      <c r="W449" s="1789"/>
      <c r="X449" s="1789"/>
      <c r="Y449" s="1789"/>
      <c r="Z449" s="1789"/>
      <c r="AA449" s="1789"/>
      <c r="AB449" s="1789"/>
      <c r="AC449" s="1789"/>
      <c r="AD449" s="1789"/>
      <c r="AE449" s="1789"/>
      <c r="AF449" s="1790"/>
      <c r="AG449" s="1815">
        <f>AG441+AG445+AG447+AG448</f>
        <v>102261</v>
      </c>
      <c r="AH449" s="1815"/>
      <c r="AI449" s="1815"/>
      <c r="AJ449" s="1815"/>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791" t="s">
        <v>1349</v>
      </c>
      <c r="E450" s="1791"/>
      <c r="F450" s="1791"/>
      <c r="G450" s="1791"/>
      <c r="H450" s="1791"/>
      <c r="I450" s="1791"/>
      <c r="J450" s="1791"/>
      <c r="K450" s="1791"/>
      <c r="L450" s="1791"/>
      <c r="M450" s="1791"/>
      <c r="N450" s="1791"/>
      <c r="O450" s="1791"/>
      <c r="P450" s="1791"/>
      <c r="Q450" s="1791"/>
      <c r="R450" s="1791"/>
      <c r="S450" s="1791"/>
      <c r="T450" s="1791"/>
      <c r="U450" s="1791"/>
      <c r="V450" s="1791"/>
      <c r="W450" s="1791"/>
      <c r="X450" s="1791"/>
      <c r="Y450" s="1791"/>
      <c r="Z450" s="1791"/>
      <c r="AA450" s="1791"/>
      <c r="AB450" s="1791"/>
      <c r="AC450" s="1791"/>
      <c r="AD450" s="1791"/>
      <c r="AE450" s="1791"/>
      <c r="AF450" s="1791"/>
      <c r="AG450" s="1791"/>
      <c r="AH450" s="1791"/>
      <c r="AI450" s="1791"/>
      <c r="AJ450" s="179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792"/>
      <c r="E451" s="1792"/>
      <c r="F451" s="1792"/>
      <c r="G451" s="1792"/>
      <c r="H451" s="1792"/>
      <c r="I451" s="1792"/>
      <c r="J451" s="1792"/>
      <c r="K451" s="1792"/>
      <c r="L451" s="1792"/>
      <c r="M451" s="1792"/>
      <c r="N451" s="1792"/>
      <c r="O451" s="1792"/>
      <c r="P451" s="1792"/>
      <c r="Q451" s="1792"/>
      <c r="R451" s="1792"/>
      <c r="S451" s="1792"/>
      <c r="T451" s="1792"/>
      <c r="U451" s="1792"/>
      <c r="V451" s="1792"/>
      <c r="W451" s="1792"/>
      <c r="X451" s="1792"/>
      <c r="Y451" s="1792"/>
      <c r="Z451" s="1792"/>
      <c r="AA451" s="1792"/>
      <c r="AB451" s="1792"/>
      <c r="AC451" s="1792"/>
      <c r="AD451" s="1792"/>
      <c r="AE451" s="1792"/>
      <c r="AF451" s="1792"/>
      <c r="AG451" s="1792"/>
      <c r="AH451" s="1792"/>
      <c r="AI451" s="1792"/>
      <c r="AJ451" s="179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56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c r="AB452" s="186"/>
      <c r="AC452" s="186"/>
      <c r="AD452" s="186"/>
      <c r="AE452" s="186"/>
      <c r="AF452" s="186"/>
      <c r="AG452" s="186"/>
      <c r="AH452" s="186"/>
      <c r="AI452" s="186"/>
      <c r="AJ452" s="19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219" t="s">
        <v>840</v>
      </c>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796">
        <f>'Sources and Uses Budget'!B105/Application!AG436</f>
        <v>400237.45833333331</v>
      </c>
      <c r="AD453" s="1796"/>
      <c r="AE453" s="1796"/>
      <c r="AF453" s="1796"/>
      <c r="AG453" s="186"/>
      <c r="AH453" s="186"/>
      <c r="AI453" s="186"/>
      <c r="AJ453" s="192"/>
      <c r="AZ453" s="3"/>
      <c r="BA453" s="3" t="str">
        <f>N571</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841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796">
        <f>'Sources and Uses Budget'!C105/Application!AG436</f>
        <v>400237.45833333331</v>
      </c>
      <c r="AD454" s="1796"/>
      <c r="AE454" s="1796"/>
      <c r="AF454" s="1796"/>
      <c r="AG454" s="186"/>
      <c r="AH454" s="186"/>
      <c r="AI454" s="186"/>
      <c r="AJ454" s="192"/>
      <c r="AZ454" s="3"/>
      <c r="BA454" s="3" t="str">
        <f>AG571</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891</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796">
        <f>('Sources and Uses Budget'!$S$107+'Sources and Uses Budget'!$T$107)/Application!AG436</f>
        <v>373956.86309523811</v>
      </c>
      <c r="AD455" s="1796"/>
      <c r="AE455" s="1796"/>
      <c r="AF455" s="179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86"/>
      <c r="E456" s="186"/>
      <c r="F456" s="1794" t="str">
        <f>IFERROR(IF(AC453&gt;650000,"Please provide a justification of cost per unit in Tab 12 for all projects with per unit costs of greater than $650,000.",""),"")</f>
        <v/>
      </c>
      <c r="G456" s="1794"/>
      <c r="H456" s="1794"/>
      <c r="I456" s="1794"/>
      <c r="J456" s="1794"/>
      <c r="K456" s="1794"/>
      <c r="L456" s="1794"/>
      <c r="M456" s="1794"/>
      <c r="N456" s="1794"/>
      <c r="O456" s="1794"/>
      <c r="P456" s="1794"/>
      <c r="Q456" s="1794"/>
      <c r="R456" s="1794"/>
      <c r="S456" s="1794"/>
      <c r="T456" s="1794"/>
      <c r="U456" s="1794"/>
      <c r="V456" s="1794"/>
      <c r="W456" s="1794"/>
      <c r="X456" s="1794"/>
      <c r="Y456" s="1794"/>
      <c r="Z456" s="1794"/>
      <c r="AA456" s="1794"/>
      <c r="AB456" s="1794"/>
      <c r="AC456" s="550"/>
      <c r="AD456" s="186"/>
      <c r="AE456" s="186"/>
      <c r="AF456" s="18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A457" s="2"/>
      <c r="D457" s="2"/>
      <c r="E457" s="186"/>
      <c r="F457" s="1794"/>
      <c r="G457" s="1794"/>
      <c r="H457" s="1794"/>
      <c r="I457" s="1794"/>
      <c r="J457" s="1794"/>
      <c r="K457" s="1794"/>
      <c r="L457" s="1794"/>
      <c r="M457" s="1794"/>
      <c r="N457" s="1794"/>
      <c r="O457" s="1794"/>
      <c r="P457" s="1794"/>
      <c r="Q457" s="1794"/>
      <c r="R457" s="1794"/>
      <c r="S457" s="1794"/>
      <c r="T457" s="1794"/>
      <c r="U457" s="1794"/>
      <c r="V457" s="1794"/>
      <c r="W457" s="1794"/>
      <c r="X457" s="1794"/>
      <c r="Y457" s="1794"/>
      <c r="Z457" s="1794"/>
      <c r="AA457" s="1794"/>
      <c r="AB457" s="1794"/>
      <c r="AC457" s="186"/>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t="s">
        <v>622</v>
      </c>
      <c r="D458" s="2" t="s">
        <v>249</v>
      </c>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c r="AB458" s="186"/>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D459" s="193" t="s">
        <v>2141</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2142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2143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N579</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56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AG579</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A463" s="3"/>
      <c r="B463" s="3"/>
      <c r="C463" s="3"/>
      <c r="D463" s="194" t="s">
        <v>702</v>
      </c>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c r="AA463" s="193"/>
      <c r="AB463" s="193"/>
      <c r="AC463" s="193"/>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808" t="s">
        <v>2526</v>
      </c>
      <c r="E464" s="1776"/>
      <c r="F464" s="1776"/>
      <c r="G464" s="1776"/>
      <c r="H464" s="1776"/>
      <c r="I464" s="1776"/>
      <c r="J464" s="1776"/>
      <c r="K464" s="1776"/>
      <c r="L464" s="1776"/>
      <c r="M464" s="1776"/>
      <c r="N464" s="1776"/>
      <c r="O464" s="1776"/>
      <c r="P464" s="1776"/>
      <c r="Q464" s="1776"/>
      <c r="R464" s="1776"/>
      <c r="S464" s="1776"/>
      <c r="T464" s="1776"/>
      <c r="U464" s="1776"/>
      <c r="V464" s="1777"/>
      <c r="W464" s="1649">
        <v>0</v>
      </c>
      <c r="X464" s="1650"/>
      <c r="Y464" s="1651"/>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775" t="s">
        <v>703</v>
      </c>
      <c r="E465" s="1776"/>
      <c r="F465" s="1776"/>
      <c r="G465" s="1776"/>
      <c r="H465" s="1776"/>
      <c r="I465" s="1776"/>
      <c r="J465" s="1776"/>
      <c r="K465" s="1776"/>
      <c r="L465" s="1776"/>
      <c r="M465" s="1776"/>
      <c r="N465" s="1776"/>
      <c r="O465" s="1776"/>
      <c r="P465" s="1776"/>
      <c r="Q465" s="1776"/>
      <c r="R465" s="1776"/>
      <c r="S465" s="1776"/>
      <c r="T465" s="1776"/>
      <c r="U465" s="1776"/>
      <c r="V465" s="1777"/>
      <c r="W465" s="1649">
        <v>0</v>
      </c>
      <c r="X465" s="1650"/>
      <c r="Y465" s="1651"/>
      <c r="Z465" s="193"/>
      <c r="AA465" s="193"/>
      <c r="AB465" s="193"/>
      <c r="AC465" s="193"/>
      <c r="AD465" s="186"/>
      <c r="AE465" s="186"/>
      <c r="AF465" s="186"/>
      <c r="AG465" s="186"/>
      <c r="AH465" s="186"/>
      <c r="AI465" s="186"/>
      <c r="AJ465" s="192"/>
      <c r="AZ465" s="3"/>
      <c r="BA465" s="3"/>
      <c r="BB465" s="3"/>
      <c r="BC465" s="3"/>
      <c r="BD465" s="3"/>
      <c r="BE465" s="3"/>
      <c r="BF465" s="3"/>
      <c r="BG465" s="3"/>
      <c r="BH465" s="3"/>
      <c r="BI465" s="931"/>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5" t="s">
        <v>704</v>
      </c>
      <c r="E466" s="1776"/>
      <c r="F466" s="1776"/>
      <c r="G466" s="1776"/>
      <c r="H466" s="1776"/>
      <c r="I466" s="1776"/>
      <c r="J466" s="1776"/>
      <c r="K466" s="1776"/>
      <c r="L466" s="1776"/>
      <c r="M466" s="1776"/>
      <c r="N466" s="1776"/>
      <c r="O466" s="1776"/>
      <c r="P466" s="1776"/>
      <c r="Q466" s="1776"/>
      <c r="R466" s="1776"/>
      <c r="S466" s="1776"/>
      <c r="T466" s="1776"/>
      <c r="U466" s="1776"/>
      <c r="V466" s="1777"/>
      <c r="W466" s="1649">
        <v>0</v>
      </c>
      <c r="X466" s="1650"/>
      <c r="Y466" s="16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5" t="s">
        <v>705</v>
      </c>
      <c r="E467" s="1776"/>
      <c r="F467" s="1776"/>
      <c r="G467" s="1776"/>
      <c r="H467" s="1776"/>
      <c r="I467" s="1776"/>
      <c r="J467" s="1776"/>
      <c r="K467" s="1776"/>
      <c r="L467" s="1776"/>
      <c r="M467" s="1776"/>
      <c r="N467" s="1776"/>
      <c r="O467" s="1776"/>
      <c r="P467" s="1776"/>
      <c r="Q467" s="1776"/>
      <c r="R467" s="1776"/>
      <c r="S467" s="1776"/>
      <c r="T467" s="1776"/>
      <c r="U467" s="1776"/>
      <c r="V467" s="1777"/>
      <c r="W467" s="1649">
        <v>0</v>
      </c>
      <c r="X467" s="1650"/>
      <c r="Y467" s="16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5" t="s">
        <v>910</v>
      </c>
      <c r="E468" s="1776"/>
      <c r="F468" s="1776"/>
      <c r="G468" s="1776"/>
      <c r="H468" s="1776"/>
      <c r="I468" s="1776"/>
      <c r="J468" s="1776"/>
      <c r="K468" s="1776"/>
      <c r="L468" s="1776"/>
      <c r="M468" s="1776"/>
      <c r="N468" s="1776"/>
      <c r="O468" s="1776"/>
      <c r="P468" s="1776"/>
      <c r="Q468" s="1776"/>
      <c r="R468" s="1776"/>
      <c r="S468" s="1776"/>
      <c r="T468" s="1776"/>
      <c r="U468" s="1776"/>
      <c r="V468" s="1777"/>
      <c r="W468" s="1649">
        <v>0</v>
      </c>
      <c r="X468" s="1650"/>
      <c r="Y468" s="16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5" t="s">
        <v>706</v>
      </c>
      <c r="E469" s="1776"/>
      <c r="F469" s="1776"/>
      <c r="G469" s="1776"/>
      <c r="H469" s="1776"/>
      <c r="I469" s="1776"/>
      <c r="J469" s="1776"/>
      <c r="K469" s="1776"/>
      <c r="L469" s="1776"/>
      <c r="M469" s="1776"/>
      <c r="N469" s="1776"/>
      <c r="O469" s="1776"/>
      <c r="P469" s="1776"/>
      <c r="Q469" s="1776"/>
      <c r="R469" s="1776"/>
      <c r="S469" s="1776"/>
      <c r="T469" s="1776"/>
      <c r="U469" s="1776"/>
      <c r="V469" s="1777"/>
      <c r="W469" s="1649">
        <v>0</v>
      </c>
      <c r="X469" s="1650"/>
      <c r="Y469" s="1651"/>
      <c r="Z469" s="193"/>
      <c r="AA469" s="193"/>
      <c r="AB469" s="193"/>
      <c r="AC469" s="193"/>
      <c r="AD469" s="186"/>
      <c r="AE469" s="186"/>
      <c r="AF469" s="186"/>
      <c r="AG469" s="186"/>
      <c r="AH469" s="186"/>
      <c r="AI469" s="186"/>
      <c r="AJ469" s="192"/>
      <c r="AZ469" s="3"/>
      <c r="BA469" s="3" t="str">
        <f>N587</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5" t="s">
        <v>1069</v>
      </c>
      <c r="E470" s="1776"/>
      <c r="F470" s="1776"/>
      <c r="G470" s="1776"/>
      <c r="H470" s="1776"/>
      <c r="I470" s="1776"/>
      <c r="J470" s="1776"/>
      <c r="K470" s="1776"/>
      <c r="L470" s="1776"/>
      <c r="M470" s="1776"/>
      <c r="N470" s="1776"/>
      <c r="O470" s="1776"/>
      <c r="P470" s="1776"/>
      <c r="Q470" s="1776"/>
      <c r="R470" s="1776"/>
      <c r="S470" s="1776"/>
      <c r="T470" s="1776"/>
      <c r="U470" s="1776"/>
      <c r="V470" s="1777"/>
      <c r="W470" s="1649">
        <v>0</v>
      </c>
      <c r="X470" s="1650"/>
      <c r="Y470" s="1651"/>
      <c r="Z470" s="193"/>
      <c r="AA470" s="193"/>
      <c r="AB470" s="193"/>
      <c r="AC470" s="193"/>
      <c r="AD470" s="186"/>
      <c r="AE470" s="186"/>
      <c r="AF470" s="186"/>
      <c r="AG470" s="186"/>
      <c r="AH470" s="186"/>
      <c r="AI470" s="186"/>
      <c r="AJ470" s="192"/>
      <c r="AZ470" s="3"/>
      <c r="BA470" s="3" t="str">
        <f>AG587</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808" t="s">
        <v>1834</v>
      </c>
      <c r="E471" s="1776"/>
      <c r="F471" s="1776"/>
      <c r="G471" s="1776"/>
      <c r="H471" s="1776"/>
      <c r="I471" s="1776"/>
      <c r="J471" s="1776"/>
      <c r="K471" s="1776"/>
      <c r="L471" s="1776"/>
      <c r="M471" s="1776"/>
      <c r="N471" s="1776"/>
      <c r="O471" s="1776"/>
      <c r="P471" s="1776"/>
      <c r="Q471" s="1776"/>
      <c r="R471" s="1776"/>
      <c r="S471" s="1776"/>
      <c r="T471" s="1776"/>
      <c r="U471" s="1776"/>
      <c r="V471" s="1777"/>
      <c r="W471" s="1649">
        <v>26</v>
      </c>
      <c r="X471" s="1650"/>
      <c r="Y471" s="16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261" t="s">
        <v>170</v>
      </c>
      <c r="E472" s="262"/>
      <c r="F472" s="263"/>
      <c r="G472" s="1811"/>
      <c r="H472" s="1812"/>
      <c r="I472" s="1812"/>
      <c r="J472" s="1812"/>
      <c r="K472" s="1812"/>
      <c r="L472" s="1812"/>
      <c r="M472" s="1812"/>
      <c r="N472" s="1812"/>
      <c r="O472" s="1812"/>
      <c r="P472" s="1812"/>
      <c r="Q472" s="1812"/>
      <c r="R472" s="1812"/>
      <c r="S472" s="1812"/>
      <c r="T472" s="1812"/>
      <c r="U472" s="1812"/>
      <c r="V472" s="1813"/>
      <c r="W472" s="1649">
        <v>0</v>
      </c>
      <c r="X472" s="1650"/>
      <c r="Y472" s="16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264" t="s">
        <v>911</v>
      </c>
      <c r="E473" s="265"/>
      <c r="F473" s="265"/>
      <c r="G473" s="194"/>
      <c r="H473" s="194"/>
      <c r="I473" s="194"/>
      <c r="J473" s="194"/>
      <c r="K473" s="194"/>
      <c r="L473" s="194"/>
      <c r="M473" s="194"/>
      <c r="N473" s="194"/>
      <c r="O473" s="194"/>
      <c r="P473" s="194"/>
      <c r="Q473" s="194"/>
      <c r="R473" s="194"/>
      <c r="S473" s="194"/>
      <c r="T473" s="194"/>
      <c r="U473" s="194"/>
      <c r="V473" s="194"/>
      <c r="W473" s="266"/>
      <c r="X473" s="266"/>
      <c r="Y473" s="26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8"/>
      <c r="E474" s="269"/>
      <c r="F474" s="269"/>
      <c r="G474" s="269"/>
      <c r="H474" s="269"/>
      <c r="I474" s="269"/>
      <c r="J474" s="269"/>
      <c r="K474" s="269"/>
      <c r="L474" s="269"/>
      <c r="M474" s="269"/>
      <c r="N474" s="269"/>
      <c r="O474" s="269"/>
      <c r="P474" s="269"/>
      <c r="Q474" s="269"/>
      <c r="R474" s="269"/>
      <c r="S474" s="269"/>
      <c r="T474" s="269"/>
      <c r="U474" s="269"/>
      <c r="V474" s="269"/>
      <c r="W474" s="270"/>
      <c r="X474" s="270"/>
      <c r="Y474" s="27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8"/>
      <c r="E475" s="269"/>
      <c r="F475" s="269"/>
      <c r="G475" s="269"/>
      <c r="H475" s="269"/>
      <c r="I475" s="269"/>
      <c r="J475" s="269"/>
      <c r="K475" s="269"/>
      <c r="L475" s="269"/>
      <c r="M475" s="269"/>
      <c r="N475" s="269"/>
      <c r="O475" s="269"/>
      <c r="P475" s="269"/>
      <c r="Q475" s="269"/>
      <c r="R475" s="269"/>
      <c r="S475" s="269"/>
      <c r="T475" s="269"/>
      <c r="U475" s="269"/>
      <c r="V475" s="269"/>
      <c r="W475" s="270"/>
      <c r="X475" s="270"/>
      <c r="Y475" s="271"/>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Z477" s="3"/>
      <c r="BA477" s="3" t="str">
        <f>N595</f>
        <v>No</v>
      </c>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1641" t="s">
        <v>835</v>
      </c>
      <c r="B478" s="1641"/>
      <c r="C478" s="1641"/>
      <c r="D478" s="1641"/>
      <c r="E478" s="1641"/>
      <c r="F478" s="1641"/>
      <c r="G478" s="1641"/>
      <c r="H478" s="1641"/>
      <c r="I478" s="1641"/>
      <c r="J478" s="1641"/>
      <c r="K478" s="1641"/>
      <c r="L478" s="1641"/>
      <c r="M478" s="1641"/>
      <c r="N478" s="1641"/>
      <c r="O478" s="1641"/>
      <c r="P478" s="1641"/>
      <c r="Q478" s="1641"/>
      <c r="R478" s="1641"/>
      <c r="S478" s="1641"/>
      <c r="T478" s="1641"/>
      <c r="U478" s="1641"/>
      <c r="V478" s="1641"/>
      <c r="W478" s="1641"/>
      <c r="X478" s="1641"/>
      <c r="Y478" s="1641"/>
      <c r="Z478" s="1641"/>
      <c r="AA478" s="1641"/>
      <c r="AB478" s="1641"/>
      <c r="AC478" s="1641"/>
      <c r="AD478" s="1641"/>
      <c r="AE478" s="1641"/>
      <c r="AF478" s="1641"/>
      <c r="AG478" s="1641"/>
      <c r="AH478" s="1641"/>
      <c r="AI478" s="1641"/>
      <c r="AJ478" s="1641"/>
      <c r="AK478" s="1641"/>
      <c r="AL478" s="1641"/>
      <c r="AM478" s="95"/>
      <c r="AN478" s="95"/>
      <c r="AO478" s="95"/>
      <c r="AP478" s="95"/>
      <c r="AQ478" s="95"/>
      <c r="AR478" s="95"/>
      <c r="AS478" s="95"/>
      <c r="AT478" s="95"/>
      <c r="AU478" s="95"/>
      <c r="AV478" s="95"/>
      <c r="AW478" s="95"/>
      <c r="AX478" s="95"/>
      <c r="AY478" s="95"/>
      <c r="AZ478" s="3"/>
      <c r="BA478" s="3" t="str">
        <f>AG595</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thickBot="1">
      <c r="A479" s="1642"/>
      <c r="B479" s="1642"/>
      <c r="C479" s="1642"/>
      <c r="D479" s="1642"/>
      <c r="E479" s="1642"/>
      <c r="F479" s="1642"/>
      <c r="G479" s="1642"/>
      <c r="H479" s="1642"/>
      <c r="I479" s="1642"/>
      <c r="J479" s="1642"/>
      <c r="K479" s="1642"/>
      <c r="L479" s="1642"/>
      <c r="M479" s="1642"/>
      <c r="N479" s="1642"/>
      <c r="O479" s="1642"/>
      <c r="P479" s="1642"/>
      <c r="Q479" s="1642"/>
      <c r="R479" s="1642"/>
      <c r="S479" s="1642"/>
      <c r="T479" s="1642"/>
      <c r="U479" s="1642"/>
      <c r="V479" s="1642"/>
      <c r="W479" s="1642"/>
      <c r="X479" s="1642"/>
      <c r="Y479" s="1642"/>
      <c r="Z479" s="1642"/>
      <c r="AA479" s="1642"/>
      <c r="AB479" s="1642"/>
      <c r="AC479" s="1642"/>
      <c r="AD479" s="1642"/>
      <c r="AE479" s="1642"/>
      <c r="AF479" s="1642"/>
      <c r="AG479" s="1642"/>
      <c r="AH479" s="1642"/>
      <c r="AI479" s="1642"/>
      <c r="AJ479" s="1642"/>
      <c r="AK479" s="1642"/>
      <c r="AL479" s="1642"/>
      <c r="AM479" s="95"/>
      <c r="AN479" s="95"/>
      <c r="AO479" s="95"/>
      <c r="AP479" s="95"/>
      <c r="AQ479" s="95"/>
      <c r="AR479" s="95"/>
      <c r="AS479" s="95"/>
      <c r="AT479" s="95"/>
      <c r="AU479" s="95"/>
      <c r="AV479" s="95"/>
      <c r="AW479" s="95"/>
      <c r="AX479" s="95"/>
      <c r="AY479" s="95"/>
      <c r="AZ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thickTop="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2" t="s">
        <v>320</v>
      </c>
      <c r="C481" s="2" t="s">
        <v>833</v>
      </c>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B483" s="45"/>
      <c r="C483" s="5"/>
      <c r="D483" s="5"/>
      <c r="E483" s="5"/>
      <c r="F483" s="5"/>
      <c r="G483" s="5"/>
      <c r="H483" s="5"/>
      <c r="I483" s="5"/>
      <c r="J483" s="5"/>
      <c r="K483" s="5"/>
      <c r="L483" s="5"/>
      <c r="M483" s="5"/>
      <c r="N483" s="5"/>
      <c r="O483" s="5"/>
      <c r="P483" s="46"/>
      <c r="Q483" s="1783" t="s">
        <v>394</v>
      </c>
      <c r="R483" s="1784"/>
      <c r="S483" s="1784"/>
      <c r="T483" s="1784"/>
      <c r="U483" s="1784"/>
      <c r="V483" s="1784"/>
      <c r="W483" s="1784"/>
      <c r="X483" s="1784"/>
      <c r="Y483" s="1784"/>
      <c r="Z483" s="1784"/>
      <c r="AA483" s="1784"/>
      <c r="AB483" s="1784"/>
      <c r="AC483" s="1784"/>
      <c r="AD483" s="1784"/>
      <c r="AE483" s="1784"/>
      <c r="AF483" s="1784"/>
      <c r="AG483" s="1784"/>
      <c r="AH483" s="1784"/>
      <c r="AI483" s="1784"/>
      <c r="AJ483" s="1784"/>
      <c r="AK483" s="1785"/>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B484" s="45" t="s">
        <v>395</v>
      </c>
      <c r="C484" s="5"/>
      <c r="D484" s="5"/>
      <c r="E484" s="5"/>
      <c r="F484" s="5"/>
      <c r="G484" s="5"/>
      <c r="H484" s="5"/>
      <c r="I484" s="5"/>
      <c r="J484" s="5"/>
      <c r="K484" s="5"/>
      <c r="L484" s="5"/>
      <c r="M484" s="5"/>
      <c r="N484" s="5"/>
      <c r="O484" s="5"/>
      <c r="P484" s="5"/>
      <c r="Q484" s="1675" t="s">
        <v>2698</v>
      </c>
      <c r="R484" s="1359"/>
      <c r="S484" s="1359"/>
      <c r="T484" s="1359"/>
      <c r="U484" s="1359"/>
      <c r="V484" s="1359"/>
      <c r="W484" s="1359"/>
      <c r="X484" s="1359"/>
      <c r="Y484" s="1359"/>
      <c r="Z484" s="1359"/>
      <c r="AA484" s="1359"/>
      <c r="AB484" s="1359"/>
      <c r="AC484" s="1359"/>
      <c r="AD484" s="1359"/>
      <c r="AE484" s="1359"/>
      <c r="AF484" s="1359"/>
      <c r="AG484" s="1359"/>
      <c r="AH484" s="1359"/>
      <c r="AI484" s="1359"/>
      <c r="AJ484" s="1359"/>
      <c r="AK484" s="1676"/>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t="s">
        <v>396</v>
      </c>
      <c r="C485" s="5"/>
      <c r="D485" s="5"/>
      <c r="E485" s="5"/>
      <c r="F485" s="5"/>
      <c r="G485" s="5"/>
      <c r="H485" s="5"/>
      <c r="I485" s="5"/>
      <c r="J485" s="5"/>
      <c r="K485" s="5"/>
      <c r="L485" s="5"/>
      <c r="M485" s="5"/>
      <c r="N485" s="5"/>
      <c r="O485" s="5"/>
      <c r="P485" s="5"/>
      <c r="Q485" s="1626" t="s">
        <v>2733</v>
      </c>
      <c r="R485" s="1359"/>
      <c r="S485" s="1359"/>
      <c r="T485" s="1359"/>
      <c r="U485" s="1359"/>
      <c r="V485" s="1359"/>
      <c r="W485" s="1359"/>
      <c r="X485" s="1359"/>
      <c r="Y485" s="1359"/>
      <c r="Z485" s="1359"/>
      <c r="AA485" s="1359"/>
      <c r="AB485" s="1359"/>
      <c r="AC485" s="1359"/>
      <c r="AD485" s="1359"/>
      <c r="AE485" s="1359"/>
      <c r="AF485" s="1359"/>
      <c r="AG485" s="1359"/>
      <c r="AH485" s="1359"/>
      <c r="AI485" s="1359"/>
      <c r="AJ485" s="1359"/>
      <c r="AK485" s="167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397</v>
      </c>
      <c r="C486" s="5"/>
      <c r="D486" s="5"/>
      <c r="E486" s="5"/>
      <c r="F486" s="5"/>
      <c r="G486" s="5"/>
      <c r="H486" s="5"/>
      <c r="I486" s="5"/>
      <c r="J486" s="5"/>
      <c r="K486" s="5"/>
      <c r="L486" s="5"/>
      <c r="M486" s="5"/>
      <c r="N486" s="5"/>
      <c r="O486" s="5"/>
      <c r="P486" s="5"/>
      <c r="Q486" s="1626" t="s">
        <v>600</v>
      </c>
      <c r="R486" s="1359"/>
      <c r="S486" s="1359"/>
      <c r="T486" s="1359"/>
      <c r="U486" s="1359"/>
      <c r="V486" s="1359"/>
      <c r="W486" s="1359"/>
      <c r="X486" s="1359"/>
      <c r="Y486" s="1359"/>
      <c r="Z486" s="1359"/>
      <c r="AA486" s="1359"/>
      <c r="AB486" s="1359"/>
      <c r="AC486" s="1359"/>
      <c r="AD486" s="1359"/>
      <c r="AE486" s="1359"/>
      <c r="AF486" s="1359"/>
      <c r="AG486" s="1359"/>
      <c r="AH486" s="1359"/>
      <c r="AI486" s="1359"/>
      <c r="AJ486" s="1359"/>
      <c r="AK486" s="1676"/>
      <c r="AZ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1832" t="s">
        <v>398</v>
      </c>
      <c r="C487" s="1833"/>
      <c r="D487" s="1833"/>
      <c r="E487" s="1833"/>
      <c r="F487" s="1833"/>
      <c r="G487" s="1833"/>
      <c r="H487" s="1833"/>
      <c r="I487" s="1833"/>
      <c r="J487" s="1833"/>
      <c r="K487" s="1833"/>
      <c r="L487" s="1833"/>
      <c r="M487" s="1833"/>
      <c r="N487" s="1833"/>
      <c r="O487" s="1833"/>
      <c r="P487" s="1834"/>
      <c r="Q487" s="1838" t="s">
        <v>554</v>
      </c>
      <c r="R487" s="1839"/>
      <c r="S487" s="1592" t="s">
        <v>2734</v>
      </c>
      <c r="T487" s="1593"/>
      <c r="U487" s="1593"/>
      <c r="V487" s="1593"/>
      <c r="W487" s="1593"/>
      <c r="X487" s="1593"/>
      <c r="Y487" s="1593"/>
      <c r="Z487" s="1593"/>
      <c r="AA487" s="1593"/>
      <c r="AB487" s="1593"/>
      <c r="AC487" s="1593"/>
      <c r="AD487" s="1593"/>
      <c r="AE487" s="1593"/>
      <c r="AF487" s="1593"/>
      <c r="AG487" s="1593"/>
      <c r="AH487" s="1593"/>
      <c r="AI487" s="1593"/>
      <c r="AJ487" s="1593"/>
      <c r="AK487" s="1594"/>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1835"/>
      <c r="C488" s="1836"/>
      <c r="D488" s="1836"/>
      <c r="E488" s="1836"/>
      <c r="F488" s="1836"/>
      <c r="G488" s="1836"/>
      <c r="H488" s="1836"/>
      <c r="I488" s="1836"/>
      <c r="J488" s="1836"/>
      <c r="K488" s="1836"/>
      <c r="L488" s="1836"/>
      <c r="M488" s="1836"/>
      <c r="N488" s="1836"/>
      <c r="O488" s="1836"/>
      <c r="P488" s="1837"/>
      <c r="Q488" s="1840"/>
      <c r="R488" s="1841"/>
      <c r="S488" s="1595"/>
      <c r="T488" s="1596"/>
      <c r="U488" s="1596"/>
      <c r="V488" s="1596"/>
      <c r="W488" s="1596"/>
      <c r="X488" s="1596"/>
      <c r="Y488" s="1596"/>
      <c r="Z488" s="1596"/>
      <c r="AA488" s="1596"/>
      <c r="AB488" s="1596"/>
      <c r="AC488" s="1596"/>
      <c r="AD488" s="1596"/>
      <c r="AE488" s="1596"/>
      <c r="AF488" s="1596"/>
      <c r="AG488" s="1596"/>
      <c r="AH488" s="1596"/>
      <c r="AI488" s="1596"/>
      <c r="AJ488" s="1596"/>
      <c r="AK488" s="1597"/>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c r="B489" s="932" t="s">
        <v>1852</v>
      </c>
      <c r="C489" s="909"/>
      <c r="D489" s="909"/>
      <c r="E489" s="909"/>
      <c r="F489" s="909"/>
      <c r="G489" s="909"/>
      <c r="H489" s="909"/>
      <c r="I489" s="909"/>
      <c r="J489" s="909"/>
      <c r="K489" s="909"/>
      <c r="L489" s="909"/>
      <c r="M489" s="909"/>
      <c r="N489" s="909"/>
      <c r="O489" s="909"/>
      <c r="P489" s="909"/>
      <c r="Q489" s="1824" t="s">
        <v>678</v>
      </c>
      <c r="R489" s="1825"/>
      <c r="S489" s="1825"/>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45" t="s">
        <v>399</v>
      </c>
      <c r="C490" s="5"/>
      <c r="D490" s="5"/>
      <c r="E490" s="5"/>
      <c r="F490" s="5"/>
      <c r="G490" s="5"/>
      <c r="H490" s="5"/>
      <c r="I490" s="5"/>
      <c r="J490" s="5"/>
      <c r="K490" s="5"/>
      <c r="L490" s="5"/>
      <c r="M490" s="5"/>
      <c r="N490" s="5"/>
      <c r="O490" s="5"/>
      <c r="P490" s="5"/>
      <c r="Q490" s="1675" t="s">
        <v>2735</v>
      </c>
      <c r="R490" s="1359"/>
      <c r="S490" s="1359"/>
      <c r="T490" s="1359"/>
      <c r="U490" s="1359"/>
      <c r="V490" s="1359"/>
      <c r="W490" s="1359"/>
      <c r="X490" s="1359"/>
      <c r="Y490" s="1359"/>
      <c r="Z490" s="1359"/>
      <c r="AA490" s="1359"/>
      <c r="AB490" s="1359"/>
      <c r="AC490" s="1359"/>
      <c r="AD490" s="1359"/>
      <c r="AE490" s="1359"/>
      <c r="AF490" s="1359"/>
      <c r="AG490" s="1359"/>
      <c r="AH490" s="1359"/>
      <c r="AI490" s="1359"/>
      <c r="AJ490" s="1359"/>
      <c r="AK490" s="1676"/>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45" t="s">
        <v>400</v>
      </c>
      <c r="C491" s="5"/>
      <c r="D491" s="5"/>
      <c r="E491" s="5"/>
      <c r="F491" s="5"/>
      <c r="G491" s="5"/>
      <c r="H491" s="5"/>
      <c r="I491" s="5"/>
      <c r="J491" s="5"/>
      <c r="K491" s="5"/>
      <c r="L491" s="5"/>
      <c r="M491" s="5"/>
      <c r="N491" s="5"/>
      <c r="O491" s="5"/>
      <c r="P491" s="5"/>
      <c r="Q491" s="1626" t="s">
        <v>2736</v>
      </c>
      <c r="R491" s="1359"/>
      <c r="S491" s="1359"/>
      <c r="T491" s="1359"/>
      <c r="U491" s="1359"/>
      <c r="V491" s="1359"/>
      <c r="W491" s="1359"/>
      <c r="X491" s="1359"/>
      <c r="Y491" s="1359"/>
      <c r="Z491" s="1359"/>
      <c r="AA491" s="1359"/>
      <c r="AB491" s="1359"/>
      <c r="AC491" s="1359"/>
      <c r="AD491" s="1359"/>
      <c r="AE491" s="1359"/>
      <c r="AF491" s="1359"/>
      <c r="AG491" s="1359"/>
      <c r="AH491" s="1359"/>
      <c r="AI491" s="1359"/>
      <c r="AJ491" s="1359"/>
      <c r="AK491" s="1676"/>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121" t="s">
        <v>1849</v>
      </c>
      <c r="C492" s="5"/>
      <c r="D492" s="5"/>
      <c r="E492" s="5"/>
      <c r="F492" s="5"/>
      <c r="G492" s="5"/>
      <c r="H492" s="5"/>
      <c r="I492" s="5"/>
      <c r="J492" s="5"/>
      <c r="K492" s="5"/>
      <c r="L492" s="5"/>
      <c r="M492" s="5"/>
      <c r="N492" s="5"/>
      <c r="O492" s="5"/>
      <c r="P492" s="5"/>
      <c r="Q492" s="1675">
        <v>300</v>
      </c>
      <c r="R492" s="1359"/>
      <c r="S492" s="1359"/>
      <c r="T492" s="1359"/>
      <c r="U492" s="1359"/>
      <c r="V492" s="1359"/>
      <c r="W492" s="1359"/>
      <c r="X492" s="1359"/>
      <c r="Y492" s="1359"/>
      <c r="Z492" s="1359"/>
      <c r="AA492" s="1359"/>
      <c r="AB492" s="1359"/>
      <c r="AC492" s="1359"/>
      <c r="AD492" s="1359"/>
      <c r="AE492" s="1359"/>
      <c r="AF492" s="1359"/>
      <c r="AG492" s="1359"/>
      <c r="AH492" s="1359"/>
      <c r="AI492" s="1359"/>
      <c r="AJ492" s="1359"/>
      <c r="AK492" s="1676"/>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121" t="s">
        <v>1850</v>
      </c>
      <c r="C493" s="5"/>
      <c r="D493" s="5"/>
      <c r="E493" s="5"/>
      <c r="F493" s="5"/>
      <c r="G493" s="5"/>
      <c r="H493" s="5"/>
      <c r="I493" s="5"/>
      <c r="J493" s="5"/>
      <c r="K493" s="5"/>
      <c r="L493" s="5"/>
      <c r="M493" s="1429"/>
      <c r="N493" s="1430"/>
      <c r="O493" s="1430"/>
      <c r="P493" s="1431"/>
      <c r="Q493" s="121" t="s">
        <v>1851</v>
      </c>
      <c r="R493" s="5"/>
      <c r="S493" s="5"/>
      <c r="T493" s="5"/>
      <c r="U493" s="5"/>
      <c r="V493" s="5"/>
      <c r="W493" s="5"/>
      <c r="X493" s="5"/>
      <c r="Y493" s="5"/>
      <c r="Z493" s="5"/>
      <c r="AA493" s="5"/>
      <c r="AB493" s="5"/>
      <c r="AC493" s="5"/>
      <c r="AD493" s="5"/>
      <c r="AE493" s="5"/>
      <c r="AF493" s="5"/>
      <c r="AG493" s="5"/>
      <c r="AH493" s="1429">
        <v>300</v>
      </c>
      <c r="AI493" s="1430"/>
      <c r="AJ493" s="1430"/>
      <c r="AK493" s="1431"/>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547"/>
      <c r="Q494" s="8"/>
      <c r="R494" s="8"/>
      <c r="S494" s="8"/>
      <c r="T494" s="8"/>
      <c r="U494" s="8"/>
      <c r="V494" s="8"/>
      <c r="W494" s="8"/>
      <c r="X494" s="8"/>
      <c r="Y494" s="8"/>
      <c r="Z494" s="8"/>
      <c r="AA494" s="8"/>
      <c r="AB494" s="8"/>
      <c r="AC494" s="8"/>
      <c r="AD494" s="8"/>
      <c r="AE494" s="8"/>
      <c r="AF494" s="8"/>
      <c r="AG494" s="8"/>
      <c r="AH494" s="8"/>
      <c r="AI494" s="8"/>
      <c r="AJ494" s="8"/>
      <c r="AK494" s="8"/>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A495" s="2" t="s">
        <v>585</v>
      </c>
      <c r="C495" s="2" t="s">
        <v>401</v>
      </c>
      <c r="Q495" s="8"/>
      <c r="R495" s="8"/>
      <c r="S495" s="8"/>
      <c r="T495" s="8"/>
      <c r="U495" s="8"/>
      <c r="V495" s="8"/>
      <c r="W495" s="8"/>
      <c r="X495" s="8"/>
      <c r="Y495" s="8"/>
      <c r="Z495" s="8"/>
      <c r="AA495" s="8"/>
      <c r="AB495" s="8"/>
      <c r="AC495" s="8"/>
      <c r="AD495" s="8"/>
      <c r="AE495" s="8"/>
      <c r="AF495" s="8"/>
      <c r="AG495" s="8"/>
      <c r="AH495" s="8"/>
      <c r="AI495" s="8"/>
      <c r="AJ495" s="8"/>
      <c r="AK495" s="8"/>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63"/>
      <c r="C496" s="54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2:110" ht="12.95" customHeight="1">
      <c r="B497" s="41"/>
      <c r="C497" s="42"/>
      <c r="D497" s="115"/>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58"/>
      <c r="AC497" s="1783" t="s">
        <v>402</v>
      </c>
      <c r="AD497" s="1784"/>
      <c r="AE497" s="1784"/>
      <c r="AF497" s="1784"/>
      <c r="AG497" s="1784"/>
      <c r="AH497" s="1784"/>
      <c r="AI497" s="1784"/>
      <c r="AJ497" s="1784"/>
      <c r="AK497" s="1785"/>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2:110" ht="12.95" customHeight="1">
      <c r="B498" s="47"/>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9"/>
      <c r="AC498" s="1783" t="s">
        <v>403</v>
      </c>
      <c r="AD498" s="1784"/>
      <c r="AE498" s="1784"/>
      <c r="AF498" s="1784"/>
      <c r="AG498" s="50" t="s">
        <v>404</v>
      </c>
      <c r="AH498" s="1784" t="s">
        <v>405</v>
      </c>
      <c r="AI498" s="1784"/>
      <c r="AJ498" s="1784"/>
      <c r="AK498" s="1785"/>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2:110" ht="12.95" customHeight="1">
      <c r="B499" s="1730" t="s">
        <v>406</v>
      </c>
      <c r="C499" s="1371"/>
      <c r="D499" s="1371"/>
      <c r="E499" s="1371"/>
      <c r="F499" s="1371"/>
      <c r="G499" s="1371"/>
      <c r="H499" s="1372"/>
      <c r="I499" s="42" t="s">
        <v>407</v>
      </c>
      <c r="J499" s="42"/>
      <c r="K499" s="42"/>
      <c r="L499" s="42"/>
      <c r="M499" s="42"/>
      <c r="N499" s="42"/>
      <c r="O499" s="42"/>
      <c r="P499" s="42"/>
      <c r="Q499" s="42"/>
      <c r="R499" s="42"/>
      <c r="S499" s="42"/>
      <c r="T499" s="42"/>
      <c r="U499" s="42"/>
      <c r="V499" s="42"/>
      <c r="W499" s="42"/>
      <c r="AC499" s="1779">
        <v>7</v>
      </c>
      <c r="AD499" s="1728"/>
      <c r="AE499" s="1728"/>
      <c r="AF499" s="1728"/>
      <c r="AG499" s="13" t="s">
        <v>404</v>
      </c>
      <c r="AH499" s="1517">
        <v>2022</v>
      </c>
      <c r="AI499" s="1517"/>
      <c r="AJ499" s="1517"/>
      <c r="AK499" s="1518"/>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2:110" ht="12.95" customHeight="1">
      <c r="B500" s="1731"/>
      <c r="C500" s="1373"/>
      <c r="D500" s="1373"/>
      <c r="E500" s="1373"/>
      <c r="F500" s="1373"/>
      <c r="G500" s="1373"/>
      <c r="H500" s="1374"/>
      <c r="I500" s="48" t="s">
        <v>408</v>
      </c>
      <c r="J500" s="48"/>
      <c r="K500" s="48"/>
      <c r="L500" s="48"/>
      <c r="M500" s="48"/>
      <c r="N500" s="48"/>
      <c r="O500" s="48"/>
      <c r="P500" s="48"/>
      <c r="Q500" s="48"/>
      <c r="R500" s="48"/>
      <c r="S500" s="48"/>
      <c r="T500" s="48"/>
      <c r="U500" s="48"/>
      <c r="V500" s="48"/>
      <c r="W500" s="48"/>
      <c r="X500" s="48"/>
      <c r="Y500" s="48"/>
      <c r="Z500" s="48"/>
      <c r="AA500" s="48"/>
      <c r="AB500" s="48"/>
      <c r="AC500" s="1779">
        <v>4</v>
      </c>
      <c r="AD500" s="1728"/>
      <c r="AE500" s="1728"/>
      <c r="AF500" s="1728"/>
      <c r="AG500" s="38" t="s">
        <v>404</v>
      </c>
      <c r="AH500" s="1517">
        <v>2023</v>
      </c>
      <c r="AI500" s="1517"/>
      <c r="AJ500" s="1517"/>
      <c r="AK500" s="1518"/>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2:110" ht="12.95" customHeight="1">
      <c r="B501" s="1730" t="s">
        <v>409</v>
      </c>
      <c r="C501" s="1371"/>
      <c r="D501" s="1371"/>
      <c r="E501" s="1371"/>
      <c r="F501" s="1371"/>
      <c r="G501" s="1371"/>
      <c r="H501" s="1372"/>
      <c r="I501" s="42" t="s">
        <v>410</v>
      </c>
      <c r="J501" s="42"/>
      <c r="K501" s="42"/>
      <c r="L501" s="42"/>
      <c r="M501" s="42"/>
      <c r="N501" s="42"/>
      <c r="O501" s="42"/>
      <c r="P501" s="42"/>
      <c r="Q501" s="42"/>
      <c r="R501" s="42"/>
      <c r="S501" s="42"/>
      <c r="T501" s="42"/>
      <c r="U501" s="42"/>
      <c r="V501" s="42"/>
      <c r="W501" s="42"/>
      <c r="AC501" s="1779" t="s">
        <v>600</v>
      </c>
      <c r="AD501" s="1728"/>
      <c r="AE501" s="1728"/>
      <c r="AF501" s="1728"/>
      <c r="AG501" s="13" t="s">
        <v>404</v>
      </c>
      <c r="AH501" s="1517"/>
      <c r="AI501" s="1517"/>
      <c r="AJ501" s="1517"/>
      <c r="AK501" s="1518"/>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2:110" ht="12.95" customHeight="1">
      <c r="B502" s="1731"/>
      <c r="C502" s="1373"/>
      <c r="D502" s="1373"/>
      <c r="E502" s="1373"/>
      <c r="F502" s="1373"/>
      <c r="G502" s="1373"/>
      <c r="H502" s="1374"/>
      <c r="I502" t="s">
        <v>411</v>
      </c>
      <c r="AC502" s="1779" t="s">
        <v>600</v>
      </c>
      <c r="AD502" s="1728"/>
      <c r="AE502" s="1728"/>
      <c r="AF502" s="1728"/>
      <c r="AG502" s="13" t="s">
        <v>404</v>
      </c>
      <c r="AH502" s="1517"/>
      <c r="AI502" s="1517"/>
      <c r="AJ502" s="1517"/>
      <c r="AK502" s="1518"/>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2:110" ht="12.95" customHeight="1">
      <c r="B503" s="1731"/>
      <c r="C503" s="1373"/>
      <c r="D503" s="1373"/>
      <c r="E503" s="1373"/>
      <c r="F503" s="1373"/>
      <c r="G503" s="1373"/>
      <c r="H503" s="1374"/>
      <c r="I503" t="s">
        <v>412</v>
      </c>
      <c r="AC503" s="1779">
        <v>7</v>
      </c>
      <c r="AD503" s="1728"/>
      <c r="AE503" s="1728"/>
      <c r="AF503" s="1728"/>
      <c r="AG503" s="13" t="s">
        <v>404</v>
      </c>
      <c r="AH503" s="1517">
        <v>2022</v>
      </c>
      <c r="AI503" s="1517"/>
      <c r="AJ503" s="1517"/>
      <c r="AK503" s="1518"/>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2:110" ht="12.95" customHeight="1">
      <c r="B504" s="1731"/>
      <c r="C504" s="1373"/>
      <c r="D504" s="1373"/>
      <c r="E504" s="1373"/>
      <c r="F504" s="1373"/>
      <c r="G504" s="1373"/>
      <c r="H504" s="1374"/>
      <c r="I504" t="s">
        <v>413</v>
      </c>
      <c r="AC504" s="1779" t="s">
        <v>600</v>
      </c>
      <c r="AD504" s="1728"/>
      <c r="AE504" s="1728"/>
      <c r="AF504" s="1728"/>
      <c r="AG504" s="13" t="s">
        <v>404</v>
      </c>
      <c r="AH504" s="1517"/>
      <c r="AI504" s="1517"/>
      <c r="AJ504" s="1517"/>
      <c r="AK504" s="1518"/>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2:110" ht="12.95" customHeight="1">
      <c r="B505" s="1731"/>
      <c r="C505" s="1373"/>
      <c r="D505" s="1373"/>
      <c r="E505" s="1373"/>
      <c r="F505" s="1373"/>
      <c r="G505" s="1373"/>
      <c r="H505" s="1374"/>
      <c r="I505" s="3" t="s">
        <v>414</v>
      </c>
      <c r="AC505" s="1383" t="s">
        <v>600</v>
      </c>
      <c r="AD505" s="1384"/>
      <c r="AE505" s="1384"/>
      <c r="AF505" s="1384"/>
      <c r="AG505" s="13" t="s">
        <v>404</v>
      </c>
      <c r="AH505" s="1517"/>
      <c r="AI505" s="1517"/>
      <c r="AJ505" s="1517"/>
      <c r="AK505" s="1518"/>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2:110" ht="12.95" customHeight="1">
      <c r="B506" s="1731"/>
      <c r="C506" s="1373"/>
      <c r="D506" s="1373"/>
      <c r="E506" s="1373"/>
      <c r="F506" s="1373"/>
      <c r="G506" s="1373"/>
      <c r="H506" s="1374"/>
      <c r="I506" s="933" t="s">
        <v>170</v>
      </c>
      <c r="J506" s="48"/>
      <c r="K506" s="48"/>
      <c r="L506" s="1786" t="s">
        <v>335</v>
      </c>
      <c r="M506" s="1787"/>
      <c r="N506" s="1787"/>
      <c r="O506" s="1787"/>
      <c r="P506" s="1787"/>
      <c r="Q506" s="1787"/>
      <c r="R506" s="1787"/>
      <c r="S506" s="1787"/>
      <c r="T506" s="1787"/>
      <c r="U506" s="1787"/>
      <c r="V506" s="1787"/>
      <c r="W506" s="1787"/>
      <c r="X506" s="1787"/>
      <c r="Y506" s="1787"/>
      <c r="Z506" s="1787"/>
      <c r="AA506" s="1787"/>
      <c r="AB506" s="1830"/>
      <c r="AC506" s="1779" t="s">
        <v>600</v>
      </c>
      <c r="AD506" s="1728"/>
      <c r="AE506" s="1728"/>
      <c r="AF506" s="1728"/>
      <c r="AG506" s="38" t="s">
        <v>404</v>
      </c>
      <c r="AH506" s="1517"/>
      <c r="AI506" s="1517"/>
      <c r="AJ506" s="1517"/>
      <c r="AK506" s="1518"/>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row>
    <row r="507" spans="2:110" ht="12.95" customHeight="1">
      <c r="B507" s="907"/>
      <c r="C507" s="130"/>
      <c r="D507" s="130"/>
      <c r="E507" s="130"/>
      <c r="F507" s="130"/>
      <c r="G507" s="130"/>
      <c r="H507" s="908"/>
      <c r="I507" s="3" t="s">
        <v>1856</v>
      </c>
      <c r="AC507" s="1814" t="s">
        <v>554</v>
      </c>
      <c r="AD507" s="1814"/>
      <c r="AE507" s="1814"/>
      <c r="AF507" s="1814"/>
      <c r="AG507" s="13"/>
      <c r="AH507" s="1297"/>
      <c r="AI507" s="1297"/>
      <c r="AJ507" s="1297"/>
      <c r="AK507" s="1831"/>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row>
    <row r="508" spans="2:110" ht="12.95" customHeight="1">
      <c r="B508" s="907"/>
      <c r="C508" s="130"/>
      <c r="D508" s="130"/>
      <c r="E508" s="130"/>
      <c r="F508" s="130"/>
      <c r="G508" s="130"/>
      <c r="H508" s="908"/>
      <c r="I508" t="s">
        <v>1853</v>
      </c>
      <c r="AC508" s="1383">
        <v>1</v>
      </c>
      <c r="AD508" s="1384"/>
      <c r="AE508" s="1384"/>
      <c r="AF508" s="1385"/>
      <c r="AG508" s="13"/>
      <c r="AH508" s="1297"/>
      <c r="AI508" s="1297"/>
      <c r="AJ508" s="1297"/>
      <c r="AK508" s="1831"/>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row>
    <row r="509" spans="2:110" ht="12.95" customHeight="1">
      <c r="B509" s="907"/>
      <c r="C509" s="130"/>
      <c r="D509" s="130"/>
      <c r="E509" s="130"/>
      <c r="F509" s="130"/>
      <c r="G509" s="130"/>
      <c r="H509" s="908"/>
      <c r="I509" t="s">
        <v>1854</v>
      </c>
      <c r="AC509" s="926"/>
      <c r="AD509" s="927"/>
      <c r="AE509" s="927"/>
      <c r="AF509" s="928"/>
      <c r="AG509" s="13"/>
      <c r="AH509" s="1"/>
      <c r="AI509" s="1"/>
      <c r="AJ509" s="1"/>
      <c r="AK509" s="104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row>
    <row r="510" spans="2:110" ht="12.95" customHeight="1">
      <c r="B510" s="907"/>
      <c r="C510" s="130"/>
      <c r="D510" s="130"/>
      <c r="E510" s="130"/>
      <c r="F510" s="130"/>
      <c r="G510" s="130"/>
      <c r="H510" s="908"/>
      <c r="I510" s="934" t="s">
        <v>1855</v>
      </c>
      <c r="J510" s="48"/>
      <c r="K510" s="48"/>
      <c r="L510" s="48"/>
      <c r="M510" s="48"/>
      <c r="N510" s="48"/>
      <c r="O510" s="48"/>
      <c r="P510" s="48"/>
      <c r="Q510" s="48"/>
      <c r="R510" s="48"/>
      <c r="S510" s="48"/>
      <c r="T510" s="48"/>
      <c r="U510" s="48"/>
      <c r="V510" s="48"/>
      <c r="W510" s="48"/>
      <c r="X510" s="48"/>
      <c r="Y510" s="48"/>
      <c r="Z510" s="48"/>
      <c r="AA510" s="48"/>
      <c r="AB510" s="48"/>
      <c r="AC510" s="1844"/>
      <c r="AD510" s="1845"/>
      <c r="AE510" s="1845"/>
      <c r="AF510" s="1846"/>
      <c r="AG510" s="38"/>
      <c r="AH510" s="1847"/>
      <c r="AI510" s="1847"/>
      <c r="AJ510" s="1847"/>
      <c r="AK510" s="1848"/>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row>
    <row r="511" spans="2:110" ht="12.95" customHeight="1">
      <c r="B511" s="907"/>
      <c r="C511" s="130"/>
      <c r="D511" s="130"/>
      <c r="E511" s="130"/>
      <c r="F511" s="130"/>
      <c r="G511" s="130"/>
      <c r="H511" s="908"/>
      <c r="I511" s="3"/>
      <c r="L511" s="8"/>
      <c r="M511" s="8"/>
      <c r="N511" s="8"/>
      <c r="O511" s="8"/>
      <c r="P511" s="8"/>
      <c r="Q511" s="8"/>
      <c r="R511" s="8"/>
      <c r="S511" s="8"/>
      <c r="T511" s="8"/>
      <c r="U511" s="8"/>
      <c r="V511" s="8"/>
      <c r="W511" s="8"/>
      <c r="X511" s="1044"/>
      <c r="Y511" s="1044"/>
      <c r="Z511" s="1044"/>
      <c r="AA511" s="1044"/>
      <c r="AB511" s="1051"/>
      <c r="AC511" s="1822" t="s">
        <v>403</v>
      </c>
      <c r="AD511" s="1546"/>
      <c r="AE511" s="1546"/>
      <c r="AF511" s="1546"/>
      <c r="AG511" s="38" t="s">
        <v>404</v>
      </c>
      <c r="AH511" s="1546" t="s">
        <v>405</v>
      </c>
      <c r="AI511" s="1546"/>
      <c r="AJ511" s="1546"/>
      <c r="AK511" s="1823"/>
      <c r="AZ511" s="3"/>
      <c r="BA511" s="3"/>
      <c r="BB511" s="3"/>
      <c r="BC511" s="3"/>
      <c r="BD511" s="3"/>
      <c r="BE511" s="3"/>
      <c r="BF511" s="3"/>
      <c r="BG511" s="3"/>
      <c r="BH511" s="3"/>
      <c r="BI511" s="3"/>
      <c r="BJ511" s="3"/>
      <c r="BK511" s="3"/>
      <c r="BL511" s="3"/>
      <c r="BM511" s="3"/>
      <c r="BN511" s="3" t="s">
        <v>1327</v>
      </c>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row>
    <row r="512" spans="2:110" ht="12.95" customHeight="1">
      <c r="B512" s="1730" t="s">
        <v>415</v>
      </c>
      <c r="C512" s="1371"/>
      <c r="D512" s="1371"/>
      <c r="E512" s="1371"/>
      <c r="F512" s="1371"/>
      <c r="G512" s="1371"/>
      <c r="H512" s="1372"/>
      <c r="I512" s="42" t="s">
        <v>416</v>
      </c>
      <c r="J512" s="42"/>
      <c r="K512" s="42"/>
      <c r="L512" s="42"/>
      <c r="M512" s="42"/>
      <c r="N512" s="42"/>
      <c r="O512" s="42"/>
      <c r="P512" s="42"/>
      <c r="Q512" s="42"/>
      <c r="R512" s="42"/>
      <c r="S512" s="42"/>
      <c r="T512" s="42"/>
      <c r="U512" s="42"/>
      <c r="V512" s="42"/>
      <c r="W512" s="42"/>
      <c r="AC512" s="1779">
        <v>1</v>
      </c>
      <c r="AD512" s="1728"/>
      <c r="AE512" s="1728"/>
      <c r="AF512" s="1728"/>
      <c r="AG512" s="13" t="s">
        <v>404</v>
      </c>
      <c r="AH512" s="1517">
        <v>2023</v>
      </c>
      <c r="AI512" s="1517"/>
      <c r="AJ512" s="1517"/>
      <c r="AK512" s="1518"/>
      <c r="AZ512" s="3"/>
      <c r="BA512" s="3"/>
      <c r="BB512" s="3"/>
      <c r="BC512" s="3"/>
      <c r="BD512" s="3"/>
      <c r="BE512" s="3"/>
      <c r="BF512" s="3"/>
      <c r="BG512" s="3"/>
      <c r="BH512" s="3"/>
      <c r="BI512" s="3"/>
      <c r="BJ512" s="3"/>
      <c r="BK512" s="3"/>
      <c r="BL512" s="3"/>
      <c r="BM512" s="3"/>
      <c r="BN512" s="3" t="s">
        <v>2532</v>
      </c>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row>
    <row r="513" spans="2:110" ht="12.95" customHeight="1">
      <c r="B513" s="1731"/>
      <c r="C513" s="1373"/>
      <c r="D513" s="1373"/>
      <c r="E513" s="1373"/>
      <c r="F513" s="1373"/>
      <c r="G513" s="1373"/>
      <c r="H513" s="1374"/>
      <c r="I513" t="s">
        <v>417</v>
      </c>
      <c r="AC513" s="1779">
        <v>1</v>
      </c>
      <c r="AD513" s="1728"/>
      <c r="AE513" s="1728"/>
      <c r="AF513" s="1728"/>
      <c r="AG513" s="13" t="s">
        <v>404</v>
      </c>
      <c r="AH513" s="1517">
        <v>2023</v>
      </c>
      <c r="AI513" s="1517"/>
      <c r="AJ513" s="1517"/>
      <c r="AK513" s="1518"/>
      <c r="AZ513" s="3"/>
      <c r="BA513" s="3"/>
      <c r="BB513" s="3"/>
      <c r="BC513" s="3"/>
      <c r="BD513" s="3"/>
      <c r="BE513" s="3"/>
      <c r="BF513" s="3"/>
      <c r="BG513" s="3"/>
      <c r="BH513" s="3"/>
      <c r="BI513" s="3"/>
      <c r="BJ513" s="3"/>
      <c r="BK513" s="3"/>
      <c r="BL513" s="3"/>
      <c r="BM513" s="3"/>
      <c r="BN513" s="3" t="s">
        <v>2533</v>
      </c>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row>
    <row r="514" spans="2:110" ht="12.95" customHeight="1">
      <c r="B514" s="1731"/>
      <c r="C514" s="1373"/>
      <c r="D514" s="1373"/>
      <c r="E514" s="1373"/>
      <c r="F514" s="1373"/>
      <c r="G514" s="1373"/>
      <c r="H514" s="1374"/>
      <c r="I514" s="48" t="s">
        <v>418</v>
      </c>
      <c r="J514" s="48"/>
      <c r="K514" s="48"/>
      <c r="L514" s="48"/>
      <c r="M514" s="48"/>
      <c r="N514" s="48"/>
      <c r="O514" s="48"/>
      <c r="P514" s="48"/>
      <c r="Q514" s="48"/>
      <c r="R514" s="48"/>
      <c r="S514" s="48"/>
      <c r="T514" s="48"/>
      <c r="U514" s="48"/>
      <c r="V514" s="48"/>
      <c r="W514" s="48"/>
      <c r="X514" s="48"/>
      <c r="Y514" s="48"/>
      <c r="Z514" s="48"/>
      <c r="AA514" s="48"/>
      <c r="AB514" s="48"/>
      <c r="AC514" s="1779">
        <v>11</v>
      </c>
      <c r="AD514" s="1728"/>
      <c r="AE514" s="1728"/>
      <c r="AF514" s="1728"/>
      <c r="AG514" s="38" t="s">
        <v>404</v>
      </c>
      <c r="AH514" s="1517">
        <v>2023</v>
      </c>
      <c r="AI514" s="1517"/>
      <c r="AJ514" s="1517"/>
      <c r="AK514" s="1518"/>
      <c r="AZ514" s="3"/>
      <c r="BA514" s="3"/>
      <c r="BB514" s="3"/>
      <c r="BC514" s="3"/>
      <c r="BD514" s="3"/>
      <c r="BE514" s="3"/>
      <c r="BF514" s="3"/>
      <c r="BG514" s="3"/>
      <c r="BH514" s="3"/>
      <c r="BI514" s="3"/>
      <c r="BJ514" s="3"/>
      <c r="BK514" s="3"/>
      <c r="BL514" s="3"/>
      <c r="BM514" s="3"/>
      <c r="BN514" s="3" t="s">
        <v>2534</v>
      </c>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row>
    <row r="515" spans="2:110" ht="12.95" customHeight="1">
      <c r="B515" s="1730" t="s">
        <v>419</v>
      </c>
      <c r="C515" s="1371"/>
      <c r="D515" s="1371"/>
      <c r="E515" s="1371"/>
      <c r="F515" s="1371"/>
      <c r="G515" s="1371"/>
      <c r="H515" s="1372"/>
      <c r="I515" s="42" t="s">
        <v>416</v>
      </c>
      <c r="J515" s="42"/>
      <c r="K515" s="42"/>
      <c r="L515" s="42"/>
      <c r="M515" s="42"/>
      <c r="N515" s="42"/>
      <c r="O515" s="42"/>
      <c r="P515" s="42"/>
      <c r="Q515" s="42"/>
      <c r="R515" s="42"/>
      <c r="S515" s="42"/>
      <c r="T515" s="42"/>
      <c r="U515" s="42"/>
      <c r="V515" s="42"/>
      <c r="W515" s="42"/>
      <c r="X515" s="42"/>
      <c r="Y515" s="42"/>
      <c r="Z515" s="42"/>
      <c r="AA515" s="42"/>
      <c r="AB515" s="42"/>
      <c r="AC515" s="1383">
        <v>1</v>
      </c>
      <c r="AD515" s="1384"/>
      <c r="AE515" s="1384"/>
      <c r="AF515" s="1384"/>
      <c r="AG515" s="129" t="s">
        <v>404</v>
      </c>
      <c r="AH515" s="1517">
        <v>2023</v>
      </c>
      <c r="AI515" s="1517"/>
      <c r="AJ515" s="1517"/>
      <c r="AK515" s="1518"/>
      <c r="AZ515" s="3"/>
      <c r="BA515" s="3"/>
      <c r="BB515" s="3"/>
      <c r="BC515" s="3"/>
      <c r="BD515" s="3"/>
      <c r="BE515" s="3"/>
      <c r="BF515" s="3"/>
      <c r="BG515" s="3"/>
      <c r="BH515" s="3"/>
      <c r="BI515" s="3"/>
      <c r="BJ515" s="3"/>
      <c r="BK515" s="3"/>
      <c r="BL515" s="3"/>
      <c r="BM515" s="3"/>
      <c r="BN515" s="3" t="s">
        <v>2535</v>
      </c>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row>
    <row r="516" spans="2:110" ht="12.95" customHeight="1">
      <c r="B516" s="1731"/>
      <c r="C516" s="1373"/>
      <c r="D516" s="1373"/>
      <c r="E516" s="1373"/>
      <c r="F516" s="1373"/>
      <c r="G516" s="1373"/>
      <c r="H516" s="1374"/>
      <c r="I516" t="s">
        <v>417</v>
      </c>
      <c r="AC516" s="1779">
        <v>1</v>
      </c>
      <c r="AD516" s="1728"/>
      <c r="AE516" s="1728"/>
      <c r="AF516" s="1728"/>
      <c r="AG516" s="13" t="s">
        <v>404</v>
      </c>
      <c r="AH516" s="1517">
        <v>2023</v>
      </c>
      <c r="AI516" s="1517"/>
      <c r="AJ516" s="1517"/>
      <c r="AK516" s="1518"/>
      <c r="AZ516" s="3"/>
      <c r="BB516" s="3"/>
      <c r="BC516" s="3"/>
      <c r="BD516" s="3"/>
      <c r="BE516" s="3"/>
      <c r="BF516" s="3"/>
      <c r="BG516" s="3"/>
      <c r="BH516" s="3"/>
      <c r="BI516" s="3"/>
      <c r="BJ516" s="3"/>
      <c r="BK516" s="3"/>
      <c r="BL516" s="3"/>
      <c r="BM516" s="3"/>
      <c r="BN516" s="3" t="s">
        <v>2536</v>
      </c>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row>
    <row r="517" spans="2:110" ht="12.95" customHeight="1">
      <c r="B517" s="1732"/>
      <c r="C517" s="1375"/>
      <c r="D517" s="1375"/>
      <c r="E517" s="1375"/>
      <c r="F517" s="1375"/>
      <c r="G517" s="1375"/>
      <c r="H517" s="1376"/>
      <c r="I517" s="48" t="s">
        <v>418</v>
      </c>
      <c r="J517" s="48"/>
      <c r="K517" s="48"/>
      <c r="L517" s="48"/>
      <c r="M517" s="48"/>
      <c r="N517" s="48"/>
      <c r="O517" s="48"/>
      <c r="P517" s="48"/>
      <c r="Q517" s="48"/>
      <c r="R517" s="48"/>
      <c r="S517" s="48"/>
      <c r="T517" s="48"/>
      <c r="U517" s="48"/>
      <c r="V517" s="48"/>
      <c r="W517" s="48"/>
      <c r="X517" s="48"/>
      <c r="Y517" s="48"/>
      <c r="Z517" s="48"/>
      <c r="AA517" s="48"/>
      <c r="AB517" s="48"/>
      <c r="AC517" s="1779">
        <v>11</v>
      </c>
      <c r="AD517" s="1728"/>
      <c r="AE517" s="1728"/>
      <c r="AF517" s="1728"/>
      <c r="AG517" s="38" t="s">
        <v>404</v>
      </c>
      <c r="AH517" s="1517">
        <v>2023</v>
      </c>
      <c r="AI517" s="1517"/>
      <c r="AJ517" s="1517"/>
      <c r="AK517" s="1518"/>
      <c r="BB517" s="3"/>
      <c r="BC517" s="3"/>
      <c r="BD517" s="3"/>
      <c r="BE517" s="3"/>
      <c r="BF517" s="3"/>
      <c r="BG517" s="3"/>
      <c r="BH517" s="3"/>
      <c r="BI517" s="3"/>
      <c r="BJ517" s="3"/>
      <c r="BK517" s="3"/>
      <c r="BL517" s="3"/>
      <c r="BM517" s="3"/>
      <c r="BN517" s="3" t="s">
        <v>2537</v>
      </c>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row>
    <row r="518" spans="2:110" ht="12.95" customHeight="1">
      <c r="B518" s="1730" t="s">
        <v>420</v>
      </c>
      <c r="C518" s="1371"/>
      <c r="D518" s="1371"/>
      <c r="E518" s="1371"/>
      <c r="F518" s="1371"/>
      <c r="G518" s="1371"/>
      <c r="H518" s="1372"/>
      <c r="I518" s="41" t="s">
        <v>421</v>
      </c>
      <c r="J518" s="42"/>
      <c r="K518" s="42"/>
      <c r="L518" s="42"/>
      <c r="M518" s="42"/>
      <c r="N518" s="42"/>
      <c r="O518" s="1786" t="s">
        <v>2699</v>
      </c>
      <c r="P518" s="1787"/>
      <c r="Q518" s="1787"/>
      <c r="R518" s="1787"/>
      <c r="S518" s="1787"/>
      <c r="T518" s="1787"/>
      <c r="U518" s="1787"/>
      <c r="V518" s="1787"/>
      <c r="W518" s="1787"/>
      <c r="X518" s="1787"/>
      <c r="Y518" s="1787"/>
      <c r="Z518" s="1787"/>
      <c r="AA518" s="1787"/>
      <c r="AB518" s="58"/>
      <c r="AC518" s="1383"/>
      <c r="AD518" s="1384"/>
      <c r="AE518" s="1384"/>
      <c r="AF518" s="1384"/>
      <c r="AG518" s="129" t="s">
        <v>404</v>
      </c>
      <c r="AH518" s="1517"/>
      <c r="AI518" s="1517"/>
      <c r="AJ518" s="1517"/>
      <c r="AK518" s="1518"/>
      <c r="BB518" s="3"/>
      <c r="BC518" s="3"/>
      <c r="BD518" s="3"/>
      <c r="BE518" s="3"/>
      <c r="BF518" s="3"/>
      <c r="BG518" s="3"/>
      <c r="BH518" s="3"/>
      <c r="BI518" s="3"/>
      <c r="BJ518" s="3"/>
      <c r="BK518" s="3"/>
      <c r="BL518" s="3"/>
      <c r="BM518" s="3"/>
      <c r="BN518" s="3" t="s">
        <v>2538</v>
      </c>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row>
    <row r="519" spans="2:110" ht="12.95" customHeight="1">
      <c r="B519" s="1731"/>
      <c r="C519" s="1373"/>
      <c r="D519" s="1373"/>
      <c r="E519" s="1373"/>
      <c r="F519" s="1373"/>
      <c r="G519" s="1373"/>
      <c r="H519" s="1374"/>
      <c r="I519" s="114" t="s">
        <v>422</v>
      </c>
      <c r="AB519" s="65"/>
      <c r="AC519" s="1779">
        <v>9</v>
      </c>
      <c r="AD519" s="1728"/>
      <c r="AE519" s="1728"/>
      <c r="AF519" s="1728"/>
      <c r="AG519" s="13" t="s">
        <v>404</v>
      </c>
      <c r="AH519" s="1517">
        <v>2021</v>
      </c>
      <c r="AI519" s="1517"/>
      <c r="AJ519" s="1517"/>
      <c r="AK519" s="1518"/>
      <c r="AZ519" s="3"/>
      <c r="BB519" s="3"/>
      <c r="BC519" s="3"/>
      <c r="BD519" s="3"/>
      <c r="BE519" s="3"/>
      <c r="BF519" s="3"/>
      <c r="BG519" s="3"/>
      <c r="BH519" s="3"/>
      <c r="BI519" s="3"/>
      <c r="BJ519" s="3"/>
      <c r="BK519" s="3"/>
      <c r="BL519" s="3"/>
      <c r="BM519" s="3"/>
      <c r="BN519" s="3" t="s">
        <v>2539</v>
      </c>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row>
    <row r="520" spans="2:110" ht="12.95" customHeight="1">
      <c r="B520" s="1731"/>
      <c r="C520" s="1373"/>
      <c r="D520" s="1373"/>
      <c r="E520" s="1373"/>
      <c r="F520" s="1373"/>
      <c r="G520" s="1373"/>
      <c r="H520" s="1374"/>
      <c r="I520" s="47" t="s">
        <v>423</v>
      </c>
      <c r="J520" s="48"/>
      <c r="K520" s="48"/>
      <c r="L520" s="48"/>
      <c r="M520" s="48"/>
      <c r="N520" s="48"/>
      <c r="O520" s="48"/>
      <c r="P520" s="48"/>
      <c r="Q520" s="48"/>
      <c r="R520" s="48"/>
      <c r="S520" s="48"/>
      <c r="T520" s="48"/>
      <c r="U520" s="48"/>
      <c r="V520" s="48"/>
      <c r="W520" s="48"/>
      <c r="X520" s="48"/>
      <c r="Y520" s="48"/>
      <c r="Z520" s="48"/>
      <c r="AA520" s="48"/>
      <c r="AB520" s="49"/>
      <c r="AC520" s="1779">
        <v>11</v>
      </c>
      <c r="AD520" s="1728"/>
      <c r="AE520" s="1728"/>
      <c r="AF520" s="1728"/>
      <c r="AG520" s="38" t="s">
        <v>404</v>
      </c>
      <c r="AH520" s="1517">
        <v>2023</v>
      </c>
      <c r="AI520" s="1517"/>
      <c r="AJ520" s="1517"/>
      <c r="AK520" s="1518"/>
      <c r="AZ520" s="3"/>
      <c r="BB520" s="3"/>
      <c r="BC520" s="3"/>
      <c r="BD520" s="3"/>
      <c r="BE520" s="3"/>
      <c r="BF520" s="3"/>
      <c r="BG520" s="3"/>
      <c r="BH520" s="3"/>
      <c r="BI520" s="3"/>
      <c r="BJ520" s="3"/>
      <c r="BK520" s="3"/>
      <c r="BL520" s="3"/>
      <c r="BM520" s="3"/>
      <c r="BN520" s="3" t="s">
        <v>2540</v>
      </c>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row>
    <row r="521" spans="2:110" ht="12.95" customHeight="1">
      <c r="B521" s="1731"/>
      <c r="C521" s="1373"/>
      <c r="D521" s="1373"/>
      <c r="E521" s="1373"/>
      <c r="F521" s="1373"/>
      <c r="G521" s="1373"/>
      <c r="H521" s="1374"/>
      <c r="I521" s="42" t="s">
        <v>424</v>
      </c>
      <c r="J521" s="42"/>
      <c r="K521" s="42"/>
      <c r="L521" s="42"/>
      <c r="M521" s="42"/>
      <c r="N521" s="42"/>
      <c r="O521" s="1786" t="s">
        <v>335</v>
      </c>
      <c r="P521" s="1787"/>
      <c r="Q521" s="1787"/>
      <c r="R521" s="1787"/>
      <c r="S521" s="1787"/>
      <c r="T521" s="1787"/>
      <c r="U521" s="1787"/>
      <c r="V521" s="1787"/>
      <c r="W521" s="1787"/>
      <c r="X521" s="1787"/>
      <c r="Y521" s="1787"/>
      <c r="Z521" s="1787"/>
      <c r="AA521" s="1787"/>
      <c r="AC521" s="1779" t="s">
        <v>600</v>
      </c>
      <c r="AD521" s="1728"/>
      <c r="AE521" s="1728"/>
      <c r="AF521" s="1728"/>
      <c r="AG521" s="13" t="s">
        <v>404</v>
      </c>
      <c r="AH521" s="1517"/>
      <c r="AI521" s="1517"/>
      <c r="AJ521" s="1517"/>
      <c r="AK521" s="1518"/>
      <c r="AZ521" s="3"/>
      <c r="BA521" s="3"/>
      <c r="BB521" s="3"/>
      <c r="BC521" s="3"/>
      <c r="BD521" s="3"/>
      <c r="BE521" s="3"/>
      <c r="BF521" s="3"/>
      <c r="BG521" s="3"/>
      <c r="BH521" s="3"/>
      <c r="BI521" s="3"/>
      <c r="BJ521" s="3"/>
      <c r="BK521" s="3"/>
      <c r="BL521" s="3"/>
      <c r="BM521" s="3"/>
      <c r="BN521" s="3" t="s">
        <v>2541</v>
      </c>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row>
    <row r="522" spans="2:110" ht="12.95" customHeight="1">
      <c r="B522" s="1731"/>
      <c r="C522" s="1373"/>
      <c r="D522" s="1373"/>
      <c r="E522" s="1373"/>
      <c r="F522" s="1373"/>
      <c r="G522" s="1373"/>
      <c r="H522" s="1374"/>
      <c r="I522" t="s">
        <v>422</v>
      </c>
      <c r="AC522" s="1779" t="s">
        <v>600</v>
      </c>
      <c r="AD522" s="1728"/>
      <c r="AE522" s="1728"/>
      <c r="AF522" s="1728"/>
      <c r="AG522" s="13" t="s">
        <v>404</v>
      </c>
      <c r="AH522" s="1517"/>
      <c r="AI522" s="1517"/>
      <c r="AJ522" s="1517"/>
      <c r="AK522" s="1518"/>
      <c r="AZ522" s="3"/>
      <c r="BA522" s="3"/>
      <c r="BB522" s="3"/>
      <c r="BC522" s="3"/>
      <c r="BD522" s="3"/>
      <c r="BE522" s="3"/>
      <c r="BF522" s="3"/>
      <c r="BG522" s="3"/>
      <c r="BH522" s="3"/>
      <c r="BI522" s="3"/>
      <c r="BJ522" s="3"/>
      <c r="BK522" s="3"/>
      <c r="BL522" s="3"/>
      <c r="BM522" s="3"/>
      <c r="BN522" s="3" t="s">
        <v>2542</v>
      </c>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row>
    <row r="523" spans="2:110" ht="12.95" customHeight="1">
      <c r="B523" s="1731"/>
      <c r="C523" s="1373"/>
      <c r="D523" s="1373"/>
      <c r="E523" s="1373"/>
      <c r="F523" s="1373"/>
      <c r="G523" s="1373"/>
      <c r="H523" s="1374"/>
      <c r="I523" s="48" t="s">
        <v>423</v>
      </c>
      <c r="J523" s="48"/>
      <c r="K523" s="48"/>
      <c r="L523" s="48"/>
      <c r="M523" s="48"/>
      <c r="N523" s="48"/>
      <c r="O523" s="48"/>
      <c r="P523" s="48"/>
      <c r="Q523" s="48"/>
      <c r="R523" s="48"/>
      <c r="S523" s="48"/>
      <c r="T523" s="48"/>
      <c r="U523" s="48"/>
      <c r="V523" s="48"/>
      <c r="W523" s="48"/>
      <c r="X523" s="48"/>
      <c r="Y523" s="48"/>
      <c r="Z523" s="48"/>
      <c r="AA523" s="48"/>
      <c r="AB523" s="48"/>
      <c r="AC523" s="1779" t="s">
        <v>600</v>
      </c>
      <c r="AD523" s="1728"/>
      <c r="AE523" s="1728"/>
      <c r="AF523" s="1728"/>
      <c r="AG523" s="38" t="s">
        <v>404</v>
      </c>
      <c r="AH523" s="1517"/>
      <c r="AI523" s="1517"/>
      <c r="AJ523" s="1517"/>
      <c r="AK523" s="1518"/>
      <c r="AZ523" s="3"/>
      <c r="BA523" s="3"/>
      <c r="BB523" s="3"/>
      <c r="BC523" s="3"/>
      <c r="BD523" s="3"/>
      <c r="BE523" s="3"/>
      <c r="BF523" s="3"/>
      <c r="BG523" s="3"/>
      <c r="BH523" s="3"/>
      <c r="BI523" s="3"/>
      <c r="BJ523" s="3"/>
      <c r="BK523" s="3"/>
      <c r="BL523" s="3"/>
      <c r="BM523" s="3"/>
      <c r="BN523" s="3" t="s">
        <v>2543</v>
      </c>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row>
    <row r="524" spans="2:110" ht="12.95" customHeight="1">
      <c r="B524" s="1731"/>
      <c r="C524" s="1373"/>
      <c r="D524" s="1373"/>
      <c r="E524" s="1373"/>
      <c r="F524" s="1373"/>
      <c r="G524" s="1373"/>
      <c r="H524" s="1374"/>
      <c r="I524" s="42" t="s">
        <v>424</v>
      </c>
      <c r="J524" s="42"/>
      <c r="K524" s="42"/>
      <c r="L524" s="42"/>
      <c r="M524" s="42"/>
      <c r="N524" s="42"/>
      <c r="O524" s="1786" t="s">
        <v>335</v>
      </c>
      <c r="P524" s="1787"/>
      <c r="Q524" s="1787"/>
      <c r="R524" s="1787"/>
      <c r="S524" s="1787"/>
      <c r="T524" s="1787"/>
      <c r="U524" s="1787"/>
      <c r="V524" s="1787"/>
      <c r="W524" s="1787"/>
      <c r="X524" s="1787"/>
      <c r="Y524" s="1787"/>
      <c r="Z524" s="1787"/>
      <c r="AA524" s="1787"/>
      <c r="AC524" s="1779" t="s">
        <v>600</v>
      </c>
      <c r="AD524" s="1728"/>
      <c r="AE524" s="1728"/>
      <c r="AF524" s="1728"/>
      <c r="AG524" s="13" t="s">
        <v>404</v>
      </c>
      <c r="AH524" s="1517"/>
      <c r="AI524" s="1517"/>
      <c r="AJ524" s="1517"/>
      <c r="AK524" s="1518"/>
      <c r="AZ524" s="3"/>
      <c r="BA524" s="3"/>
      <c r="BB524" s="3"/>
      <c r="BC524" s="3"/>
      <c r="BD524" s="3"/>
      <c r="BE524" s="3"/>
      <c r="BF524" s="3"/>
      <c r="BG524" s="3"/>
      <c r="BH524" s="3"/>
      <c r="BI524" s="3"/>
      <c r="BJ524" s="3"/>
      <c r="BK524" s="3"/>
      <c r="BL524" s="3"/>
      <c r="BM524" s="3"/>
      <c r="BN524" s="3" t="s">
        <v>2544</v>
      </c>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row>
    <row r="525" spans="2:110" ht="12.95" customHeight="1">
      <c r="B525" s="1731"/>
      <c r="C525" s="1373"/>
      <c r="D525" s="1373"/>
      <c r="E525" s="1373"/>
      <c r="F525" s="1373"/>
      <c r="G525" s="1373"/>
      <c r="H525" s="1374"/>
      <c r="I525" t="s">
        <v>422</v>
      </c>
      <c r="AC525" s="1779" t="s">
        <v>600</v>
      </c>
      <c r="AD525" s="1728"/>
      <c r="AE525" s="1728"/>
      <c r="AF525" s="1728"/>
      <c r="AG525" s="13" t="s">
        <v>404</v>
      </c>
      <c r="AH525" s="1517"/>
      <c r="AI525" s="1517"/>
      <c r="AJ525" s="1517"/>
      <c r="AK525" s="1518"/>
      <c r="AZ525" s="3"/>
      <c r="BA525" s="3"/>
      <c r="BB525" s="3"/>
      <c r="BC525" s="3"/>
      <c r="BD525" s="3"/>
      <c r="BE525" s="3"/>
      <c r="BF525" s="3"/>
      <c r="BG525" s="3"/>
      <c r="BH525" s="3"/>
      <c r="BI525" s="3"/>
      <c r="BJ525" s="3"/>
      <c r="BK525" s="3"/>
      <c r="BL525" s="3"/>
      <c r="BM525" s="3"/>
      <c r="BN525" s="3" t="s">
        <v>2545</v>
      </c>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31"/>
      <c r="C526" s="1373"/>
      <c r="D526" s="1373"/>
      <c r="E526" s="1373"/>
      <c r="F526" s="1373"/>
      <c r="G526" s="1373"/>
      <c r="H526" s="1374"/>
      <c r="I526" s="48" t="s">
        <v>423</v>
      </c>
      <c r="J526" s="48"/>
      <c r="K526" s="48"/>
      <c r="L526" s="48"/>
      <c r="M526" s="48"/>
      <c r="N526" s="48"/>
      <c r="O526" s="48"/>
      <c r="P526" s="48"/>
      <c r="Q526" s="48"/>
      <c r="R526" s="48"/>
      <c r="S526" s="48"/>
      <c r="T526" s="48"/>
      <c r="U526" s="48"/>
      <c r="V526" s="48"/>
      <c r="W526" s="48"/>
      <c r="X526" s="48"/>
      <c r="Y526" s="48"/>
      <c r="Z526" s="48"/>
      <c r="AA526" s="48"/>
      <c r="AB526" s="48"/>
      <c r="AC526" s="1779" t="s">
        <v>600</v>
      </c>
      <c r="AD526" s="1728"/>
      <c r="AE526" s="1728"/>
      <c r="AF526" s="1728"/>
      <c r="AG526" s="38" t="s">
        <v>404</v>
      </c>
      <c r="AH526" s="1517"/>
      <c r="AI526" s="1517"/>
      <c r="AJ526" s="1517"/>
      <c r="AK526" s="1518"/>
      <c r="AZ526" s="3"/>
      <c r="BA526" s="3"/>
      <c r="BB526" s="3"/>
      <c r="BC526" s="3"/>
      <c r="BD526" s="3"/>
      <c r="BE526" s="3"/>
      <c r="BF526" s="3"/>
      <c r="BG526" s="3"/>
      <c r="BH526" s="3"/>
      <c r="BI526" s="3"/>
      <c r="BJ526" s="3"/>
      <c r="BK526" s="3"/>
      <c r="BL526" s="3"/>
      <c r="BM526" s="3"/>
      <c r="BN526" s="3" t="s">
        <v>2546</v>
      </c>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31"/>
      <c r="C527" s="1373"/>
      <c r="D527" s="1373"/>
      <c r="E527" s="1373"/>
      <c r="F527" s="1373"/>
      <c r="G527" s="1373"/>
      <c r="H527" s="1374"/>
      <c r="I527" s="42" t="s">
        <v>424</v>
      </c>
      <c r="J527" s="42"/>
      <c r="K527" s="42"/>
      <c r="L527" s="42"/>
      <c r="M527" s="42"/>
      <c r="N527" s="42"/>
      <c r="O527" s="1786" t="s">
        <v>335</v>
      </c>
      <c r="P527" s="1787"/>
      <c r="Q527" s="1787"/>
      <c r="R527" s="1787"/>
      <c r="S527" s="1787"/>
      <c r="T527" s="1787"/>
      <c r="U527" s="1787"/>
      <c r="V527" s="1787"/>
      <c r="W527" s="1787"/>
      <c r="X527" s="1787"/>
      <c r="Y527" s="1787"/>
      <c r="Z527" s="1787"/>
      <c r="AA527" s="1787"/>
      <c r="AC527" s="1779" t="s">
        <v>600</v>
      </c>
      <c r="AD527" s="1728"/>
      <c r="AE527" s="1728"/>
      <c r="AF527" s="1728"/>
      <c r="AG527" s="13" t="s">
        <v>404</v>
      </c>
      <c r="AH527" s="1517"/>
      <c r="AI527" s="1517"/>
      <c r="AJ527" s="1517"/>
      <c r="AK527" s="1518"/>
      <c r="AZ527" s="3"/>
      <c r="BA527" s="3"/>
      <c r="BB527" s="3"/>
      <c r="BC527" s="3"/>
      <c r="BD527" s="3"/>
      <c r="BE527" s="3"/>
      <c r="BF527" s="3"/>
      <c r="BG527" s="3"/>
      <c r="BH527" s="3"/>
      <c r="BI527" s="3"/>
      <c r="BJ527" s="3"/>
      <c r="BK527" s="3"/>
      <c r="BL527" s="3"/>
      <c r="BM527" s="3"/>
      <c r="BN527" s="3" t="s">
        <v>2547</v>
      </c>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31"/>
      <c r="C528" s="1373"/>
      <c r="D528" s="1373"/>
      <c r="E528" s="1373"/>
      <c r="F528" s="1373"/>
      <c r="G528" s="1373"/>
      <c r="H528" s="1374"/>
      <c r="I528" t="s">
        <v>422</v>
      </c>
      <c r="AC528" s="1779" t="s">
        <v>600</v>
      </c>
      <c r="AD528" s="1728"/>
      <c r="AE528" s="1728"/>
      <c r="AF528" s="1728"/>
      <c r="AG528" s="13" t="s">
        <v>404</v>
      </c>
      <c r="AH528" s="1517"/>
      <c r="AI528" s="1517"/>
      <c r="AJ528" s="1517"/>
      <c r="AK528" s="1518"/>
      <c r="AZ528" s="3"/>
      <c r="BA528" s="3"/>
      <c r="BB528" s="3"/>
      <c r="BC528" s="3"/>
      <c r="BD528" s="3"/>
      <c r="BE528" s="3"/>
      <c r="BF528" s="3"/>
      <c r="BG528" s="3"/>
      <c r="BH528" s="3"/>
      <c r="BI528" s="3"/>
      <c r="BJ528" s="3"/>
      <c r="BK528" s="3"/>
      <c r="BL528" s="3"/>
      <c r="BM528" s="3"/>
      <c r="BN528" s="3" t="s">
        <v>2548</v>
      </c>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31"/>
      <c r="C529" s="1373"/>
      <c r="D529" s="1373"/>
      <c r="E529" s="1373"/>
      <c r="F529" s="1373"/>
      <c r="G529" s="1373"/>
      <c r="H529" s="1374"/>
      <c r="I529" s="48" t="s">
        <v>423</v>
      </c>
      <c r="J529" s="48"/>
      <c r="K529" s="48"/>
      <c r="L529" s="48"/>
      <c r="M529" s="48"/>
      <c r="N529" s="48"/>
      <c r="O529" s="48"/>
      <c r="P529" s="48"/>
      <c r="Q529" s="48"/>
      <c r="R529" s="48"/>
      <c r="S529" s="48"/>
      <c r="T529" s="48"/>
      <c r="U529" s="48"/>
      <c r="V529" s="48"/>
      <c r="W529" s="48"/>
      <c r="X529" s="48"/>
      <c r="Y529" s="48"/>
      <c r="Z529" s="48"/>
      <c r="AA529" s="48"/>
      <c r="AB529" s="48"/>
      <c r="AC529" s="1779" t="s">
        <v>600</v>
      </c>
      <c r="AD529" s="1728"/>
      <c r="AE529" s="1728"/>
      <c r="AF529" s="1728"/>
      <c r="AG529" s="38" t="s">
        <v>404</v>
      </c>
      <c r="AH529" s="1517"/>
      <c r="AI529" s="1517"/>
      <c r="AJ529" s="1517"/>
      <c r="AK529" s="1518"/>
      <c r="AZ529" s="3"/>
      <c r="BA529" s="3"/>
      <c r="BB529" s="3"/>
      <c r="BC529" s="3"/>
      <c r="BD529" s="3"/>
      <c r="BE529" s="3"/>
      <c r="BF529" s="3"/>
      <c r="BG529" s="3"/>
      <c r="BH529" s="3"/>
      <c r="BI529" s="3"/>
      <c r="BJ529" s="3"/>
      <c r="BK529" s="3"/>
      <c r="BL529" s="3"/>
      <c r="BM529" s="3"/>
      <c r="BN529" s="3" t="s">
        <v>2549</v>
      </c>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31"/>
      <c r="C530" s="1373"/>
      <c r="D530" s="1373"/>
      <c r="E530" s="1373"/>
      <c r="F530" s="1373"/>
      <c r="G530" s="1373"/>
      <c r="H530" s="1374"/>
      <c r="I530" s="42" t="s">
        <v>424</v>
      </c>
      <c r="J530" s="42"/>
      <c r="K530" s="42"/>
      <c r="L530" s="42"/>
      <c r="M530" s="42"/>
      <c r="N530" s="42"/>
      <c r="O530" s="1786" t="s">
        <v>335</v>
      </c>
      <c r="P530" s="1787"/>
      <c r="Q530" s="1787"/>
      <c r="R530" s="1787"/>
      <c r="S530" s="1787"/>
      <c r="T530" s="1787"/>
      <c r="U530" s="1787"/>
      <c r="V530" s="1787"/>
      <c r="W530" s="1787"/>
      <c r="X530" s="1787"/>
      <c r="Y530" s="1787"/>
      <c r="Z530" s="1787"/>
      <c r="AA530" s="1787"/>
      <c r="AC530" s="1779" t="s">
        <v>600</v>
      </c>
      <c r="AD530" s="1728"/>
      <c r="AE530" s="1728"/>
      <c r="AF530" s="1728"/>
      <c r="AG530" s="13" t="s">
        <v>404</v>
      </c>
      <c r="AH530" s="1517"/>
      <c r="AI530" s="1517"/>
      <c r="AJ530" s="1517"/>
      <c r="AK530" s="1518"/>
      <c r="AZ530" s="3"/>
      <c r="BA530" s="3"/>
      <c r="BB530" s="3"/>
      <c r="BC530" s="3"/>
      <c r="BD530" s="3"/>
      <c r="BE530" s="3"/>
      <c r="BF530" s="3"/>
      <c r="BG530" s="3"/>
      <c r="BH530" s="3"/>
      <c r="BI530" s="3"/>
      <c r="BJ530" s="3"/>
      <c r="BK530" s="3"/>
      <c r="BL530" s="3"/>
      <c r="BM530" s="3"/>
      <c r="BN530" s="3" t="s">
        <v>2550</v>
      </c>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31"/>
      <c r="C531" s="1373"/>
      <c r="D531" s="1373"/>
      <c r="E531" s="1373"/>
      <c r="F531" s="1373"/>
      <c r="G531" s="1373"/>
      <c r="H531" s="1374"/>
      <c r="I531" t="s">
        <v>422</v>
      </c>
      <c r="AC531" s="1779" t="s">
        <v>600</v>
      </c>
      <c r="AD531" s="1728"/>
      <c r="AE531" s="1728"/>
      <c r="AF531" s="1728"/>
      <c r="AG531" s="38" t="s">
        <v>404</v>
      </c>
      <c r="AH531" s="1517"/>
      <c r="AI531" s="1517"/>
      <c r="AJ531" s="1517"/>
      <c r="AK531" s="1518"/>
      <c r="AZ531" s="3"/>
      <c r="BA531" s="3"/>
      <c r="BB531" s="3"/>
      <c r="BC531" s="3"/>
      <c r="BD531" s="3"/>
      <c r="BE531" s="3"/>
      <c r="BF531" s="3"/>
      <c r="BG531" s="3"/>
      <c r="BH531" s="3"/>
      <c r="BI531" s="3"/>
      <c r="BJ531" s="3"/>
      <c r="BK531" s="3"/>
      <c r="BL531" s="3"/>
      <c r="BM531" s="3"/>
      <c r="BN531" s="3" t="s">
        <v>2551</v>
      </c>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31"/>
      <c r="C532" s="1373"/>
      <c r="D532" s="1373"/>
      <c r="E532" s="1373"/>
      <c r="F532" s="1373"/>
      <c r="G532" s="1373"/>
      <c r="H532" s="1374"/>
      <c r="I532" s="48" t="s">
        <v>423</v>
      </c>
      <c r="J532" s="48"/>
      <c r="K532" s="48"/>
      <c r="L532" s="48"/>
      <c r="M532" s="48"/>
      <c r="N532" s="48"/>
      <c r="O532" s="48"/>
      <c r="P532" s="48"/>
      <c r="Q532" s="48"/>
      <c r="R532" s="48"/>
      <c r="S532" s="48"/>
      <c r="T532" s="48"/>
      <c r="U532" s="48"/>
      <c r="V532" s="48"/>
      <c r="W532" s="48"/>
      <c r="X532" s="48"/>
      <c r="Y532" s="48"/>
      <c r="Z532" s="48"/>
      <c r="AA532" s="48"/>
      <c r="AB532" s="48"/>
      <c r="AC532" s="1779" t="s">
        <v>600</v>
      </c>
      <c r="AD532" s="1728"/>
      <c r="AE532" s="1728"/>
      <c r="AF532" s="1728"/>
      <c r="AG532" s="13" t="s">
        <v>404</v>
      </c>
      <c r="AH532" s="1517"/>
      <c r="AI532" s="1517"/>
      <c r="AJ532" s="1517"/>
      <c r="AK532" s="1518"/>
      <c r="AZ532" s="3"/>
      <c r="BA532" s="3"/>
      <c r="BB532" s="3"/>
      <c r="BC532" s="3"/>
      <c r="BD532" s="3"/>
      <c r="BE532" s="3"/>
      <c r="BF532" s="3"/>
      <c r="BG532" s="3"/>
      <c r="BH532" s="3"/>
      <c r="BI532" s="3"/>
      <c r="BJ532" s="3"/>
      <c r="BK532" s="3"/>
      <c r="BL532" s="3"/>
      <c r="BM532" s="3"/>
      <c r="BN532" s="3" t="s">
        <v>2552</v>
      </c>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31"/>
      <c r="C533" s="1373"/>
      <c r="D533" s="1373"/>
      <c r="E533" s="1373"/>
      <c r="F533" s="1373"/>
      <c r="G533" s="1373"/>
      <c r="H533" s="1374"/>
      <c r="I533" s="42" t="s">
        <v>424</v>
      </c>
      <c r="J533" s="42"/>
      <c r="K533" s="42"/>
      <c r="L533" s="42"/>
      <c r="M533" s="42"/>
      <c r="N533" s="42"/>
      <c r="O533" s="1786" t="s">
        <v>335</v>
      </c>
      <c r="P533" s="1787"/>
      <c r="Q533" s="1787"/>
      <c r="R533" s="1787"/>
      <c r="S533" s="1787"/>
      <c r="T533" s="1787"/>
      <c r="U533" s="1787"/>
      <c r="V533" s="1787"/>
      <c r="W533" s="1787"/>
      <c r="X533" s="1787"/>
      <c r="Y533" s="1787"/>
      <c r="Z533" s="1787"/>
      <c r="AA533" s="1787"/>
      <c r="AC533" s="1779" t="s">
        <v>600</v>
      </c>
      <c r="AD533" s="1728"/>
      <c r="AE533" s="1728"/>
      <c r="AF533" s="1728"/>
      <c r="AG533" s="38" t="s">
        <v>404</v>
      </c>
      <c r="AH533" s="1517"/>
      <c r="AI533" s="1517"/>
      <c r="AJ533" s="1517"/>
      <c r="AK533" s="1518"/>
      <c r="AZ533" s="3"/>
      <c r="BA533" s="3"/>
      <c r="BB533" s="3"/>
      <c r="BC533" s="3"/>
      <c r="BD533" s="3"/>
      <c r="BE533" s="3"/>
      <c r="BF533" s="3"/>
      <c r="BG533" s="3"/>
      <c r="BH533" s="3"/>
      <c r="BI533" s="3"/>
      <c r="BJ533" s="3"/>
      <c r="BK533" s="3"/>
      <c r="BL533" s="3"/>
      <c r="BM533" s="3"/>
      <c r="BN533" s="3" t="s">
        <v>2553</v>
      </c>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31"/>
      <c r="C534" s="1373"/>
      <c r="D534" s="1373"/>
      <c r="E534" s="1373"/>
      <c r="F534" s="1373"/>
      <c r="G534" s="1373"/>
      <c r="H534" s="1374"/>
      <c r="I534" t="s">
        <v>422</v>
      </c>
      <c r="AC534" s="1779" t="s">
        <v>600</v>
      </c>
      <c r="AD534" s="1728"/>
      <c r="AE534" s="1728"/>
      <c r="AF534" s="1728"/>
      <c r="AG534" s="13" t="s">
        <v>404</v>
      </c>
      <c r="AH534" s="1517"/>
      <c r="AI534" s="1517"/>
      <c r="AJ534" s="1517"/>
      <c r="AK534" s="1518"/>
      <c r="AZ534" s="3"/>
      <c r="BA534" s="3"/>
      <c r="BB534" s="3"/>
      <c r="BC534" s="3"/>
      <c r="BD534" s="3"/>
      <c r="BE534" s="3"/>
      <c r="BF534" s="3"/>
      <c r="BG534" s="3"/>
      <c r="BH534" s="3"/>
      <c r="BI534" s="3"/>
      <c r="BJ534" s="3"/>
      <c r="BK534" s="3"/>
      <c r="BL534" s="3"/>
      <c r="BM534" s="3"/>
      <c r="BN534" s="3" t="s">
        <v>2554</v>
      </c>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31"/>
      <c r="C535" s="1373"/>
      <c r="D535" s="1373"/>
      <c r="E535" s="1373"/>
      <c r="F535" s="1373"/>
      <c r="G535" s="1373"/>
      <c r="H535" s="1374"/>
      <c r="I535" s="48" t="s">
        <v>423</v>
      </c>
      <c r="J535" s="48"/>
      <c r="K535" s="48"/>
      <c r="L535" s="48"/>
      <c r="M535" s="48"/>
      <c r="N535" s="48"/>
      <c r="O535" s="48"/>
      <c r="P535" s="48"/>
      <c r="Q535" s="48"/>
      <c r="R535" s="48"/>
      <c r="S535" s="48"/>
      <c r="T535" s="48"/>
      <c r="U535" s="48"/>
      <c r="V535" s="48"/>
      <c r="W535" s="48"/>
      <c r="X535" s="48"/>
      <c r="Y535" s="48"/>
      <c r="Z535" s="48"/>
      <c r="AA535" s="48"/>
      <c r="AB535" s="48"/>
      <c r="AC535" s="1779" t="s">
        <v>600</v>
      </c>
      <c r="AD535" s="1728"/>
      <c r="AE535" s="1728"/>
      <c r="AF535" s="1728"/>
      <c r="AG535" s="38" t="s">
        <v>404</v>
      </c>
      <c r="AH535" s="1517"/>
      <c r="AI535" s="1517"/>
      <c r="AJ535" s="1517"/>
      <c r="AK535" s="1518"/>
      <c r="AZ535" s="3"/>
      <c r="BA535" s="3"/>
      <c r="BB535" s="3"/>
      <c r="BC535" s="3"/>
      <c r="BD535" s="3"/>
      <c r="BE535" s="3"/>
      <c r="BF535" s="3"/>
      <c r="BG535" s="3"/>
      <c r="BH535" s="3"/>
      <c r="BI535" s="3"/>
      <c r="BJ535" s="3"/>
      <c r="BK535" s="3"/>
      <c r="BL535" s="3"/>
      <c r="BM535" s="3"/>
      <c r="BN535" s="3" t="s">
        <v>2555</v>
      </c>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31"/>
      <c r="C536" s="1373"/>
      <c r="D536" s="1373"/>
      <c r="E536" s="1373"/>
      <c r="F536" s="1373"/>
      <c r="G536" s="1373"/>
      <c r="H536" s="1374"/>
      <c r="I536" s="42" t="s">
        <v>571</v>
      </c>
      <c r="J536" s="42"/>
      <c r="K536" s="42"/>
      <c r="L536" s="42"/>
      <c r="M536" s="42"/>
      <c r="N536" s="42"/>
      <c r="O536" s="42"/>
      <c r="P536" s="42"/>
      <c r="Q536" s="42"/>
      <c r="R536" s="42"/>
      <c r="S536" s="42"/>
      <c r="T536" s="42"/>
      <c r="U536" s="42"/>
      <c r="V536" s="42"/>
      <c r="W536" s="42"/>
      <c r="AC536" s="1779">
        <v>11</v>
      </c>
      <c r="AD536" s="1728"/>
      <c r="AE536" s="1728"/>
      <c r="AF536" s="1728"/>
      <c r="AG536" s="38" t="s">
        <v>404</v>
      </c>
      <c r="AH536" s="1517">
        <v>2023</v>
      </c>
      <c r="AI536" s="1517"/>
      <c r="AJ536" s="1517"/>
      <c r="AK536" s="1518"/>
      <c r="AZ536" s="3"/>
      <c r="BA536" s="3"/>
      <c r="BB536" s="3"/>
      <c r="BC536" s="3"/>
      <c r="BD536" s="3"/>
      <c r="BE536" s="3"/>
      <c r="BF536" s="3"/>
      <c r="BG536" s="3"/>
      <c r="BH536" s="3"/>
      <c r="BI536" s="3"/>
      <c r="BJ536" s="3"/>
      <c r="BK536" s="3"/>
      <c r="BL536" s="3"/>
      <c r="BM536" s="3"/>
      <c r="BN536" s="3" t="s">
        <v>2556</v>
      </c>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31"/>
      <c r="C537" s="1373"/>
      <c r="D537" s="1373"/>
      <c r="E537" s="1373"/>
      <c r="F537" s="1373"/>
      <c r="G537" s="1373"/>
      <c r="H537" s="1374"/>
      <c r="I537" t="s">
        <v>572</v>
      </c>
      <c r="AC537" s="1779">
        <v>11</v>
      </c>
      <c r="AD537" s="1728"/>
      <c r="AE537" s="1728"/>
      <c r="AF537" s="1728"/>
      <c r="AG537" s="13" t="s">
        <v>404</v>
      </c>
      <c r="AH537" s="1517">
        <v>2023</v>
      </c>
      <c r="AI537" s="1517"/>
      <c r="AJ537" s="1517"/>
      <c r="AK537" s="1518"/>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31"/>
      <c r="C538" s="1373"/>
      <c r="D538" s="1373"/>
      <c r="E538" s="1373"/>
      <c r="F538" s="1373"/>
      <c r="G538" s="1373"/>
      <c r="H538" s="1374"/>
      <c r="I538" t="s">
        <v>573</v>
      </c>
      <c r="AC538" s="1779">
        <v>6</v>
      </c>
      <c r="AD538" s="1728"/>
      <c r="AE538" s="1728"/>
      <c r="AF538" s="1728"/>
      <c r="AG538" s="38" t="s">
        <v>404</v>
      </c>
      <c r="AH538" s="1517">
        <v>2025</v>
      </c>
      <c r="AI538" s="1517"/>
      <c r="AJ538" s="1517"/>
      <c r="AK538" s="1518"/>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31"/>
      <c r="C539" s="1373"/>
      <c r="D539" s="1373"/>
      <c r="E539" s="1373"/>
      <c r="F539" s="1373"/>
      <c r="G539" s="1373"/>
      <c r="H539" s="1374"/>
      <c r="I539" t="s">
        <v>574</v>
      </c>
      <c r="AC539" s="1779">
        <v>6</v>
      </c>
      <c r="AD539" s="1728"/>
      <c r="AE539" s="1728"/>
      <c r="AF539" s="1728"/>
      <c r="AG539" s="38" t="s">
        <v>404</v>
      </c>
      <c r="AH539" s="1517">
        <v>2025</v>
      </c>
      <c r="AI539" s="1517"/>
      <c r="AJ539" s="1517"/>
      <c r="AK539" s="1518"/>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32"/>
      <c r="C540" s="1375"/>
      <c r="D540" s="1375"/>
      <c r="E540" s="1375"/>
      <c r="F540" s="1375"/>
      <c r="G540" s="1375"/>
      <c r="H540" s="1376"/>
      <c r="I540" s="48" t="s">
        <v>460</v>
      </c>
      <c r="J540" s="48"/>
      <c r="K540" s="48"/>
      <c r="L540" s="48"/>
      <c r="M540" s="48"/>
      <c r="N540" s="48"/>
      <c r="O540" s="48"/>
      <c r="P540" s="48"/>
      <c r="Q540" s="48"/>
      <c r="R540" s="48"/>
      <c r="S540" s="48"/>
      <c r="T540" s="48"/>
      <c r="U540" s="48"/>
      <c r="V540" s="48"/>
      <c r="W540" s="48"/>
      <c r="X540" s="48"/>
      <c r="Y540" s="48"/>
      <c r="Z540" s="48"/>
      <c r="AA540" s="48"/>
      <c r="AB540" s="48"/>
      <c r="AC540" s="1779">
        <v>5</v>
      </c>
      <c r="AD540" s="1728"/>
      <c r="AE540" s="1728"/>
      <c r="AF540" s="1728"/>
      <c r="AG540" s="38" t="s">
        <v>404</v>
      </c>
      <c r="AH540" s="1517">
        <v>2026</v>
      </c>
      <c r="AI540" s="1517"/>
      <c r="AJ540" s="1517"/>
      <c r="AK540" s="1518"/>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567"/>
      <c r="C541" s="130"/>
      <c r="D541" s="130"/>
      <c r="E541" s="130"/>
      <c r="F541" s="130"/>
      <c r="G541" s="130"/>
      <c r="H541" s="130"/>
      <c r="AB541" s="130"/>
      <c r="BB541" s="3"/>
      <c r="BC541" s="3"/>
      <c r="BD541" s="3"/>
      <c r="BE541" s="3"/>
      <c r="BF541" s="3"/>
      <c r="BG541" s="3"/>
      <c r="BH541" s="3" t="s">
        <v>113</v>
      </c>
      <c r="BI541" s="3" t="str">
        <f>N645</f>
        <v>Yes</v>
      </c>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A542" s="1260" t="s">
        <v>552</v>
      </c>
      <c r="B542" s="1260"/>
      <c r="C542" s="1260"/>
      <c r="D542" s="1260"/>
      <c r="E542" s="1260"/>
      <c r="F542" s="1260"/>
      <c r="G542" s="1260"/>
      <c r="H542" s="1260"/>
      <c r="I542" s="1260"/>
      <c r="J542" s="1260"/>
      <c r="K542" s="1260"/>
      <c r="L542" s="1260"/>
      <c r="M542" s="1260"/>
      <c r="N542" s="1260"/>
      <c r="O542" s="1260"/>
      <c r="P542" s="1260"/>
      <c r="Q542" s="1260"/>
      <c r="R542" s="1260"/>
      <c r="S542" s="1260"/>
      <c r="T542" s="1260"/>
      <c r="U542" s="1260"/>
      <c r="V542" s="1260"/>
      <c r="W542" s="1260"/>
      <c r="X542" s="1260"/>
      <c r="Y542" s="1260"/>
      <c r="Z542" s="1260"/>
      <c r="AA542" s="1260"/>
      <c r="AB542" s="1260"/>
      <c r="AC542" s="1260"/>
      <c r="AD542" s="1260"/>
      <c r="AE542" s="1260"/>
      <c r="AF542" s="1260"/>
      <c r="AG542" s="1260"/>
      <c r="AH542" s="1260"/>
      <c r="AI542" s="1260"/>
      <c r="AJ542" s="1260"/>
      <c r="AK542" s="1260"/>
      <c r="AL542" s="1260"/>
      <c r="AM542" s="1260"/>
      <c r="AN542" s="1260"/>
      <c r="AO542" s="1260"/>
      <c r="AP542" s="1260"/>
      <c r="AQ542" s="1260"/>
      <c r="AR542" s="1260"/>
      <c r="AS542" s="1260"/>
      <c r="AT542" s="936"/>
      <c r="AU542" s="936"/>
      <c r="AV542" s="936"/>
      <c r="AW542" s="936"/>
      <c r="AX542" s="936"/>
      <c r="AY542" s="936"/>
      <c r="BB542" s="3"/>
      <c r="BC542" s="3"/>
      <c r="BD542" s="3"/>
      <c r="BE542" s="3"/>
      <c r="BF542" s="3"/>
      <c r="BG542" s="3"/>
      <c r="BH542" s="3" t="s">
        <v>114</v>
      </c>
      <c r="BI542" s="3" t="str">
        <f>AG645</f>
        <v>Yes</v>
      </c>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A543" s="1260"/>
      <c r="B543" s="1260"/>
      <c r="C543" s="1260"/>
      <c r="D543" s="1260"/>
      <c r="E543" s="1260"/>
      <c r="F543" s="1260"/>
      <c r="G543" s="1260"/>
      <c r="H543" s="1260"/>
      <c r="I543" s="1260"/>
      <c r="J543" s="1260"/>
      <c r="K543" s="1260"/>
      <c r="L543" s="1260"/>
      <c r="M543" s="1260"/>
      <c r="N543" s="1260"/>
      <c r="O543" s="1260"/>
      <c r="P543" s="1260"/>
      <c r="Q543" s="1260"/>
      <c r="R543" s="1260"/>
      <c r="S543" s="1260"/>
      <c r="T543" s="1260"/>
      <c r="U543" s="1260"/>
      <c r="V543" s="1260"/>
      <c r="W543" s="1260"/>
      <c r="X543" s="1260"/>
      <c r="Y543" s="1260"/>
      <c r="Z543" s="1260"/>
      <c r="AA543" s="1260"/>
      <c r="AB543" s="1260"/>
      <c r="AC543" s="1260"/>
      <c r="AD543" s="1260"/>
      <c r="AE543" s="1260"/>
      <c r="AF543" s="1260"/>
      <c r="AG543" s="1260"/>
      <c r="AH543" s="1260"/>
      <c r="AI543" s="1260"/>
      <c r="AJ543" s="1260"/>
      <c r="AK543" s="1260"/>
      <c r="AL543" s="1260"/>
      <c r="AM543" s="1260"/>
      <c r="AN543" s="1260"/>
      <c r="AO543" s="1260"/>
      <c r="AP543" s="1260"/>
      <c r="AQ543" s="1260"/>
      <c r="AR543" s="1260"/>
      <c r="AS543" s="1260"/>
      <c r="AT543" s="936"/>
      <c r="AU543" s="936"/>
      <c r="AV543" s="936"/>
      <c r="AW543" s="936"/>
      <c r="AX543" s="936"/>
      <c r="AY543" s="936"/>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2" t="s">
        <v>320</v>
      </c>
      <c r="B545" s="2"/>
      <c r="C545" s="2" t="s">
        <v>461</v>
      </c>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A546" s="2"/>
      <c r="B546" s="2"/>
      <c r="C546" s="2"/>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c r="A547" s="2"/>
      <c r="B547" s="2"/>
      <c r="C547" s="2"/>
      <c r="D547" s="2" t="s">
        <v>2528</v>
      </c>
      <c r="AC547" s="98"/>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B548" s="547"/>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38.25" customHeight="1">
      <c r="B549" s="1780" t="s">
        <v>2530</v>
      </c>
      <c r="C549" s="1781"/>
      <c r="D549" s="1781"/>
      <c r="E549" s="1781"/>
      <c r="F549" s="1781"/>
      <c r="G549" s="1781"/>
      <c r="H549" s="1781"/>
      <c r="I549" s="1781"/>
      <c r="J549" s="1781"/>
      <c r="K549" s="1781"/>
      <c r="L549" s="1782"/>
      <c r="M549" s="1368" t="s">
        <v>2531</v>
      </c>
      <c r="N549" s="1368"/>
      <c r="O549" s="1368"/>
      <c r="P549" s="1368"/>
      <c r="Q549" s="1780" t="s">
        <v>2557</v>
      </c>
      <c r="R549" s="1781"/>
      <c r="S549" s="1782"/>
      <c r="T549" s="1780" t="s">
        <v>2558</v>
      </c>
      <c r="U549" s="1781"/>
      <c r="V549" s="1782"/>
      <c r="W549" s="1780" t="s">
        <v>462</v>
      </c>
      <c r="X549" s="1781"/>
      <c r="Y549" s="1782"/>
      <c r="Z549" s="1780" t="s">
        <v>2114</v>
      </c>
      <c r="AA549" s="1781"/>
      <c r="AB549" s="1781"/>
      <c r="AC549" s="1781"/>
      <c r="AD549" s="1781"/>
      <c r="AE549" s="1780" t="s">
        <v>1935</v>
      </c>
      <c r="AF549" s="1781"/>
      <c r="AG549" s="1781"/>
      <c r="AH549" s="1782"/>
      <c r="AI549" s="1780" t="s">
        <v>1936</v>
      </c>
      <c r="AJ549" s="1781"/>
      <c r="AK549" s="1781"/>
      <c r="AL549" s="1782"/>
      <c r="AM549" s="1780" t="s">
        <v>463</v>
      </c>
      <c r="AN549" s="1781"/>
      <c r="AO549" s="1781"/>
      <c r="AP549" s="1781"/>
      <c r="AQ549" s="1781"/>
      <c r="AR549" s="1781"/>
      <c r="AS549" s="1782"/>
      <c r="BB549" s="3"/>
      <c r="BC549" s="3"/>
      <c r="BD549" s="3"/>
      <c r="BE549" s="3"/>
      <c r="BF549" s="3"/>
      <c r="BG549" s="3"/>
      <c r="BH549" s="3" t="s">
        <v>120</v>
      </c>
      <c r="BI549" s="3" t="str">
        <f>N653</f>
        <v>Yes</v>
      </c>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75" customHeight="1">
      <c r="B550" s="51" t="s">
        <v>113</v>
      </c>
      <c r="C550" s="1358" t="s">
        <v>2700</v>
      </c>
      <c r="D550" s="1358"/>
      <c r="E550" s="1358"/>
      <c r="F550" s="1358"/>
      <c r="G550" s="1358"/>
      <c r="H550" s="1358"/>
      <c r="I550" s="1358"/>
      <c r="J550" s="1358"/>
      <c r="K550" s="1358"/>
      <c r="L550" s="1358"/>
      <c r="M550" s="1358" t="s">
        <v>2547</v>
      </c>
      <c r="N550" s="1358"/>
      <c r="O550" s="1358"/>
      <c r="P550" s="1358"/>
      <c r="Q550" s="1361">
        <v>30</v>
      </c>
      <c r="R550" s="1361"/>
      <c r="S550" s="1362"/>
      <c r="T550" s="1360"/>
      <c r="U550" s="1361"/>
      <c r="V550" s="1362"/>
      <c r="W550" s="1620">
        <v>6.8000000000000005E-2</v>
      </c>
      <c r="X550" s="1621"/>
      <c r="Y550" s="1622"/>
      <c r="Z550" s="1363" t="s">
        <v>2724</v>
      </c>
      <c r="AA550" s="1363"/>
      <c r="AB550" s="1363"/>
      <c r="AC550" s="1363"/>
      <c r="AD550" s="1363"/>
      <c r="AE550" s="1797">
        <v>1</v>
      </c>
      <c r="AF550" s="1798"/>
      <c r="AG550" s="1798"/>
      <c r="AH550" s="1799"/>
      <c r="AI550" s="1803"/>
      <c r="AJ550" s="1804"/>
      <c r="AK550" s="1804"/>
      <c r="AL550" s="1805"/>
      <c r="AM550" s="1800">
        <v>33955000</v>
      </c>
      <c r="AN550" s="1801"/>
      <c r="AO550" s="1801"/>
      <c r="AP550" s="1801"/>
      <c r="AQ550" s="1801"/>
      <c r="AR550" s="1801"/>
      <c r="AS550" s="1802"/>
      <c r="AT550" s="1201"/>
      <c r="BB550" s="3"/>
      <c r="BC550" s="3"/>
      <c r="BD550" s="3"/>
      <c r="BE550" s="3"/>
      <c r="BF550" s="3"/>
      <c r="BG550" s="3"/>
      <c r="BH550" s="3" t="s">
        <v>590</v>
      </c>
      <c r="BI550" s="3" t="str">
        <f>AG653</f>
        <v>No</v>
      </c>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52" t="s">
        <v>114</v>
      </c>
      <c r="C551" s="1656" t="s">
        <v>2725</v>
      </c>
      <c r="D551" s="1656"/>
      <c r="E551" s="1656"/>
      <c r="F551" s="1656"/>
      <c r="G551" s="1656"/>
      <c r="H551" s="1656"/>
      <c r="I551" s="1656"/>
      <c r="J551" s="1656"/>
      <c r="K551" s="1656"/>
      <c r="L551" s="1656"/>
      <c r="M551" s="1358" t="s">
        <v>2548</v>
      </c>
      <c r="N551" s="1358"/>
      <c r="O551" s="1358"/>
      <c r="P551" s="1358"/>
      <c r="Q551" s="1360">
        <v>30</v>
      </c>
      <c r="R551" s="1361"/>
      <c r="S551" s="1362"/>
      <c r="T551" s="1360"/>
      <c r="U551" s="1361"/>
      <c r="V551" s="1362"/>
      <c r="W551" s="1620">
        <v>6.8000000000000005E-2</v>
      </c>
      <c r="X551" s="1621"/>
      <c r="Y551" s="1622"/>
      <c r="Z551" s="1363" t="s">
        <v>2724</v>
      </c>
      <c r="AA551" s="1363"/>
      <c r="AB551" s="1363"/>
      <c r="AC551" s="1363"/>
      <c r="AD551" s="1363"/>
      <c r="AE551" s="1797">
        <v>1</v>
      </c>
      <c r="AF551" s="1798"/>
      <c r="AG551" s="1798"/>
      <c r="AH551" s="1799"/>
      <c r="AI551" s="1803"/>
      <c r="AJ551" s="1804"/>
      <c r="AK551" s="1804"/>
      <c r="AL551" s="1805"/>
      <c r="AM551" s="1800">
        <v>3500000</v>
      </c>
      <c r="AN551" s="1801"/>
      <c r="AO551" s="1801"/>
      <c r="AP551" s="1801"/>
      <c r="AQ551" s="1801"/>
      <c r="AR551" s="1801"/>
      <c r="AS551" s="1802"/>
      <c r="AT551" s="1201" t="str">
        <f>IF(AND(NOT(C550=""),C551="",NOT(C552="")),"!","")</f>
        <v/>
      </c>
      <c r="AU551" s="1200"/>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52" t="s">
        <v>120</v>
      </c>
      <c r="C552" s="1656" t="s">
        <v>2731</v>
      </c>
      <c r="D552" s="1656"/>
      <c r="E552" s="1656"/>
      <c r="F552" s="1656"/>
      <c r="G552" s="1656"/>
      <c r="H552" s="1656"/>
      <c r="I552" s="1656"/>
      <c r="J552" s="1656"/>
      <c r="K552" s="1656"/>
      <c r="L552" s="1656"/>
      <c r="M552" s="1358" t="s">
        <v>2546</v>
      </c>
      <c r="N552" s="1358"/>
      <c r="O552" s="1358"/>
      <c r="P552" s="1358"/>
      <c r="Q552" s="1360">
        <v>30</v>
      </c>
      <c r="R552" s="1361"/>
      <c r="S552" s="1362"/>
      <c r="T552" s="1360"/>
      <c r="U552" s="1361"/>
      <c r="V552" s="1362"/>
      <c r="W552" s="1620">
        <v>7.4999999999999997E-2</v>
      </c>
      <c r="X552" s="1621"/>
      <c r="Y552" s="1622"/>
      <c r="Z552" s="1363" t="s">
        <v>2724</v>
      </c>
      <c r="AA552" s="1363"/>
      <c r="AB552" s="1363"/>
      <c r="AC552" s="1363"/>
      <c r="AD552" s="1363"/>
      <c r="AE552" s="1797"/>
      <c r="AF552" s="1798"/>
      <c r="AG552" s="1798"/>
      <c r="AH552" s="1799"/>
      <c r="AI552" s="1803"/>
      <c r="AJ552" s="1804"/>
      <c r="AK552" s="1804"/>
      <c r="AL552" s="1805"/>
      <c r="AM552" s="1800">
        <v>10100000</v>
      </c>
      <c r="AN552" s="1801"/>
      <c r="AO552" s="1801"/>
      <c r="AP552" s="1801"/>
      <c r="AQ552" s="1801"/>
      <c r="AR552" s="1801"/>
      <c r="AS552" s="1802"/>
      <c r="AT552" s="1201" t="str">
        <f>IF(AND(NOT(C551=""),C552="",NOT(C553="")),"!","")</f>
        <v/>
      </c>
      <c r="AU552" s="1200"/>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52" t="s">
        <v>590</v>
      </c>
      <c r="C553" s="1656" t="s">
        <v>2723</v>
      </c>
      <c r="D553" s="1656"/>
      <c r="E553" s="1656"/>
      <c r="F553" s="1656"/>
      <c r="G553" s="1656"/>
      <c r="H553" s="1656"/>
      <c r="I553" s="1656"/>
      <c r="J553" s="1656"/>
      <c r="K553" s="1656"/>
      <c r="L553" s="1656"/>
      <c r="M553" s="1358" t="s">
        <v>2533</v>
      </c>
      <c r="N553" s="1358"/>
      <c r="O553" s="1358"/>
      <c r="P553" s="1358"/>
      <c r="Q553" s="1360"/>
      <c r="R553" s="1361"/>
      <c r="S553" s="1362"/>
      <c r="T553" s="1360"/>
      <c r="U553" s="1361"/>
      <c r="V553" s="1362"/>
      <c r="W553" s="1620"/>
      <c r="X553" s="1621"/>
      <c r="Y553" s="1622"/>
      <c r="Z553" s="1363" t="s">
        <v>1327</v>
      </c>
      <c r="AA553" s="1363"/>
      <c r="AB553" s="1363"/>
      <c r="AC553" s="1363"/>
      <c r="AD553" s="1363"/>
      <c r="AE553" s="1797"/>
      <c r="AF553" s="1798"/>
      <c r="AG553" s="1798"/>
      <c r="AH553" s="1799"/>
      <c r="AI553" s="1803"/>
      <c r="AJ553" s="1804"/>
      <c r="AK553" s="1804"/>
      <c r="AL553" s="1805"/>
      <c r="AM553" s="1800">
        <v>8766436</v>
      </c>
      <c r="AN553" s="1801"/>
      <c r="AO553" s="1801"/>
      <c r="AP553" s="1801"/>
      <c r="AQ553" s="1801"/>
      <c r="AR553" s="1801"/>
      <c r="AS553" s="1802"/>
      <c r="AT553" s="1201" t="str">
        <f>IF(AND(NOT(C552=""),C553="",NOT(C554="")),"!","")</f>
        <v/>
      </c>
      <c r="AU553" s="1200"/>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2" t="s">
        <v>787</v>
      </c>
      <c r="C554" s="1656" t="s">
        <v>2674</v>
      </c>
      <c r="D554" s="1656"/>
      <c r="E554" s="1656"/>
      <c r="F554" s="1656"/>
      <c r="G554" s="1656"/>
      <c r="H554" s="1656"/>
      <c r="I554" s="1656"/>
      <c r="J554" s="1656"/>
      <c r="K554" s="1656"/>
      <c r="L554" s="1656"/>
      <c r="M554" s="1358" t="s">
        <v>2538</v>
      </c>
      <c r="N554" s="1358"/>
      <c r="O554" s="1358"/>
      <c r="P554" s="1358"/>
      <c r="Q554" s="1360"/>
      <c r="R554" s="1361"/>
      <c r="S554" s="1362"/>
      <c r="T554" s="1360"/>
      <c r="U554" s="1361"/>
      <c r="V554" s="1362"/>
      <c r="W554" s="1620"/>
      <c r="X554" s="1621"/>
      <c r="Y554" s="1622"/>
      <c r="Z554" s="1363" t="s">
        <v>1327</v>
      </c>
      <c r="AA554" s="1363"/>
      <c r="AB554" s="1363"/>
      <c r="AC554" s="1363"/>
      <c r="AD554" s="1363"/>
      <c r="AE554" s="1797"/>
      <c r="AF554" s="1798"/>
      <c r="AG554" s="1798"/>
      <c r="AH554" s="1799"/>
      <c r="AI554" s="1803"/>
      <c r="AJ554" s="1804"/>
      <c r="AK554" s="1804"/>
      <c r="AL554" s="1805"/>
      <c r="AM554" s="1800">
        <v>7784668</v>
      </c>
      <c r="AN554" s="1801"/>
      <c r="AO554" s="1801"/>
      <c r="AP554" s="1801"/>
      <c r="AQ554" s="1801"/>
      <c r="AR554" s="1801"/>
      <c r="AS554" s="1802"/>
      <c r="AT554" s="1201" t="str">
        <f t="shared" ref="AT554:AT561" si="0">IF(AND(NOT(C553=""),C554="",NOT(C555="")),"!","")</f>
        <v/>
      </c>
      <c r="AU554" s="1200"/>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593</v>
      </c>
      <c r="C555" s="1656" t="s">
        <v>2717</v>
      </c>
      <c r="D555" s="1656"/>
      <c r="E555" s="1656"/>
      <c r="F555" s="1656"/>
      <c r="G555" s="1656"/>
      <c r="H555" s="1656"/>
      <c r="I555" s="1656"/>
      <c r="J555" s="1656"/>
      <c r="K555" s="1656"/>
      <c r="L555" s="1656"/>
      <c r="M555" s="1358" t="s">
        <v>2549</v>
      </c>
      <c r="N555" s="1358"/>
      <c r="O555" s="1358"/>
      <c r="P555" s="1358"/>
      <c r="Q555" s="1360"/>
      <c r="R555" s="1361"/>
      <c r="S555" s="1362"/>
      <c r="T555" s="1360"/>
      <c r="U555" s="1361"/>
      <c r="V555" s="1362"/>
      <c r="W555" s="1620"/>
      <c r="X555" s="1621"/>
      <c r="Y555" s="1622"/>
      <c r="Z555" s="1363" t="s">
        <v>1327</v>
      </c>
      <c r="AA555" s="1363"/>
      <c r="AB555" s="1363"/>
      <c r="AC555" s="1363"/>
      <c r="AD555" s="1363"/>
      <c r="AE555" s="1797"/>
      <c r="AF555" s="1798"/>
      <c r="AG555" s="1798"/>
      <c r="AH555" s="1799"/>
      <c r="AI555" s="1803"/>
      <c r="AJ555" s="1804"/>
      <c r="AK555" s="1804"/>
      <c r="AL555" s="1805"/>
      <c r="AM555" s="1800">
        <v>102575</v>
      </c>
      <c r="AN555" s="1801"/>
      <c r="AO555" s="1801"/>
      <c r="AP555" s="1801"/>
      <c r="AQ555" s="1801"/>
      <c r="AR555" s="1801"/>
      <c r="AS555" s="1802"/>
      <c r="AT555" s="1201" t="str">
        <f t="shared" si="0"/>
        <v/>
      </c>
      <c r="AU555" s="1200"/>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464</v>
      </c>
      <c r="C556" s="1656"/>
      <c r="D556" s="1656"/>
      <c r="E556" s="1656"/>
      <c r="F556" s="1656"/>
      <c r="G556" s="1656"/>
      <c r="H556" s="1656"/>
      <c r="I556" s="1656"/>
      <c r="J556" s="1656"/>
      <c r="K556" s="1656"/>
      <c r="L556" s="1656"/>
      <c r="M556" s="1358" t="s">
        <v>1327</v>
      </c>
      <c r="N556" s="1358"/>
      <c r="O556" s="1358"/>
      <c r="P556" s="1358"/>
      <c r="Q556" s="1360"/>
      <c r="R556" s="1361"/>
      <c r="S556" s="1362"/>
      <c r="T556" s="1360"/>
      <c r="U556" s="1361"/>
      <c r="V556" s="1362"/>
      <c r="W556" s="1620"/>
      <c r="X556" s="1621"/>
      <c r="Y556" s="1622"/>
      <c r="Z556" s="1363" t="s">
        <v>1327</v>
      </c>
      <c r="AA556" s="1363"/>
      <c r="AB556" s="1363"/>
      <c r="AC556" s="1363"/>
      <c r="AD556" s="1363"/>
      <c r="AE556" s="1797"/>
      <c r="AF556" s="1798"/>
      <c r="AG556" s="1798"/>
      <c r="AH556" s="1799"/>
      <c r="AI556" s="1803"/>
      <c r="AJ556" s="1804"/>
      <c r="AK556" s="1804"/>
      <c r="AL556" s="1805"/>
      <c r="AM556" s="1800"/>
      <c r="AN556" s="1801"/>
      <c r="AO556" s="1801"/>
      <c r="AP556" s="1801"/>
      <c r="AQ556" s="1801"/>
      <c r="AR556" s="1801"/>
      <c r="AS556" s="1802"/>
      <c r="AT556" s="1201" t="str">
        <f t="shared" si="0"/>
        <v/>
      </c>
      <c r="AU556" s="1200"/>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465</v>
      </c>
      <c r="C557" s="1656"/>
      <c r="D557" s="1656"/>
      <c r="E557" s="1656"/>
      <c r="F557" s="1656"/>
      <c r="G557" s="1656"/>
      <c r="H557" s="1656"/>
      <c r="I557" s="1656"/>
      <c r="J557" s="1656"/>
      <c r="K557" s="1656"/>
      <c r="L557" s="1656"/>
      <c r="M557" s="1358" t="s">
        <v>1327</v>
      </c>
      <c r="N557" s="1358"/>
      <c r="O557" s="1358"/>
      <c r="P557" s="1358"/>
      <c r="Q557" s="1360"/>
      <c r="R557" s="1361"/>
      <c r="S557" s="1362"/>
      <c r="T557" s="1360"/>
      <c r="U557" s="1361"/>
      <c r="V557" s="1362"/>
      <c r="W557" s="1620"/>
      <c r="X557" s="1621"/>
      <c r="Y557" s="1622"/>
      <c r="Z557" s="1363" t="s">
        <v>1327</v>
      </c>
      <c r="AA557" s="1363"/>
      <c r="AB557" s="1363"/>
      <c r="AC557" s="1363"/>
      <c r="AD557" s="1363"/>
      <c r="AE557" s="1797"/>
      <c r="AF557" s="1798"/>
      <c r="AG557" s="1798"/>
      <c r="AH557" s="1799"/>
      <c r="AI557" s="1803"/>
      <c r="AJ557" s="1804"/>
      <c r="AK557" s="1804"/>
      <c r="AL557" s="1805"/>
      <c r="AM557" s="1800"/>
      <c r="AN557" s="1801"/>
      <c r="AO557" s="1801"/>
      <c r="AP557" s="1801"/>
      <c r="AQ557" s="1801"/>
      <c r="AR557" s="1801"/>
      <c r="AS557" s="1802"/>
      <c r="AT557" s="1201" t="str">
        <f t="shared" si="0"/>
        <v/>
      </c>
      <c r="AU557" s="1200"/>
      <c r="BB557" s="3"/>
      <c r="BC557" s="3"/>
      <c r="BD557" s="3"/>
      <c r="BE557" s="3"/>
      <c r="BF557" s="3"/>
      <c r="BG557" s="3"/>
      <c r="BH557" s="3" t="s">
        <v>787</v>
      </c>
      <c r="BI557" s="3" t="str">
        <f>N661</f>
        <v>No</v>
      </c>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470</v>
      </c>
      <c r="C558" s="1656"/>
      <c r="D558" s="1656"/>
      <c r="E558" s="1656"/>
      <c r="F558" s="1656"/>
      <c r="G558" s="1656"/>
      <c r="H558" s="1656"/>
      <c r="I558" s="1656"/>
      <c r="J558" s="1656"/>
      <c r="K558" s="1656"/>
      <c r="L558" s="1656"/>
      <c r="M558" s="1358" t="s">
        <v>1327</v>
      </c>
      <c r="N558" s="1358"/>
      <c r="O558" s="1358"/>
      <c r="P558" s="1358"/>
      <c r="Q558" s="1360"/>
      <c r="R558" s="1361"/>
      <c r="S558" s="1362"/>
      <c r="T558" s="1360"/>
      <c r="U558" s="1361"/>
      <c r="V558" s="1362"/>
      <c r="W558" s="1620"/>
      <c r="X558" s="1621"/>
      <c r="Y558" s="1622"/>
      <c r="Z558" s="1363" t="s">
        <v>1327</v>
      </c>
      <c r="AA558" s="1363"/>
      <c r="AB558" s="1363"/>
      <c r="AC558" s="1363"/>
      <c r="AD558" s="1363"/>
      <c r="AE558" s="1797"/>
      <c r="AF558" s="1798"/>
      <c r="AG558" s="1798"/>
      <c r="AH558" s="1799"/>
      <c r="AI558" s="1803"/>
      <c r="AJ558" s="1804"/>
      <c r="AK558" s="1804"/>
      <c r="AL558" s="1805"/>
      <c r="AM558" s="1800"/>
      <c r="AN558" s="1801"/>
      <c r="AO558" s="1801"/>
      <c r="AP558" s="1801"/>
      <c r="AQ558" s="1801"/>
      <c r="AR558" s="1801"/>
      <c r="AS558" s="1802"/>
      <c r="AT558" s="1201" t="str">
        <f t="shared" si="0"/>
        <v/>
      </c>
      <c r="AU558" s="1200"/>
      <c r="BB558" s="3"/>
      <c r="BC558" s="3"/>
      <c r="BD558" s="3"/>
      <c r="BE558" s="3"/>
      <c r="BF558" s="3"/>
      <c r="BG558" s="3"/>
      <c r="BH558" s="3" t="s">
        <v>593</v>
      </c>
      <c r="BI558" s="3" t="str">
        <f>AG661</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655</v>
      </c>
      <c r="C559" s="1656"/>
      <c r="D559" s="1656"/>
      <c r="E559" s="1656"/>
      <c r="F559" s="1656"/>
      <c r="G559" s="1656"/>
      <c r="H559" s="1656"/>
      <c r="I559" s="1656"/>
      <c r="J559" s="1656"/>
      <c r="K559" s="1656"/>
      <c r="L559" s="1656"/>
      <c r="M559" s="1358" t="s">
        <v>1327</v>
      </c>
      <c r="N559" s="1358"/>
      <c r="O559" s="1358"/>
      <c r="P559" s="1358"/>
      <c r="Q559" s="1360"/>
      <c r="R559" s="1361"/>
      <c r="S559" s="1362"/>
      <c r="T559" s="1360"/>
      <c r="U559" s="1361"/>
      <c r="V559" s="1362"/>
      <c r="W559" s="1620"/>
      <c r="X559" s="1621"/>
      <c r="Y559" s="1622"/>
      <c r="Z559" s="1363" t="s">
        <v>1327</v>
      </c>
      <c r="AA559" s="1363"/>
      <c r="AB559" s="1363"/>
      <c r="AC559" s="1363"/>
      <c r="AD559" s="1363"/>
      <c r="AE559" s="1797"/>
      <c r="AF559" s="1798"/>
      <c r="AG559" s="1798"/>
      <c r="AH559" s="1799"/>
      <c r="AI559" s="1803"/>
      <c r="AJ559" s="1804"/>
      <c r="AK559" s="1804"/>
      <c r="AL559" s="1805"/>
      <c r="AM559" s="1800"/>
      <c r="AN559" s="1801"/>
      <c r="AO559" s="1801"/>
      <c r="AP559" s="1801"/>
      <c r="AQ559" s="1801"/>
      <c r="AR559" s="1801"/>
      <c r="AS559" s="1802"/>
      <c r="AT559" s="1201" t="str">
        <f t="shared" si="0"/>
        <v/>
      </c>
      <c r="AU559" s="1200"/>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363</v>
      </c>
      <c r="C560" s="1656"/>
      <c r="D560" s="1656"/>
      <c r="E560" s="1656"/>
      <c r="F560" s="1656"/>
      <c r="G560" s="1656"/>
      <c r="H560" s="1656"/>
      <c r="I560" s="1656"/>
      <c r="J560" s="1656"/>
      <c r="K560" s="1656"/>
      <c r="L560" s="1656"/>
      <c r="M560" s="1358" t="s">
        <v>1327</v>
      </c>
      <c r="N560" s="1358"/>
      <c r="O560" s="1358"/>
      <c r="P560" s="1358"/>
      <c r="Q560" s="1360"/>
      <c r="R560" s="1361"/>
      <c r="S560" s="1362"/>
      <c r="T560" s="1360"/>
      <c r="U560" s="1361"/>
      <c r="V560" s="1362"/>
      <c r="W560" s="1620"/>
      <c r="X560" s="1621"/>
      <c r="Y560" s="1622"/>
      <c r="Z560" s="1363" t="s">
        <v>1327</v>
      </c>
      <c r="AA560" s="1363"/>
      <c r="AB560" s="1363"/>
      <c r="AC560" s="1363"/>
      <c r="AD560" s="1363"/>
      <c r="AE560" s="1797"/>
      <c r="AF560" s="1798"/>
      <c r="AG560" s="1798"/>
      <c r="AH560" s="1799"/>
      <c r="AI560" s="1803"/>
      <c r="AJ560" s="1804"/>
      <c r="AK560" s="1804"/>
      <c r="AL560" s="1805"/>
      <c r="AM560" s="1800"/>
      <c r="AN560" s="1801"/>
      <c r="AO560" s="1801"/>
      <c r="AP560" s="1801"/>
      <c r="AQ560" s="1801"/>
      <c r="AR560" s="1801"/>
      <c r="AS560" s="1802"/>
      <c r="AT560" s="1201" t="str">
        <f t="shared" si="0"/>
        <v/>
      </c>
      <c r="AU560" s="1200"/>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364</v>
      </c>
      <c r="C561" s="1656"/>
      <c r="D561" s="1656"/>
      <c r="E561" s="1656"/>
      <c r="F561" s="1656"/>
      <c r="G561" s="1656"/>
      <c r="H561" s="1656"/>
      <c r="I561" s="1656"/>
      <c r="J561" s="1656"/>
      <c r="K561" s="1656"/>
      <c r="L561" s="1656"/>
      <c r="M561" s="1358" t="s">
        <v>1327</v>
      </c>
      <c r="N561" s="1358"/>
      <c r="O561" s="1358"/>
      <c r="P561" s="1358"/>
      <c r="Q561" s="1360"/>
      <c r="R561" s="1361"/>
      <c r="S561" s="1362"/>
      <c r="T561" s="1360"/>
      <c r="U561" s="1361"/>
      <c r="V561" s="1362"/>
      <c r="W561" s="1620"/>
      <c r="X561" s="1621"/>
      <c r="Y561" s="1622"/>
      <c r="Z561" s="1363" t="s">
        <v>1327</v>
      </c>
      <c r="AA561" s="1363"/>
      <c r="AB561" s="1363"/>
      <c r="AC561" s="1363"/>
      <c r="AD561" s="1363"/>
      <c r="AE561" s="1797"/>
      <c r="AF561" s="1798"/>
      <c r="AG561" s="1798"/>
      <c r="AH561" s="1799"/>
      <c r="AI561" s="1803"/>
      <c r="AJ561" s="1804"/>
      <c r="AK561" s="1804"/>
      <c r="AL561" s="1805"/>
      <c r="AM561" s="1800"/>
      <c r="AN561" s="1801"/>
      <c r="AO561" s="1801"/>
      <c r="AP561" s="1801"/>
      <c r="AQ561" s="1801"/>
      <c r="AR561" s="1801"/>
      <c r="AS561" s="1802"/>
      <c r="AT561" s="1201" t="str">
        <f t="shared" si="0"/>
        <v/>
      </c>
      <c r="AU561" s="1200"/>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1577" t="s">
        <v>128</v>
      </c>
      <c r="C562" s="1578"/>
      <c r="D562" s="1578"/>
      <c r="E562" s="1578"/>
      <c r="F562" s="1578"/>
      <c r="G562" s="1578"/>
      <c r="H562" s="1578"/>
      <c r="I562" s="1578"/>
      <c r="J562" s="1578"/>
      <c r="K562" s="1578"/>
      <c r="L562" s="1578"/>
      <c r="M562" s="1578"/>
      <c r="N562" s="1578"/>
      <c r="O562" s="1578"/>
      <c r="P562" s="1578"/>
      <c r="Q562" s="1578"/>
      <c r="R562" s="1578"/>
      <c r="S562" s="1578"/>
      <c r="T562" s="1578"/>
      <c r="U562" s="1736"/>
      <c r="V562" s="1578"/>
      <c r="W562" s="1578"/>
      <c r="X562" s="1578"/>
      <c r="Y562" s="1578"/>
      <c r="Z562" s="1578"/>
      <c r="AA562" s="1578"/>
      <c r="AB562" s="1578"/>
      <c r="AC562" s="1578"/>
      <c r="AD562" s="1578"/>
      <c r="AE562" s="1578"/>
      <c r="AF562" s="1578"/>
      <c r="AG562" s="1578"/>
      <c r="AH562" s="1578"/>
      <c r="AI562" s="1578"/>
      <c r="AJ562" s="1578"/>
      <c r="AK562" s="1578"/>
      <c r="AL562" s="1579"/>
      <c r="AM562" s="1587">
        <f>SUM(AM550:AS561)</f>
        <v>64208679</v>
      </c>
      <c r="AN562" s="1588"/>
      <c r="AO562" s="1588"/>
      <c r="AP562" s="1588"/>
      <c r="AQ562" s="1588"/>
      <c r="AR562" s="1588"/>
      <c r="AS562" s="1589"/>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c r="AD563" s="56"/>
      <c r="AE563" s="123"/>
      <c r="AF563" s="123"/>
      <c r="AG563" s="123"/>
      <c r="AH563" s="123"/>
      <c r="AI563" s="123"/>
      <c r="AJ563" s="123"/>
      <c r="AK563" s="12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A564" s="55" t="s">
        <v>113</v>
      </c>
      <c r="B564" t="s">
        <v>472</v>
      </c>
      <c r="G564" s="1351" t="str">
        <f>C550</f>
        <v>Citibank, N.A.-Tax Exempt Bonds</v>
      </c>
      <c r="H564" s="1351"/>
      <c r="I564" s="1351"/>
      <c r="J564" s="1351"/>
      <c r="K564" s="1351"/>
      <c r="L564" s="1351"/>
      <c r="M564" s="1351"/>
      <c r="N564" s="1351"/>
      <c r="O564" s="1351"/>
      <c r="P564" s="1351"/>
      <c r="Q564" s="1351"/>
      <c r="R564" s="1351"/>
      <c r="S564" s="8"/>
      <c r="T564" s="55" t="s">
        <v>114</v>
      </c>
      <c r="U564" t="s">
        <v>472</v>
      </c>
      <c r="Z564" s="1351" t="str">
        <f>C551</f>
        <v>Citibank, N.A- Recycled Tax Exempt Bonds</v>
      </c>
      <c r="AA564" s="1351"/>
      <c r="AB564" s="1351"/>
      <c r="AC564" s="1351"/>
      <c r="AD564" s="1351"/>
      <c r="AE564" s="1351"/>
      <c r="AF564" s="1351"/>
      <c r="AG564" s="1351"/>
      <c r="AH564" s="1351"/>
      <c r="AI564" s="1351"/>
      <c r="AJ564" s="1351"/>
      <c r="AK564" s="1351"/>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A565" s="22"/>
      <c r="B565" t="s">
        <v>86</v>
      </c>
      <c r="G565" s="1352" t="s">
        <v>2701</v>
      </c>
      <c r="H565" s="1352"/>
      <c r="I565" s="1352"/>
      <c r="J565" s="1352"/>
      <c r="K565" s="1352"/>
      <c r="L565" s="1352"/>
      <c r="M565" s="1352"/>
      <c r="N565" s="1352"/>
      <c r="O565" s="1352"/>
      <c r="P565" s="1352"/>
      <c r="Q565" s="1352"/>
      <c r="R565" s="1352"/>
      <c r="S565" s="8"/>
      <c r="T565" s="22"/>
      <c r="U565" t="s">
        <v>86</v>
      </c>
      <c r="Z565" s="1352" t="s">
        <v>2701</v>
      </c>
      <c r="AA565" s="1352"/>
      <c r="AB565" s="1352"/>
      <c r="AC565" s="1352"/>
      <c r="AD565" s="1352"/>
      <c r="AE565" s="1352"/>
      <c r="AF565" s="1352"/>
      <c r="AG565" s="1352"/>
      <c r="AH565" s="1352"/>
      <c r="AI565" s="1352"/>
      <c r="AJ565" s="1352"/>
      <c r="AK565" s="1352"/>
      <c r="BB565" s="3"/>
      <c r="BC565" s="3"/>
      <c r="BD565" s="3"/>
      <c r="BE565" s="3"/>
      <c r="BF565" s="3"/>
      <c r="BG565" s="3"/>
      <c r="BH565" s="3" t="s">
        <v>464</v>
      </c>
      <c r="BI565" s="3" t="str">
        <f>N669</f>
        <v>No</v>
      </c>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A566" s="22"/>
      <c r="B566" t="s">
        <v>589</v>
      </c>
      <c r="G566" s="1352" t="s">
        <v>2702</v>
      </c>
      <c r="H566" s="1352"/>
      <c r="I566" s="1352"/>
      <c r="J566" s="1352"/>
      <c r="K566" s="1352"/>
      <c r="L566" s="1352"/>
      <c r="M566" s="1352"/>
      <c r="N566" s="1352"/>
      <c r="O566" s="1352"/>
      <c r="P566" s="1352"/>
      <c r="Q566" s="1352"/>
      <c r="R566" s="1352"/>
      <c r="T566" s="22"/>
      <c r="U566" t="s">
        <v>589</v>
      </c>
      <c r="Z566" s="1359" t="s">
        <v>2702</v>
      </c>
      <c r="AA566" s="1359"/>
      <c r="AB566" s="1359"/>
      <c r="AC566" s="1359"/>
      <c r="AD566" s="1359"/>
      <c r="AE566" s="1359"/>
      <c r="AF566" s="1359"/>
      <c r="AG566" s="1359"/>
      <c r="AH566" s="1359"/>
      <c r="AI566" s="1359"/>
      <c r="AJ566" s="1359"/>
      <c r="AK566" s="1359"/>
      <c r="BB566" s="3"/>
      <c r="BC566" s="3"/>
      <c r="BD566" s="3"/>
      <c r="BE566" s="3"/>
      <c r="BF566" s="3"/>
      <c r="BG566" s="3"/>
      <c r="BH566" s="3" t="s">
        <v>465</v>
      </c>
      <c r="BI566" s="3" t="str">
        <f>AG669</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A567" s="22"/>
      <c r="B567" t="s">
        <v>17</v>
      </c>
      <c r="G567" s="1352" t="s">
        <v>2703</v>
      </c>
      <c r="H567" s="1352"/>
      <c r="I567" s="1352"/>
      <c r="J567" s="1352"/>
      <c r="K567" s="1352"/>
      <c r="L567" s="1352"/>
      <c r="M567" s="1352"/>
      <c r="N567" s="1352"/>
      <c r="O567" s="1352"/>
      <c r="P567" s="1352"/>
      <c r="Q567" s="1352"/>
      <c r="R567" s="1352"/>
      <c r="S567" s="8"/>
      <c r="T567" s="22"/>
      <c r="U567" t="s">
        <v>17</v>
      </c>
      <c r="Z567" s="1359" t="s">
        <v>2703</v>
      </c>
      <c r="AA567" s="1359"/>
      <c r="AB567" s="1359"/>
      <c r="AC567" s="1359"/>
      <c r="AD567" s="1359"/>
      <c r="AE567" s="1359"/>
      <c r="AF567" s="1359"/>
      <c r="AG567" s="1359"/>
      <c r="AH567" s="1359"/>
      <c r="AI567" s="1359"/>
      <c r="AJ567" s="1359"/>
      <c r="AK567" s="1359"/>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22"/>
      <c r="B568" t="s">
        <v>317</v>
      </c>
      <c r="G568" s="1354">
        <v>8055570933</v>
      </c>
      <c r="H568" s="1354"/>
      <c r="I568" s="1354"/>
      <c r="J568" s="1354"/>
      <c r="K568" s="1354"/>
      <c r="L568" s="1354"/>
      <c r="O568" s="33" t="s">
        <v>207</v>
      </c>
      <c r="P568" s="1350"/>
      <c r="Q568" s="1350"/>
      <c r="R568" s="1350"/>
      <c r="S568" s="10"/>
      <c r="T568" s="22"/>
      <c r="U568" t="s">
        <v>317</v>
      </c>
      <c r="Z568" s="1354">
        <v>8055570933</v>
      </c>
      <c r="AA568" s="1354"/>
      <c r="AB568" s="1354"/>
      <c r="AC568" s="1354"/>
      <c r="AD568" s="1354"/>
      <c r="AE568" s="1354"/>
      <c r="AH568" s="33" t="s">
        <v>207</v>
      </c>
      <c r="AI568" s="1350"/>
      <c r="AJ568" s="1350"/>
      <c r="AK568" s="135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18</v>
      </c>
      <c r="H569" s="1352" t="s">
        <v>2704</v>
      </c>
      <c r="I569" s="1352"/>
      <c r="J569" s="1352"/>
      <c r="K569" s="1352"/>
      <c r="L569" s="1352"/>
      <c r="M569" s="1352"/>
      <c r="N569" s="1352"/>
      <c r="O569" s="1352"/>
      <c r="P569" s="1352"/>
      <c r="Q569" s="1352"/>
      <c r="R569" s="1352"/>
      <c r="S569" s="8"/>
      <c r="T569" s="22"/>
      <c r="U569" t="s">
        <v>18</v>
      </c>
      <c r="AA569" s="1352" t="s">
        <v>2726</v>
      </c>
      <c r="AB569" s="1352"/>
      <c r="AC569" s="1352"/>
      <c r="AD569" s="1352"/>
      <c r="AE569" s="1352"/>
      <c r="AF569" s="1352"/>
      <c r="AG569" s="1352"/>
      <c r="AH569" s="1352"/>
      <c r="AI569" s="1352"/>
      <c r="AJ569" s="1352"/>
      <c r="AK569" s="135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s="349" t="s">
        <v>1328</v>
      </c>
      <c r="H570" s="8"/>
      <c r="I570" s="8"/>
      <c r="J570" s="8"/>
      <c r="K570" s="8"/>
      <c r="L570" s="8"/>
      <c r="M570" s="1658"/>
      <c r="N570" s="1658"/>
      <c r="O570" s="1658"/>
      <c r="P570" s="1658"/>
      <c r="Q570" s="1658"/>
      <c r="R570" s="1658"/>
      <c r="S570" s="8"/>
      <c r="T570" s="22"/>
      <c r="U570" s="349" t="s">
        <v>1328</v>
      </c>
      <c r="AA570" s="8"/>
      <c r="AB570" s="8"/>
      <c r="AC570" s="8"/>
      <c r="AD570" s="8"/>
      <c r="AE570" s="8"/>
      <c r="AF570" s="1658"/>
      <c r="AG570" s="1658"/>
      <c r="AH570" s="1658"/>
      <c r="AI570" s="1658"/>
      <c r="AJ570" s="1658"/>
      <c r="AK570" s="165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20</v>
      </c>
      <c r="N571" s="1353" t="s">
        <v>554</v>
      </c>
      <c r="O571" s="1353"/>
      <c r="T571" s="22"/>
      <c r="U571" t="s">
        <v>20</v>
      </c>
      <c r="AG571" s="1353" t="s">
        <v>554</v>
      </c>
      <c r="AH571" s="135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T572" s="2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55" t="s">
        <v>120</v>
      </c>
      <c r="B573" t="s">
        <v>472</v>
      </c>
      <c r="G573" s="1351" t="str">
        <f>C552</f>
        <v>Citibank, N.A.-Taxable Loan</v>
      </c>
      <c r="H573" s="1351"/>
      <c r="I573" s="1351"/>
      <c r="J573" s="1351"/>
      <c r="K573" s="1351"/>
      <c r="L573" s="1351"/>
      <c r="M573" s="1351"/>
      <c r="N573" s="1351"/>
      <c r="O573" s="1351"/>
      <c r="P573" s="1351"/>
      <c r="Q573" s="1351"/>
      <c r="R573" s="1351"/>
      <c r="T573" s="55" t="s">
        <v>590</v>
      </c>
      <c r="U573" t="s">
        <v>472</v>
      </c>
      <c r="Z573" s="1351" t="str">
        <f>C553</f>
        <v>Deferred Costs</v>
      </c>
      <c r="AA573" s="1351"/>
      <c r="AB573" s="1351"/>
      <c r="AC573" s="1351"/>
      <c r="AD573" s="1351"/>
      <c r="AE573" s="1351"/>
      <c r="AF573" s="1351"/>
      <c r="AG573" s="1351"/>
      <c r="AH573" s="1351"/>
      <c r="AI573" s="1351"/>
      <c r="AJ573" s="1351"/>
      <c r="AK573" s="135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t="s">
        <v>86</v>
      </c>
      <c r="G574" s="1598" t="s">
        <v>2701</v>
      </c>
      <c r="H574" s="1352"/>
      <c r="I574" s="1352"/>
      <c r="J574" s="1352"/>
      <c r="K574" s="1352"/>
      <c r="L574" s="1352"/>
      <c r="M574" s="1352"/>
      <c r="N574" s="1352"/>
      <c r="O574" s="1352"/>
      <c r="P574" s="1352"/>
      <c r="Q574" s="1352"/>
      <c r="R574" s="1352"/>
      <c r="T574" s="22"/>
      <c r="U574" t="s">
        <v>86</v>
      </c>
      <c r="Z574" s="1352" t="s">
        <v>2638</v>
      </c>
      <c r="AA574" s="1352"/>
      <c r="AB574" s="1352"/>
      <c r="AC574" s="1352"/>
      <c r="AD574" s="1352"/>
      <c r="AE574" s="1352"/>
      <c r="AF574" s="1352"/>
      <c r="AG574" s="1352"/>
      <c r="AH574" s="1352"/>
      <c r="AI574" s="1352"/>
      <c r="AJ574" s="1352"/>
      <c r="AK574" s="135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589</v>
      </c>
      <c r="G575" s="1627" t="s">
        <v>2702</v>
      </c>
      <c r="H575" s="1359"/>
      <c r="I575" s="1359"/>
      <c r="J575" s="1359"/>
      <c r="K575" s="1359"/>
      <c r="L575" s="1359"/>
      <c r="M575" s="1359"/>
      <c r="N575" s="1359"/>
      <c r="O575" s="1359"/>
      <c r="P575" s="1359"/>
      <c r="Q575" s="1359"/>
      <c r="R575" s="1359"/>
      <c r="T575" s="22"/>
      <c r="U575" t="s">
        <v>589</v>
      </c>
      <c r="Z575" s="1359" t="s">
        <v>2628</v>
      </c>
      <c r="AA575" s="1359"/>
      <c r="AB575" s="1359"/>
      <c r="AC575" s="1359"/>
      <c r="AD575" s="1359"/>
      <c r="AE575" s="1359"/>
      <c r="AF575" s="1359"/>
      <c r="AG575" s="1359"/>
      <c r="AH575" s="1359"/>
      <c r="AI575" s="1359"/>
      <c r="AJ575" s="1359"/>
      <c r="AK575" s="135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B576" t="s">
        <v>17</v>
      </c>
      <c r="G576" s="1627" t="s">
        <v>2703</v>
      </c>
      <c r="H576" s="1359"/>
      <c r="I576" s="1359"/>
      <c r="J576" s="1359"/>
      <c r="K576" s="1359"/>
      <c r="L576" s="1359"/>
      <c r="M576" s="1359"/>
      <c r="N576" s="1359"/>
      <c r="O576" s="1359"/>
      <c r="P576" s="1359"/>
      <c r="Q576" s="1359"/>
      <c r="R576" s="1359"/>
      <c r="T576" s="22"/>
      <c r="U576" t="s">
        <v>17</v>
      </c>
      <c r="Z576" s="1359" t="s">
        <v>2654</v>
      </c>
      <c r="AA576" s="1359"/>
      <c r="AB576" s="1359"/>
      <c r="AC576" s="1359"/>
      <c r="AD576" s="1359"/>
      <c r="AE576" s="1359"/>
      <c r="AF576" s="1359"/>
      <c r="AG576" s="1359"/>
      <c r="AH576" s="1359"/>
      <c r="AI576" s="1359"/>
      <c r="AJ576" s="1359"/>
      <c r="AK576" s="1359"/>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22"/>
      <c r="B577" t="s">
        <v>317</v>
      </c>
      <c r="G577" s="1354">
        <v>8055570933</v>
      </c>
      <c r="H577" s="1354"/>
      <c r="I577" s="1354"/>
      <c r="J577" s="1354"/>
      <c r="K577" s="1354"/>
      <c r="L577" s="1354"/>
      <c r="O577" s="33" t="s">
        <v>207</v>
      </c>
      <c r="P577" s="1350"/>
      <c r="Q577" s="1350"/>
      <c r="R577" s="1350"/>
      <c r="T577" s="22"/>
      <c r="U577" t="s">
        <v>317</v>
      </c>
      <c r="Z577" s="1354">
        <v>9167736060</v>
      </c>
      <c r="AA577" s="1354"/>
      <c r="AB577" s="1354"/>
      <c r="AC577" s="1354"/>
      <c r="AD577" s="1354"/>
      <c r="AE577" s="1354"/>
      <c r="AH577" s="33" t="s">
        <v>207</v>
      </c>
      <c r="AI577" s="1350"/>
      <c r="AJ577" s="1350"/>
      <c r="AK577" s="135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18</v>
      </c>
      <c r="H578" s="1598" t="s">
        <v>2732</v>
      </c>
      <c r="I578" s="1352"/>
      <c r="J578" s="1352"/>
      <c r="K578" s="1352"/>
      <c r="L578" s="1352"/>
      <c r="M578" s="1352"/>
      <c r="N578" s="1352"/>
      <c r="O578" s="1352"/>
      <c r="P578" s="1352"/>
      <c r="Q578" s="1352"/>
      <c r="R578" s="1352"/>
      <c r="T578" s="22"/>
      <c r="U578" t="s">
        <v>18</v>
      </c>
      <c r="AA578" s="1598" t="s">
        <v>2723</v>
      </c>
      <c r="AB578" s="1352"/>
      <c r="AC578" s="1352"/>
      <c r="AD578" s="1352"/>
      <c r="AE578" s="1352"/>
      <c r="AF578" s="1352"/>
      <c r="AG578" s="1352"/>
      <c r="AH578" s="1352"/>
      <c r="AI578" s="1352"/>
      <c r="AJ578" s="1352"/>
      <c r="AK578" s="135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20</v>
      </c>
      <c r="N579" s="1353" t="s">
        <v>554</v>
      </c>
      <c r="O579" s="1353"/>
      <c r="T579" s="22"/>
      <c r="U579" t="s">
        <v>20</v>
      </c>
      <c r="AG579" s="1353" t="s">
        <v>554</v>
      </c>
      <c r="AH579" s="135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T580" s="2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55" t="s">
        <v>787</v>
      </c>
      <c r="B581" t="s">
        <v>472</v>
      </c>
      <c r="G581" s="1351" t="str">
        <f>C554</f>
        <v>WNC</v>
      </c>
      <c r="H581" s="1351"/>
      <c r="I581" s="1351"/>
      <c r="J581" s="1351"/>
      <c r="K581" s="1351"/>
      <c r="L581" s="1351"/>
      <c r="M581" s="1351"/>
      <c r="N581" s="1351"/>
      <c r="O581" s="1351"/>
      <c r="P581" s="1351"/>
      <c r="Q581" s="1351"/>
      <c r="R581" s="1351"/>
      <c r="T581" s="55" t="s">
        <v>593</v>
      </c>
      <c r="U581" t="s">
        <v>472</v>
      </c>
      <c r="Z581" s="1351" t="str">
        <f>C555</f>
        <v>NOI During Construction</v>
      </c>
      <c r="AA581" s="1351"/>
      <c r="AB581" s="1351"/>
      <c r="AC581" s="1351"/>
      <c r="AD581" s="1351"/>
      <c r="AE581" s="1351"/>
      <c r="AF581" s="1351"/>
      <c r="AG581" s="1351"/>
      <c r="AH581" s="1351"/>
      <c r="AI581" s="1351"/>
      <c r="AJ581" s="1351"/>
      <c r="AK581" s="135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86</v>
      </c>
      <c r="G582" s="1352" t="s">
        <v>2727</v>
      </c>
      <c r="H582" s="1352"/>
      <c r="I582" s="1352"/>
      <c r="J582" s="1352"/>
      <c r="K582" s="1352"/>
      <c r="L582" s="1352"/>
      <c r="M582" s="1352"/>
      <c r="N582" s="1352"/>
      <c r="O582" s="1352"/>
      <c r="P582" s="1352"/>
      <c r="Q582" s="1352"/>
      <c r="R582" s="1352"/>
      <c r="T582" s="22"/>
      <c r="U582" t="s">
        <v>86</v>
      </c>
      <c r="Z582" s="1352" t="s">
        <v>2638</v>
      </c>
      <c r="AA582" s="1352"/>
      <c r="AB582" s="1352"/>
      <c r="AC582" s="1352"/>
      <c r="AD582" s="1352"/>
      <c r="AE582" s="1352"/>
      <c r="AF582" s="1352"/>
      <c r="AG582" s="1352"/>
      <c r="AH582" s="1352"/>
      <c r="AI582" s="1352"/>
      <c r="AJ582" s="1352"/>
      <c r="AK582" s="135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589</v>
      </c>
      <c r="G583" s="1352" t="s">
        <v>2728</v>
      </c>
      <c r="H583" s="1352"/>
      <c r="I583" s="1352"/>
      <c r="J583" s="1352"/>
      <c r="K583" s="1352"/>
      <c r="L583" s="1352"/>
      <c r="M583" s="1352"/>
      <c r="N583" s="1352"/>
      <c r="O583" s="1352"/>
      <c r="P583" s="1352"/>
      <c r="Q583" s="1352"/>
      <c r="R583" s="1352"/>
      <c r="T583" s="22"/>
      <c r="U583" t="s">
        <v>589</v>
      </c>
      <c r="Z583" s="1359" t="s">
        <v>2628</v>
      </c>
      <c r="AA583" s="1359"/>
      <c r="AB583" s="1359"/>
      <c r="AC583" s="1359"/>
      <c r="AD583" s="1359"/>
      <c r="AE583" s="1359"/>
      <c r="AF583" s="1359"/>
      <c r="AG583" s="1359"/>
      <c r="AH583" s="1359"/>
      <c r="AI583" s="1359"/>
      <c r="AJ583" s="1359"/>
      <c r="AK583" s="135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B584" t="s">
        <v>17</v>
      </c>
      <c r="G584" s="1352" t="s">
        <v>2677</v>
      </c>
      <c r="H584" s="1352"/>
      <c r="I584" s="1352"/>
      <c r="J584" s="1352"/>
      <c r="K584" s="1352"/>
      <c r="L584" s="1352"/>
      <c r="M584" s="1352"/>
      <c r="N584" s="1352"/>
      <c r="O584" s="1352"/>
      <c r="P584" s="1352"/>
      <c r="Q584" s="1352"/>
      <c r="R584" s="1352"/>
      <c r="T584" s="22"/>
      <c r="U584" t="s">
        <v>17</v>
      </c>
      <c r="Z584" s="1359" t="s">
        <v>2654</v>
      </c>
      <c r="AA584" s="1359"/>
      <c r="AB584" s="1359"/>
      <c r="AC584" s="1359"/>
      <c r="AD584" s="1359"/>
      <c r="AE584" s="1359"/>
      <c r="AF584" s="1359"/>
      <c r="AG584" s="1359"/>
      <c r="AH584" s="1359"/>
      <c r="AI584" s="1359"/>
      <c r="AJ584" s="1359"/>
      <c r="AK584" s="1359"/>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22"/>
      <c r="B585" t="s">
        <v>317</v>
      </c>
      <c r="G585" s="1354">
        <v>9494392616</v>
      </c>
      <c r="H585" s="1354"/>
      <c r="I585" s="1354"/>
      <c r="J585" s="1354"/>
      <c r="K585" s="1354"/>
      <c r="L585" s="1354"/>
      <c r="O585" s="33" t="s">
        <v>207</v>
      </c>
      <c r="P585" s="1350"/>
      <c r="Q585" s="1350"/>
      <c r="R585" s="1350"/>
      <c r="T585" s="22"/>
      <c r="U585" t="s">
        <v>317</v>
      </c>
      <c r="Z585" s="1354">
        <v>9167736060</v>
      </c>
      <c r="AA585" s="1354"/>
      <c r="AB585" s="1354"/>
      <c r="AC585" s="1354"/>
      <c r="AD585" s="1354"/>
      <c r="AE585" s="1354"/>
      <c r="AH585" s="33" t="s">
        <v>207</v>
      </c>
      <c r="AI585" s="1350"/>
      <c r="AJ585" s="1350"/>
      <c r="AK585" s="135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18</v>
      </c>
      <c r="H586" s="1598" t="s">
        <v>2729</v>
      </c>
      <c r="I586" s="1352"/>
      <c r="J586" s="1352"/>
      <c r="K586" s="1352"/>
      <c r="L586" s="1352"/>
      <c r="M586" s="1352"/>
      <c r="N586" s="1352"/>
      <c r="O586" s="1352"/>
      <c r="P586" s="1352"/>
      <c r="Q586" s="1352"/>
      <c r="R586" s="1352"/>
      <c r="T586" s="22"/>
      <c r="U586" t="s">
        <v>18</v>
      </c>
      <c r="AA586" s="1352" t="s">
        <v>2718</v>
      </c>
      <c r="AB586" s="1352"/>
      <c r="AC586" s="1352"/>
      <c r="AD586" s="1352"/>
      <c r="AE586" s="1352"/>
      <c r="AF586" s="1352"/>
      <c r="AG586" s="1352"/>
      <c r="AH586" s="1352"/>
      <c r="AI586" s="1352"/>
      <c r="AJ586" s="1352"/>
      <c r="AK586" s="135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20</v>
      </c>
      <c r="N587" s="1353" t="s">
        <v>554</v>
      </c>
      <c r="O587" s="1353"/>
      <c r="T587" s="22"/>
      <c r="U587" t="s">
        <v>20</v>
      </c>
      <c r="AG587" s="1353" t="s">
        <v>554</v>
      </c>
      <c r="AH587" s="1353"/>
    </row>
    <row r="588" spans="1:110" ht="12.95" customHeight="1">
      <c r="A588" s="22"/>
      <c r="T588" s="22"/>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row>
    <row r="589" spans="1:110" ht="12.95" customHeight="1">
      <c r="A589" s="55" t="s">
        <v>464</v>
      </c>
      <c r="B589" t="s">
        <v>472</v>
      </c>
      <c r="G589" s="1351">
        <f>C556</f>
        <v>0</v>
      </c>
      <c r="H589" s="1351"/>
      <c r="I589" s="1351"/>
      <c r="J589" s="1351"/>
      <c r="K589" s="1351"/>
      <c r="L589" s="1351"/>
      <c r="M589" s="1351"/>
      <c r="N589" s="1351"/>
      <c r="O589" s="1351"/>
      <c r="P589" s="1351"/>
      <c r="Q589" s="1351"/>
      <c r="R589" s="1351"/>
      <c r="T589" s="55" t="s">
        <v>465</v>
      </c>
      <c r="U589" t="s">
        <v>472</v>
      </c>
      <c r="Z589" s="1351">
        <f>C557</f>
        <v>0</v>
      </c>
      <c r="AA589" s="1351"/>
      <c r="AB589" s="1351"/>
      <c r="AC589" s="1351"/>
      <c r="AD589" s="1351"/>
      <c r="AE589" s="1351"/>
      <c r="AF589" s="1351"/>
      <c r="AG589" s="1351"/>
      <c r="AH589" s="1351"/>
      <c r="AI589" s="1351"/>
      <c r="AJ589" s="1351"/>
      <c r="AK589" s="135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86</v>
      </c>
      <c r="G590" s="1352"/>
      <c r="H590" s="1352"/>
      <c r="I590" s="1352"/>
      <c r="J590" s="1352"/>
      <c r="K590" s="1352"/>
      <c r="L590" s="1352"/>
      <c r="M590" s="1352"/>
      <c r="N590" s="1352"/>
      <c r="O590" s="1352"/>
      <c r="P590" s="1352"/>
      <c r="Q590" s="1352"/>
      <c r="R590" s="1352"/>
      <c r="T590" s="22"/>
      <c r="U590" t="s">
        <v>86</v>
      </c>
      <c r="Z590" s="1352"/>
      <c r="AA590" s="1352"/>
      <c r="AB590" s="1352"/>
      <c r="AC590" s="1352"/>
      <c r="AD590" s="1352"/>
      <c r="AE590" s="1352"/>
      <c r="AF590" s="1352"/>
      <c r="AG590" s="1352"/>
      <c r="AH590" s="1352"/>
      <c r="AI590" s="1352"/>
      <c r="AJ590" s="1352"/>
      <c r="AK590" s="135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589</v>
      </c>
      <c r="G591" s="1352"/>
      <c r="H591" s="1352"/>
      <c r="I591" s="1352"/>
      <c r="J591" s="1352"/>
      <c r="K591" s="1352"/>
      <c r="L591" s="1352"/>
      <c r="M591" s="1352"/>
      <c r="N591" s="1352"/>
      <c r="O591" s="1352"/>
      <c r="P591" s="1352"/>
      <c r="Q591" s="1352"/>
      <c r="R591" s="1352"/>
      <c r="T591" s="22"/>
      <c r="U591" t="s">
        <v>589</v>
      </c>
      <c r="Z591" s="1359"/>
      <c r="AA591" s="1359"/>
      <c r="AB591" s="1359"/>
      <c r="AC591" s="1359"/>
      <c r="AD591" s="1359"/>
      <c r="AE591" s="1359"/>
      <c r="AF591" s="1359"/>
      <c r="AG591" s="1359"/>
      <c r="AH591" s="1359"/>
      <c r="AI591" s="1359"/>
      <c r="AJ591" s="1359"/>
      <c r="AK591" s="135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B592" t="s">
        <v>17</v>
      </c>
      <c r="G592" s="1352"/>
      <c r="H592" s="1352"/>
      <c r="I592" s="1352"/>
      <c r="J592" s="1352"/>
      <c r="K592" s="1352"/>
      <c r="L592" s="1352"/>
      <c r="M592" s="1352"/>
      <c r="N592" s="1352"/>
      <c r="O592" s="1352"/>
      <c r="P592" s="1352"/>
      <c r="Q592" s="1352"/>
      <c r="R592" s="1352"/>
      <c r="T592" s="22"/>
      <c r="U592" t="s">
        <v>17</v>
      </c>
      <c r="Z592" s="1359"/>
      <c r="AA592" s="1359"/>
      <c r="AB592" s="1359"/>
      <c r="AC592" s="1359"/>
      <c r="AD592" s="1359"/>
      <c r="AE592" s="1359"/>
      <c r="AF592" s="1359"/>
      <c r="AG592" s="1359"/>
      <c r="AH592" s="1359"/>
      <c r="AI592" s="1359"/>
      <c r="AJ592" s="1359"/>
      <c r="AK592" s="1359"/>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s="4" customFormat="1" ht="12.95" customHeight="1">
      <c r="A593" s="22"/>
      <c r="B593" t="s">
        <v>317</v>
      </c>
      <c r="C593"/>
      <c r="D593"/>
      <c r="E593"/>
      <c r="F593"/>
      <c r="G593" s="1354"/>
      <c r="H593" s="1354"/>
      <c r="I593" s="1354"/>
      <c r="J593" s="1354"/>
      <c r="K593" s="1354"/>
      <c r="L593" s="1354"/>
      <c r="M593"/>
      <c r="N593"/>
      <c r="O593" s="33" t="s">
        <v>207</v>
      </c>
      <c r="P593" s="1350"/>
      <c r="Q593" s="1350"/>
      <c r="R593" s="1350"/>
      <c r="S593"/>
      <c r="T593" s="22"/>
      <c r="U593" t="s">
        <v>317</v>
      </c>
      <c r="V593"/>
      <c r="W593"/>
      <c r="X593"/>
      <c r="Y593"/>
      <c r="Z593" s="1354"/>
      <c r="AA593" s="1354"/>
      <c r="AB593" s="1354"/>
      <c r="AC593" s="1354"/>
      <c r="AD593" s="1354"/>
      <c r="AE593" s="1354"/>
      <c r="AF593"/>
      <c r="AG593"/>
      <c r="AH593" s="33" t="s">
        <v>207</v>
      </c>
      <c r="AI593" s="1350"/>
      <c r="AJ593" s="1350"/>
      <c r="AK593" s="1350"/>
      <c r="AL593"/>
      <c r="AM593"/>
      <c r="AN593"/>
      <c r="AO593"/>
      <c r="AP593"/>
      <c r="AQ593"/>
      <c r="AR593"/>
      <c r="AS593"/>
      <c r="AT593"/>
      <c r="AU593"/>
      <c r="AV593"/>
      <c r="AW593"/>
      <c r="AX593"/>
      <c r="AY59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18</v>
      </c>
      <c r="C594"/>
      <c r="D594"/>
      <c r="E594"/>
      <c r="F594"/>
      <c r="G594"/>
      <c r="H594" s="1352"/>
      <c r="I594" s="1352"/>
      <c r="J594" s="1352"/>
      <c r="K594" s="1352"/>
      <c r="L594" s="1352"/>
      <c r="M594" s="1352"/>
      <c r="N594" s="1352"/>
      <c r="O594" s="1352"/>
      <c r="P594" s="1352"/>
      <c r="Q594" s="1352"/>
      <c r="R594" s="1352"/>
      <c r="S594"/>
      <c r="T594" s="22"/>
      <c r="U594" t="s">
        <v>18</v>
      </c>
      <c r="V594"/>
      <c r="W594"/>
      <c r="X594"/>
      <c r="Y594"/>
      <c r="Z594"/>
      <c r="AA594" s="1352"/>
      <c r="AB594" s="1352"/>
      <c r="AC594" s="1352"/>
      <c r="AD594" s="1352"/>
      <c r="AE594" s="1352"/>
      <c r="AF594" s="1352"/>
      <c r="AG594" s="1352"/>
      <c r="AH594" s="1352"/>
      <c r="AI594" s="1352"/>
      <c r="AJ594" s="1352"/>
      <c r="AK594" s="135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t="s">
        <v>103</v>
      </c>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t="s">
        <v>361</v>
      </c>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X594" s="3" t="s">
        <v>2105</v>
      </c>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2"/>
      <c r="B595" t="s">
        <v>20</v>
      </c>
      <c r="C595"/>
      <c r="D595"/>
      <c r="E595"/>
      <c r="F595"/>
      <c r="G595"/>
      <c r="H595"/>
      <c r="I595"/>
      <c r="J595"/>
      <c r="K595"/>
      <c r="L595"/>
      <c r="M595"/>
      <c r="N595" s="1353" t="s">
        <v>678</v>
      </c>
      <c r="O595" s="1353"/>
      <c r="P595"/>
      <c r="Q595"/>
      <c r="R595"/>
      <c r="S595"/>
      <c r="T595" s="22"/>
      <c r="U595" t="s">
        <v>20</v>
      </c>
      <c r="V595"/>
      <c r="W595"/>
      <c r="X595"/>
      <c r="Y595"/>
      <c r="Z595"/>
      <c r="AA595"/>
      <c r="AB595"/>
      <c r="AC595"/>
      <c r="AD595"/>
      <c r="AE595"/>
      <c r="AF595"/>
      <c r="AG595" s="1353" t="s">
        <v>678</v>
      </c>
      <c r="AH595" s="1353"/>
      <c r="AI595"/>
      <c r="AJ595"/>
      <c r="AK595"/>
      <c r="AL595"/>
      <c r="AM595"/>
      <c r="AN595"/>
      <c r="AO595"/>
      <c r="AP595"/>
      <c r="AQ595"/>
      <c r="AR595"/>
      <c r="AS595"/>
      <c r="AT595"/>
      <c r="AU595"/>
      <c r="AV595"/>
      <c r="AW595"/>
      <c r="AX595"/>
      <c r="AY595"/>
      <c r="BA595" s="4" t="s">
        <v>325</v>
      </c>
      <c r="BB595" s="3"/>
      <c r="BC595" s="3"/>
      <c r="BD595" s="3"/>
      <c r="BE595" s="121" t="s">
        <v>483</v>
      </c>
      <c r="BF595" s="122"/>
      <c r="BG595" s="1427"/>
      <c r="BH595" s="1428"/>
      <c r="BI595" s="121" t="s">
        <v>484</v>
      </c>
      <c r="BJ595" s="122"/>
      <c r="BK595" s="1427"/>
      <c r="BL595" s="1428"/>
      <c r="BM595" s="3"/>
      <c r="BN595" s="1474" t="s">
        <v>642</v>
      </c>
      <c r="BO595" s="1475"/>
      <c r="BP595" s="1475"/>
      <c r="BQ595" s="1475"/>
      <c r="BR595" s="1476"/>
      <c r="BS595" s="1439" t="s">
        <v>326</v>
      </c>
      <c r="BT595" s="1439"/>
      <c r="BU595" s="1439"/>
      <c r="BV595" s="1439"/>
      <c r="BW595" s="1439"/>
      <c r="BX595" s="1439" t="s">
        <v>164</v>
      </c>
      <c r="BY595" s="1439"/>
      <c r="BZ595" s="1439"/>
      <c r="CA595" s="1439"/>
      <c r="CB595" s="1439"/>
      <c r="CC595" s="1439" t="s">
        <v>165</v>
      </c>
      <c r="CD595" s="1439"/>
      <c r="CE595" s="1439"/>
      <c r="CF595" s="1439"/>
      <c r="CG595" s="1439"/>
      <c r="CH595" s="1439" t="s">
        <v>469</v>
      </c>
      <c r="CI595" s="1439"/>
      <c r="CJ595" s="1439"/>
      <c r="CK595" s="1439"/>
      <c r="CL595" s="1439"/>
      <c r="CM595" s="1439" t="s">
        <v>30</v>
      </c>
      <c r="CN595" s="1439"/>
      <c r="CO595" s="1439"/>
      <c r="CP595" s="1439"/>
      <c r="CQ595" s="1439"/>
      <c r="CR595" s="89"/>
      <c r="CS595" s="1439" t="s">
        <v>642</v>
      </c>
      <c r="CT595" s="1439"/>
      <c r="CU595" s="1439"/>
      <c r="CV595" s="1439"/>
      <c r="CW595" s="1439"/>
      <c r="CX595" s="1439" t="s">
        <v>326</v>
      </c>
      <c r="CY595" s="1439"/>
      <c r="CZ595" s="1439"/>
      <c r="DA595" s="1439"/>
      <c r="DB595" s="1439"/>
      <c r="DC595" s="1439" t="s">
        <v>164</v>
      </c>
      <c r="DD595" s="1439"/>
      <c r="DE595" s="1439"/>
      <c r="DF595" s="1439"/>
      <c r="DG595" s="1439"/>
      <c r="DH595" s="1439" t="s">
        <v>165</v>
      </c>
      <c r="DI595" s="1439"/>
      <c r="DJ595" s="1439"/>
      <c r="DK595" s="1439"/>
      <c r="DL595" s="1439"/>
      <c r="DM595" s="1439" t="s">
        <v>469</v>
      </c>
      <c r="DN595" s="1439"/>
      <c r="DO595" s="1439"/>
      <c r="DP595" s="1439"/>
      <c r="DQ595" s="1439"/>
      <c r="DR595" s="1439" t="s">
        <v>30</v>
      </c>
      <c r="DS595" s="1439"/>
      <c r="DT595" s="1439"/>
      <c r="DU595" s="1439"/>
      <c r="DV595" s="1439"/>
      <c r="DX595" s="1439" t="s">
        <v>642</v>
      </c>
      <c r="DY595" s="1439"/>
      <c r="DZ595" s="1439"/>
      <c r="EA595" s="1439"/>
      <c r="EB595" s="1439"/>
      <c r="EC595" s="1439" t="s">
        <v>326</v>
      </c>
      <c r="ED595" s="1439"/>
      <c r="EE595" s="1439"/>
      <c r="EF595" s="1439"/>
      <c r="EG595" s="1439"/>
      <c r="EH595" s="1439" t="s">
        <v>164</v>
      </c>
      <c r="EI595" s="1439"/>
      <c r="EJ595" s="1439"/>
      <c r="EK595" s="1439"/>
      <c r="EL595" s="1439"/>
      <c r="EM595" s="1439" t="s">
        <v>165</v>
      </c>
      <c r="EN595" s="1439"/>
      <c r="EO595" s="1439"/>
      <c r="EP595" s="1439"/>
      <c r="EQ595" s="1439"/>
      <c r="ER595" s="1439" t="s">
        <v>469</v>
      </c>
      <c r="ES595" s="1439"/>
      <c r="ET595" s="1439"/>
      <c r="EU595" s="1439"/>
      <c r="EV595" s="1439"/>
      <c r="EW595" s="1439" t="s">
        <v>30</v>
      </c>
      <c r="EX595" s="1439"/>
      <c r="EY595" s="1439"/>
      <c r="EZ595" s="1439"/>
      <c r="FA595" s="1439"/>
    </row>
    <row r="596" spans="1:157" s="4" customFormat="1" ht="12.95" customHeight="1">
      <c r="A596" s="22"/>
      <c r="B596"/>
      <c r="C596"/>
      <c r="D596"/>
      <c r="E596"/>
      <c r="F596"/>
      <c r="G596"/>
      <c r="H596"/>
      <c r="I596"/>
      <c r="J596"/>
      <c r="K596"/>
      <c r="L596"/>
      <c r="M596"/>
      <c r="N596"/>
      <c r="O596"/>
      <c r="P596"/>
      <c r="Q596"/>
      <c r="R596"/>
      <c r="S596"/>
      <c r="T596" s="22"/>
      <c r="U596"/>
      <c r="V596"/>
      <c r="W596"/>
      <c r="X596"/>
      <c r="Y596"/>
      <c r="Z596"/>
      <c r="AA596"/>
      <c r="AB596"/>
      <c r="AC596"/>
      <c r="AD596"/>
      <c r="AE596"/>
      <c r="AF596"/>
      <c r="AG596"/>
      <c r="AH596"/>
      <c r="AI596"/>
      <c r="AJ596"/>
      <c r="AK596"/>
      <c r="AL596"/>
      <c r="AM596"/>
      <c r="AN596"/>
      <c r="AO596"/>
      <c r="AP596"/>
      <c r="AQ596"/>
      <c r="AR596"/>
      <c r="AS596"/>
      <c r="AT596"/>
      <c r="AU596"/>
      <c r="AV596"/>
      <c r="AW596"/>
      <c r="AX596"/>
      <c r="AY596"/>
      <c r="BA596" s="4" t="s">
        <v>326</v>
      </c>
      <c r="BB596" s="3"/>
      <c r="BC596" s="3"/>
      <c r="BD596" s="3"/>
      <c r="BE596" s="1414">
        <f t="shared" ref="BE596:BE620" si="1">IF(AND(AC714&lt;=0.5,AC714&gt;=0.36),1,0)</f>
        <v>0</v>
      </c>
      <c r="BF596" s="1416"/>
      <c r="BG596" s="1427">
        <f t="shared" ref="BG596:BG620" si="2">IF(BE596=1,G714,0)</f>
        <v>0</v>
      </c>
      <c r="BH596" s="1428"/>
      <c r="BI596" s="1414">
        <f t="shared" ref="BI596:BI620" si="3">IF(AND(AC714&lt;=0.35,AC714&gt;0),1,0)</f>
        <v>1</v>
      </c>
      <c r="BJ596" s="1416"/>
      <c r="BK596" s="1427">
        <f t="shared" ref="BK596:BK620" si="4">IF(BI596=1,G714,0)</f>
        <v>3</v>
      </c>
      <c r="BL596" s="1428"/>
      <c r="BM596" s="3"/>
      <c r="BN596" s="1408">
        <f t="shared" ref="BN596:BN620" si="5">IF(B714="SRO/Studio",G714,0)</f>
        <v>0</v>
      </c>
      <c r="BO596" s="1409"/>
      <c r="BP596" s="1409"/>
      <c r="BQ596" s="1409"/>
      <c r="BR596" s="1410"/>
      <c r="BS596" s="1417">
        <f t="shared" ref="BS596:BS620" si="6">IF(B714="1 Bedroom",G714,0)</f>
        <v>3</v>
      </c>
      <c r="BT596" s="1417"/>
      <c r="BU596" s="1417"/>
      <c r="BV596" s="1417"/>
      <c r="BW596" s="1417"/>
      <c r="BX596" s="1417">
        <f t="shared" ref="BX596:BX620" si="7">IF(B714="2 Bedrooms",G714,0)</f>
        <v>0</v>
      </c>
      <c r="BY596" s="1417"/>
      <c r="BZ596" s="1417"/>
      <c r="CA596" s="1417"/>
      <c r="CB596" s="1417"/>
      <c r="CC596" s="1417">
        <f t="shared" ref="CC596:CC620" si="8">IF(B714="3 Bedrooms",G714,0)</f>
        <v>0</v>
      </c>
      <c r="CD596" s="1417"/>
      <c r="CE596" s="1417"/>
      <c r="CF596" s="1417"/>
      <c r="CG596" s="1417"/>
      <c r="CH596" s="1417">
        <f t="shared" ref="CH596:CH620" si="9">IF(B714="4 Bedrooms",G714,0)</f>
        <v>0</v>
      </c>
      <c r="CI596" s="1417"/>
      <c r="CJ596" s="1417"/>
      <c r="CK596" s="1417"/>
      <c r="CL596" s="1417"/>
      <c r="CM596" s="1417">
        <f t="shared" ref="CM596:CM620" si="10">IF(B714="5 Bedrooms",G714,0)</f>
        <v>0</v>
      </c>
      <c r="CN596" s="1417"/>
      <c r="CO596" s="1417"/>
      <c r="CP596" s="1417"/>
      <c r="CQ596" s="1417"/>
      <c r="CR596" s="6"/>
      <c r="CS596" s="1418">
        <f t="shared" ref="CS596:CS620" si="11">IF(AND(B714="SRO/Studio",AC714&lt;=0.3),G714,0)</f>
        <v>0</v>
      </c>
      <c r="CT596" s="1418"/>
      <c r="CU596" s="1418"/>
      <c r="CV596" s="1418"/>
      <c r="CW596" s="1418"/>
      <c r="CX596" s="1418">
        <f t="shared" ref="CX596:CX620" si="12">IF(AND(B714="1 Bedroom",AC714&lt;=0.3),G714,0)</f>
        <v>3</v>
      </c>
      <c r="CY596" s="1418"/>
      <c r="CZ596" s="1418"/>
      <c r="DA596" s="1418"/>
      <c r="DB596" s="1418"/>
      <c r="DC596" s="1418">
        <f t="shared" ref="DC596:DC620" si="13">IF(AND(B714="2 Bedrooms",AC714&lt;=0.3),G714,0)</f>
        <v>0</v>
      </c>
      <c r="DD596" s="1418"/>
      <c r="DE596" s="1418"/>
      <c r="DF596" s="1418"/>
      <c r="DG596" s="1418"/>
      <c r="DH596" s="1418">
        <f t="shared" ref="DH596:DH620" si="14">IF(AND(B714="3 Bedrooms",AC714&lt;=0.3),G714,0)</f>
        <v>0</v>
      </c>
      <c r="DI596" s="1418"/>
      <c r="DJ596" s="1418"/>
      <c r="DK596" s="1418"/>
      <c r="DL596" s="1418"/>
      <c r="DM596" s="1418">
        <f t="shared" ref="DM596:DM620" si="15">IF(AND(B714="4 Bedrooms",AC714&lt;=0.3),G714,0)</f>
        <v>0</v>
      </c>
      <c r="DN596" s="1418"/>
      <c r="DO596" s="1418"/>
      <c r="DP596" s="1418"/>
      <c r="DQ596" s="1418"/>
      <c r="DR596" s="1418">
        <f t="shared" ref="DR596:DR620" si="16">IF(AND(B714="5 Bedrooms",AC714&lt;=0.3),G714,0)</f>
        <v>0</v>
      </c>
      <c r="DS596" s="1418"/>
      <c r="DT596" s="1418"/>
      <c r="DU596" s="1418"/>
      <c r="DV596" s="1418"/>
      <c r="DX596" s="1414" t="str">
        <f t="shared" ref="DX596:DX620" si="17">IF(BN596&gt;0,O714," ")</f>
        <v xml:space="preserve"> </v>
      </c>
      <c r="DY596" s="1415"/>
      <c r="DZ596" s="1415"/>
      <c r="EA596" s="1415"/>
      <c r="EB596" s="1416"/>
      <c r="EC596" s="1414">
        <f t="shared" ref="EC596:EC620" si="18">IF(BS596&gt;0,O714," ")</f>
        <v>521</v>
      </c>
      <c r="ED596" s="1415"/>
      <c r="EE596" s="1415"/>
      <c r="EF596" s="1415"/>
      <c r="EG596" s="1416"/>
      <c r="EH596" s="1414" t="str">
        <f t="shared" ref="EH596:EH620" si="19">IF(BX596&gt;0,O714," ")</f>
        <v xml:space="preserve"> </v>
      </c>
      <c r="EI596" s="1415"/>
      <c r="EJ596" s="1415"/>
      <c r="EK596" s="1415"/>
      <c r="EL596" s="1416"/>
      <c r="EM596" s="1414" t="str">
        <f t="shared" ref="EM596:EM620" si="20">IF(CC596&gt;0,O714," ")</f>
        <v xml:space="preserve"> </v>
      </c>
      <c r="EN596" s="1415"/>
      <c r="EO596" s="1415"/>
      <c r="EP596" s="1415"/>
      <c r="EQ596" s="1416"/>
      <c r="ER596" s="1414" t="str">
        <f t="shared" ref="ER596:ER620" si="21">IF(CH596&gt;0,O714," ")</f>
        <v xml:space="preserve"> </v>
      </c>
      <c r="ES596" s="1415"/>
      <c r="ET596" s="1415"/>
      <c r="EU596" s="1415"/>
      <c r="EV596" s="1416"/>
      <c r="EW596" s="1414" t="str">
        <f t="shared" ref="EW596:EW620" si="22">IF(CM596&gt;0,O714," ")</f>
        <v xml:space="preserve"> </v>
      </c>
      <c r="EX596" s="1415"/>
      <c r="EY596" s="1415"/>
      <c r="EZ596" s="1415"/>
      <c r="FA596" s="1416"/>
    </row>
    <row r="597" spans="1:157" s="4" customFormat="1" ht="12.95" customHeight="1">
      <c r="A597" s="55" t="s">
        <v>470</v>
      </c>
      <c r="B597" t="s">
        <v>472</v>
      </c>
      <c r="C597"/>
      <c r="D597"/>
      <c r="E597"/>
      <c r="F597"/>
      <c r="G597" s="1351">
        <f>C558</f>
        <v>0</v>
      </c>
      <c r="H597" s="1351"/>
      <c r="I597" s="1351"/>
      <c r="J597" s="1351"/>
      <c r="K597" s="1351"/>
      <c r="L597" s="1351"/>
      <c r="M597" s="1351"/>
      <c r="N597" s="1351"/>
      <c r="O597" s="1351"/>
      <c r="P597" s="1351"/>
      <c r="Q597" s="1351"/>
      <c r="R597" s="1351"/>
      <c r="S597"/>
      <c r="T597" s="55" t="s">
        <v>655</v>
      </c>
      <c r="U597" t="s">
        <v>472</v>
      </c>
      <c r="V597"/>
      <c r="W597"/>
      <c r="X597"/>
      <c r="Y597"/>
      <c r="Z597" s="1351">
        <f>C559</f>
        <v>0</v>
      </c>
      <c r="AA597" s="1351"/>
      <c r="AB597" s="1351"/>
      <c r="AC597" s="1351"/>
      <c r="AD597" s="1351"/>
      <c r="AE597" s="1351"/>
      <c r="AF597" s="1351"/>
      <c r="AG597" s="1351"/>
      <c r="AH597" s="1351"/>
      <c r="AI597" s="1351"/>
      <c r="AJ597" s="1351"/>
      <c r="AK597" s="1351"/>
      <c r="AL597"/>
      <c r="AM597"/>
      <c r="AN597"/>
      <c r="AO597"/>
      <c r="AP597"/>
      <c r="AQ597"/>
      <c r="AR597"/>
      <c r="AS597"/>
      <c r="AT597"/>
      <c r="AU597"/>
      <c r="AV597"/>
      <c r="AW597"/>
      <c r="AX597"/>
      <c r="AY597"/>
      <c r="BA597" s="4" t="s">
        <v>164</v>
      </c>
      <c r="BB597" s="3"/>
      <c r="BC597" s="3"/>
      <c r="BD597" s="3"/>
      <c r="BE597" s="1414">
        <f t="shared" si="1"/>
        <v>0</v>
      </c>
      <c r="BF597" s="1416"/>
      <c r="BG597" s="1427">
        <f t="shared" si="2"/>
        <v>0</v>
      </c>
      <c r="BH597" s="1428"/>
      <c r="BI597" s="1414">
        <f t="shared" si="3"/>
        <v>1</v>
      </c>
      <c r="BJ597" s="1416"/>
      <c r="BK597" s="1427">
        <f t="shared" si="4"/>
        <v>3</v>
      </c>
      <c r="BL597" s="1428"/>
      <c r="BM597" s="3"/>
      <c r="BN597" s="1408">
        <f t="shared" si="5"/>
        <v>0</v>
      </c>
      <c r="BO597" s="1409"/>
      <c r="BP597" s="1409"/>
      <c r="BQ597" s="1409"/>
      <c r="BR597" s="1410"/>
      <c r="BS597" s="1417">
        <f t="shared" si="6"/>
        <v>3</v>
      </c>
      <c r="BT597" s="1417"/>
      <c r="BU597" s="1417"/>
      <c r="BV597" s="1417"/>
      <c r="BW597" s="1417"/>
      <c r="BX597" s="1417">
        <f t="shared" si="7"/>
        <v>0</v>
      </c>
      <c r="BY597" s="1417"/>
      <c r="BZ597" s="1417"/>
      <c r="CA597" s="1417"/>
      <c r="CB597" s="1417"/>
      <c r="CC597" s="1417">
        <f t="shared" si="8"/>
        <v>0</v>
      </c>
      <c r="CD597" s="1417"/>
      <c r="CE597" s="1417"/>
      <c r="CF597" s="1417"/>
      <c r="CG597" s="1417"/>
      <c r="CH597" s="1417">
        <f t="shared" si="9"/>
        <v>0</v>
      </c>
      <c r="CI597" s="1417"/>
      <c r="CJ597" s="1417"/>
      <c r="CK597" s="1417"/>
      <c r="CL597" s="1417"/>
      <c r="CM597" s="1417">
        <f t="shared" si="10"/>
        <v>0</v>
      </c>
      <c r="CN597" s="1417"/>
      <c r="CO597" s="1417"/>
      <c r="CP597" s="1417"/>
      <c r="CQ597" s="1417"/>
      <c r="CR597" s="6"/>
      <c r="CS597" s="1418">
        <f t="shared" si="11"/>
        <v>0</v>
      </c>
      <c r="CT597" s="1418"/>
      <c r="CU597" s="1418"/>
      <c r="CV597" s="1418"/>
      <c r="CW597" s="1418"/>
      <c r="CX597" s="1418">
        <f t="shared" si="12"/>
        <v>3</v>
      </c>
      <c r="CY597" s="1418"/>
      <c r="CZ597" s="1418"/>
      <c r="DA597" s="1418"/>
      <c r="DB597" s="1418"/>
      <c r="DC597" s="1418">
        <f t="shared" si="13"/>
        <v>0</v>
      </c>
      <c r="DD597" s="1418"/>
      <c r="DE597" s="1418"/>
      <c r="DF597" s="1418"/>
      <c r="DG597" s="1418"/>
      <c r="DH597" s="1418">
        <f t="shared" si="14"/>
        <v>0</v>
      </c>
      <c r="DI597" s="1418"/>
      <c r="DJ597" s="1418"/>
      <c r="DK597" s="1418"/>
      <c r="DL597" s="1418"/>
      <c r="DM597" s="1418">
        <f t="shared" si="15"/>
        <v>0</v>
      </c>
      <c r="DN597" s="1418"/>
      <c r="DO597" s="1418"/>
      <c r="DP597" s="1418"/>
      <c r="DQ597" s="1418"/>
      <c r="DR597" s="1418">
        <f t="shared" si="16"/>
        <v>0</v>
      </c>
      <c r="DS597" s="1418"/>
      <c r="DT597" s="1418"/>
      <c r="DU597" s="1418"/>
      <c r="DV597" s="1418"/>
      <c r="DX597" s="1414" t="str">
        <f t="shared" si="17"/>
        <v xml:space="preserve"> </v>
      </c>
      <c r="DY597" s="1415"/>
      <c r="DZ597" s="1415"/>
      <c r="EA597" s="1415"/>
      <c r="EB597" s="1416"/>
      <c r="EC597" s="1414">
        <f t="shared" si="18"/>
        <v>521</v>
      </c>
      <c r="ED597" s="1415"/>
      <c r="EE597" s="1415"/>
      <c r="EF597" s="1415"/>
      <c r="EG597" s="1416"/>
      <c r="EH597" s="1414" t="str">
        <f t="shared" si="19"/>
        <v xml:space="preserve"> </v>
      </c>
      <c r="EI597" s="1415"/>
      <c r="EJ597" s="1415"/>
      <c r="EK597" s="1415"/>
      <c r="EL597" s="1416"/>
      <c r="EM597" s="1414" t="str">
        <f t="shared" si="20"/>
        <v xml:space="preserve"> </v>
      </c>
      <c r="EN597" s="1415"/>
      <c r="EO597" s="1415"/>
      <c r="EP597" s="1415"/>
      <c r="EQ597" s="1416"/>
      <c r="ER597" s="1414" t="str">
        <f t="shared" si="21"/>
        <v xml:space="preserve"> </v>
      </c>
      <c r="ES597" s="1415"/>
      <c r="ET597" s="1415"/>
      <c r="EU597" s="1415"/>
      <c r="EV597" s="1416"/>
      <c r="EW597" s="1414" t="str">
        <f t="shared" si="22"/>
        <v xml:space="preserve"> </v>
      </c>
      <c r="EX597" s="1415"/>
      <c r="EY597" s="1415"/>
      <c r="EZ597" s="1415"/>
      <c r="FA597" s="1416"/>
    </row>
    <row r="598" spans="1:157" ht="12.95" customHeight="1">
      <c r="A598" s="22"/>
      <c r="B598" t="s">
        <v>86</v>
      </c>
      <c r="G598" s="1352"/>
      <c r="H598" s="1352"/>
      <c r="I598" s="1352"/>
      <c r="J598" s="1352"/>
      <c r="K598" s="1352"/>
      <c r="L598" s="1352"/>
      <c r="M598" s="1352"/>
      <c r="N598" s="1352"/>
      <c r="O598" s="1352"/>
      <c r="P598" s="1352"/>
      <c r="Q598" s="1352"/>
      <c r="R598" s="1352"/>
      <c r="T598" s="22"/>
      <c r="U598" t="s">
        <v>86</v>
      </c>
      <c r="Z598" s="1352"/>
      <c r="AA598" s="1352"/>
      <c r="AB598" s="1352"/>
      <c r="AC598" s="1352"/>
      <c r="AD598" s="1352"/>
      <c r="AE598" s="1352"/>
      <c r="AF598" s="1352"/>
      <c r="AG598" s="1352"/>
      <c r="AH598" s="1352"/>
      <c r="AI598" s="1352"/>
      <c r="AJ598" s="1352"/>
      <c r="AK598" s="1352"/>
      <c r="BA598" s="4" t="s">
        <v>165</v>
      </c>
      <c r="BB598" s="3"/>
      <c r="BC598" s="3"/>
      <c r="BD598" s="3"/>
      <c r="BE598" s="1414">
        <f t="shared" si="1"/>
        <v>1</v>
      </c>
      <c r="BF598" s="1416"/>
      <c r="BG598" s="1427">
        <f t="shared" si="2"/>
        <v>17</v>
      </c>
      <c r="BH598" s="1428"/>
      <c r="BI598" s="1414">
        <f t="shared" si="3"/>
        <v>0</v>
      </c>
      <c r="BJ598" s="1416"/>
      <c r="BK598" s="1427">
        <f t="shared" si="4"/>
        <v>0</v>
      </c>
      <c r="BL598" s="1428"/>
      <c r="BM598" s="3"/>
      <c r="BN598" s="1408">
        <f t="shared" si="5"/>
        <v>0</v>
      </c>
      <c r="BO598" s="1409"/>
      <c r="BP598" s="1409"/>
      <c r="BQ598" s="1409"/>
      <c r="BR598" s="1410"/>
      <c r="BS598" s="1417">
        <f t="shared" si="6"/>
        <v>17</v>
      </c>
      <c r="BT598" s="1417"/>
      <c r="BU598" s="1417"/>
      <c r="BV598" s="1417"/>
      <c r="BW598" s="1417"/>
      <c r="BX598" s="1417">
        <f t="shared" si="7"/>
        <v>0</v>
      </c>
      <c r="BY598" s="1417"/>
      <c r="BZ598" s="1417"/>
      <c r="CA598" s="1417"/>
      <c r="CB598" s="1417"/>
      <c r="CC598" s="1417">
        <f t="shared" si="8"/>
        <v>0</v>
      </c>
      <c r="CD598" s="1417"/>
      <c r="CE598" s="1417"/>
      <c r="CF598" s="1417"/>
      <c r="CG598" s="1417"/>
      <c r="CH598" s="1417">
        <f t="shared" si="9"/>
        <v>0</v>
      </c>
      <c r="CI598" s="1417"/>
      <c r="CJ598" s="1417"/>
      <c r="CK598" s="1417"/>
      <c r="CL598" s="1417"/>
      <c r="CM598" s="1417">
        <f t="shared" si="10"/>
        <v>0</v>
      </c>
      <c r="CN598" s="1417"/>
      <c r="CO598" s="1417"/>
      <c r="CP598" s="1417"/>
      <c r="CQ598" s="1417"/>
      <c r="CR598" s="6"/>
      <c r="CS598" s="1418">
        <f t="shared" si="11"/>
        <v>0</v>
      </c>
      <c r="CT598" s="1418"/>
      <c r="CU598" s="1418"/>
      <c r="CV598" s="1418"/>
      <c r="CW598" s="1418"/>
      <c r="CX598" s="1418">
        <f t="shared" si="12"/>
        <v>0</v>
      </c>
      <c r="CY598" s="1418"/>
      <c r="CZ598" s="1418"/>
      <c r="DA598" s="1418"/>
      <c r="DB598" s="1418"/>
      <c r="DC598" s="1418">
        <f t="shared" si="13"/>
        <v>0</v>
      </c>
      <c r="DD598" s="1418"/>
      <c r="DE598" s="1418"/>
      <c r="DF598" s="1418"/>
      <c r="DG598" s="1418"/>
      <c r="DH598" s="1418">
        <f t="shared" si="14"/>
        <v>0</v>
      </c>
      <c r="DI598" s="1418"/>
      <c r="DJ598" s="1418"/>
      <c r="DK598" s="1418"/>
      <c r="DL598" s="1418"/>
      <c r="DM598" s="1418">
        <f t="shared" si="15"/>
        <v>0</v>
      </c>
      <c r="DN598" s="1418"/>
      <c r="DO598" s="1418"/>
      <c r="DP598" s="1418"/>
      <c r="DQ598" s="1418"/>
      <c r="DR598" s="1418">
        <f t="shared" si="16"/>
        <v>0</v>
      </c>
      <c r="DS598" s="1418"/>
      <c r="DT598" s="1418"/>
      <c r="DU598" s="1418"/>
      <c r="DV598" s="1418"/>
      <c r="DX598" s="1414" t="str">
        <f t="shared" si="17"/>
        <v xml:space="preserve"> </v>
      </c>
      <c r="DY598" s="1415"/>
      <c r="DZ598" s="1415"/>
      <c r="EA598" s="1415"/>
      <c r="EB598" s="1416"/>
      <c r="EC598" s="1414">
        <f t="shared" si="18"/>
        <v>901</v>
      </c>
      <c r="ED598" s="1415"/>
      <c r="EE598" s="1415"/>
      <c r="EF598" s="1415"/>
      <c r="EG598" s="1416"/>
      <c r="EH598" s="1414" t="str">
        <f t="shared" si="19"/>
        <v xml:space="preserve"> </v>
      </c>
      <c r="EI598" s="1415"/>
      <c r="EJ598" s="1415"/>
      <c r="EK598" s="1415"/>
      <c r="EL598" s="1416"/>
      <c r="EM598" s="1414" t="str">
        <f t="shared" si="20"/>
        <v xml:space="preserve"> </v>
      </c>
      <c r="EN598" s="1415"/>
      <c r="EO598" s="1415"/>
      <c r="EP598" s="1415"/>
      <c r="EQ598" s="1416"/>
      <c r="ER598" s="1414" t="str">
        <f t="shared" si="21"/>
        <v xml:space="preserve"> </v>
      </c>
      <c r="ES598" s="1415"/>
      <c r="ET598" s="1415"/>
      <c r="EU598" s="1415"/>
      <c r="EV598" s="1416"/>
      <c r="EW598" s="1414" t="str">
        <f t="shared" si="22"/>
        <v xml:space="preserve"> </v>
      </c>
      <c r="EX598" s="1415"/>
      <c r="EY598" s="1415"/>
      <c r="EZ598" s="1415"/>
      <c r="FA598" s="1416"/>
    </row>
    <row r="599" spans="1:157" ht="12.95" customHeight="1">
      <c r="A599" s="22"/>
      <c r="B599" t="s">
        <v>589</v>
      </c>
      <c r="G599" s="1352"/>
      <c r="H599" s="1352"/>
      <c r="I599" s="1352"/>
      <c r="J599" s="1352"/>
      <c r="K599" s="1352"/>
      <c r="L599" s="1352"/>
      <c r="M599" s="1352"/>
      <c r="N599" s="1352"/>
      <c r="O599" s="1352"/>
      <c r="P599" s="1352"/>
      <c r="Q599" s="1352"/>
      <c r="R599" s="1352"/>
      <c r="T599" s="22"/>
      <c r="U599" t="s">
        <v>589</v>
      </c>
      <c r="Z599" s="1359"/>
      <c r="AA599" s="1359"/>
      <c r="AB599" s="1359"/>
      <c r="AC599" s="1359"/>
      <c r="AD599" s="1359"/>
      <c r="AE599" s="1359"/>
      <c r="AF599" s="1359"/>
      <c r="AG599" s="1359"/>
      <c r="AH599" s="1359"/>
      <c r="AI599" s="1359"/>
      <c r="AJ599" s="1359"/>
      <c r="AK599" s="1359"/>
      <c r="BA599" s="4" t="s">
        <v>166</v>
      </c>
      <c r="BB599" s="3"/>
      <c r="BC599" s="3"/>
      <c r="BD599" s="3"/>
      <c r="BE599" s="1414">
        <f t="shared" si="1"/>
        <v>0</v>
      </c>
      <c r="BF599" s="1416"/>
      <c r="BG599" s="1427">
        <f t="shared" si="2"/>
        <v>0</v>
      </c>
      <c r="BH599" s="1428"/>
      <c r="BI599" s="1414">
        <f t="shared" si="3"/>
        <v>0</v>
      </c>
      <c r="BJ599" s="1416"/>
      <c r="BK599" s="1427">
        <f t="shared" si="4"/>
        <v>0</v>
      </c>
      <c r="BL599" s="1428"/>
      <c r="BM599" s="3"/>
      <c r="BN599" s="1408">
        <f t="shared" si="5"/>
        <v>0</v>
      </c>
      <c r="BO599" s="1409"/>
      <c r="BP599" s="1409"/>
      <c r="BQ599" s="1409"/>
      <c r="BR599" s="1410"/>
      <c r="BS599" s="1417">
        <f t="shared" si="6"/>
        <v>34</v>
      </c>
      <c r="BT599" s="1417"/>
      <c r="BU599" s="1417"/>
      <c r="BV599" s="1417"/>
      <c r="BW599" s="1417"/>
      <c r="BX599" s="1417">
        <f t="shared" si="7"/>
        <v>0</v>
      </c>
      <c r="BY599" s="1417"/>
      <c r="BZ599" s="1417"/>
      <c r="CA599" s="1417"/>
      <c r="CB599" s="1417"/>
      <c r="CC599" s="1417">
        <f t="shared" si="8"/>
        <v>0</v>
      </c>
      <c r="CD599" s="1417"/>
      <c r="CE599" s="1417"/>
      <c r="CF599" s="1417"/>
      <c r="CG599" s="1417"/>
      <c r="CH599" s="1417">
        <f t="shared" si="9"/>
        <v>0</v>
      </c>
      <c r="CI599" s="1417"/>
      <c r="CJ599" s="1417"/>
      <c r="CK599" s="1417"/>
      <c r="CL599" s="1417"/>
      <c r="CM599" s="1417">
        <f t="shared" si="10"/>
        <v>0</v>
      </c>
      <c r="CN599" s="1417"/>
      <c r="CO599" s="1417"/>
      <c r="CP599" s="1417"/>
      <c r="CQ599" s="1417"/>
      <c r="CR599" s="6"/>
      <c r="CS599" s="1418">
        <f t="shared" si="11"/>
        <v>0</v>
      </c>
      <c r="CT599" s="1418"/>
      <c r="CU599" s="1418"/>
      <c r="CV599" s="1418"/>
      <c r="CW599" s="1418"/>
      <c r="CX599" s="1418">
        <f t="shared" si="12"/>
        <v>0</v>
      </c>
      <c r="CY599" s="1418"/>
      <c r="CZ599" s="1418"/>
      <c r="DA599" s="1418"/>
      <c r="DB599" s="1418"/>
      <c r="DC599" s="1418">
        <f t="shared" si="13"/>
        <v>0</v>
      </c>
      <c r="DD599" s="1418"/>
      <c r="DE599" s="1418"/>
      <c r="DF599" s="1418"/>
      <c r="DG599" s="1418"/>
      <c r="DH599" s="1418">
        <f t="shared" si="14"/>
        <v>0</v>
      </c>
      <c r="DI599" s="1418"/>
      <c r="DJ599" s="1418"/>
      <c r="DK599" s="1418"/>
      <c r="DL599" s="1418"/>
      <c r="DM599" s="1418">
        <f t="shared" si="15"/>
        <v>0</v>
      </c>
      <c r="DN599" s="1418"/>
      <c r="DO599" s="1418"/>
      <c r="DP599" s="1418"/>
      <c r="DQ599" s="1418"/>
      <c r="DR599" s="1418">
        <f t="shared" si="16"/>
        <v>0</v>
      </c>
      <c r="DS599" s="1418"/>
      <c r="DT599" s="1418"/>
      <c r="DU599" s="1418"/>
      <c r="DV599" s="1418"/>
      <c r="DX599" s="1414" t="str">
        <f t="shared" si="17"/>
        <v xml:space="preserve"> </v>
      </c>
      <c r="DY599" s="1415"/>
      <c r="DZ599" s="1415"/>
      <c r="EA599" s="1415"/>
      <c r="EB599" s="1416"/>
      <c r="EC599" s="1414">
        <f t="shared" si="18"/>
        <v>1281</v>
      </c>
      <c r="ED599" s="1415"/>
      <c r="EE599" s="1415"/>
      <c r="EF599" s="1415"/>
      <c r="EG599" s="1416"/>
      <c r="EH599" s="1414" t="str">
        <f t="shared" si="19"/>
        <v xml:space="preserve"> </v>
      </c>
      <c r="EI599" s="1415"/>
      <c r="EJ599" s="1415"/>
      <c r="EK599" s="1415"/>
      <c r="EL599" s="1416"/>
      <c r="EM599" s="1414" t="str">
        <f t="shared" si="20"/>
        <v xml:space="preserve"> </v>
      </c>
      <c r="EN599" s="1415"/>
      <c r="EO599" s="1415"/>
      <c r="EP599" s="1415"/>
      <c r="EQ599" s="1416"/>
      <c r="ER599" s="1414" t="str">
        <f t="shared" si="21"/>
        <v xml:space="preserve"> </v>
      </c>
      <c r="ES599" s="1415"/>
      <c r="ET599" s="1415"/>
      <c r="EU599" s="1415"/>
      <c r="EV599" s="1416"/>
      <c r="EW599" s="1414" t="str">
        <f t="shared" si="22"/>
        <v xml:space="preserve"> </v>
      </c>
      <c r="EX599" s="1415"/>
      <c r="EY599" s="1415"/>
      <c r="EZ599" s="1415"/>
      <c r="FA599" s="1416"/>
    </row>
    <row r="600" spans="1:157" ht="12.95" customHeight="1">
      <c r="A600" s="22"/>
      <c r="B600" t="s">
        <v>17</v>
      </c>
      <c r="G600" s="1352"/>
      <c r="H600" s="1352"/>
      <c r="I600" s="1352"/>
      <c r="J600" s="1352"/>
      <c r="K600" s="1352"/>
      <c r="L600" s="1352"/>
      <c r="M600" s="1352"/>
      <c r="N600" s="1352"/>
      <c r="O600" s="1352"/>
      <c r="P600" s="1352"/>
      <c r="Q600" s="1352"/>
      <c r="R600" s="1352"/>
      <c r="T600" s="22"/>
      <c r="U600" t="s">
        <v>17</v>
      </c>
      <c r="Z600" s="1359"/>
      <c r="AA600" s="1359"/>
      <c r="AB600" s="1359"/>
      <c r="AC600" s="1359"/>
      <c r="AD600" s="1359"/>
      <c r="AE600" s="1359"/>
      <c r="AF600" s="1359"/>
      <c r="AG600" s="1359"/>
      <c r="AH600" s="1359"/>
      <c r="AI600" s="1359"/>
      <c r="AJ600" s="1359"/>
      <c r="AK600" s="1359"/>
      <c r="BA600" s="4" t="s">
        <v>30</v>
      </c>
      <c r="BB600" s="3"/>
      <c r="BC600" s="3"/>
      <c r="BD600" s="3"/>
      <c r="BE600" s="1414">
        <f t="shared" si="1"/>
        <v>0</v>
      </c>
      <c r="BF600" s="1416"/>
      <c r="BG600" s="1427">
        <f t="shared" si="2"/>
        <v>0</v>
      </c>
      <c r="BH600" s="1428"/>
      <c r="BI600" s="1414">
        <f t="shared" si="3"/>
        <v>1</v>
      </c>
      <c r="BJ600" s="1416"/>
      <c r="BK600" s="1427">
        <f t="shared" si="4"/>
        <v>2</v>
      </c>
      <c r="BL600" s="1428"/>
      <c r="BM600" s="3"/>
      <c r="BN600" s="1408">
        <f t="shared" si="5"/>
        <v>0</v>
      </c>
      <c r="BO600" s="1409"/>
      <c r="BP600" s="1409"/>
      <c r="BQ600" s="1409"/>
      <c r="BR600" s="1410"/>
      <c r="BS600" s="1417">
        <f t="shared" si="6"/>
        <v>0</v>
      </c>
      <c r="BT600" s="1417"/>
      <c r="BU600" s="1417"/>
      <c r="BV600" s="1417"/>
      <c r="BW600" s="1417"/>
      <c r="BX600" s="1417">
        <f t="shared" si="7"/>
        <v>2</v>
      </c>
      <c r="BY600" s="1417"/>
      <c r="BZ600" s="1417"/>
      <c r="CA600" s="1417"/>
      <c r="CB600" s="1417"/>
      <c r="CC600" s="1417">
        <f t="shared" si="8"/>
        <v>0</v>
      </c>
      <c r="CD600" s="1417"/>
      <c r="CE600" s="1417"/>
      <c r="CF600" s="1417"/>
      <c r="CG600" s="1417"/>
      <c r="CH600" s="1417">
        <f t="shared" si="9"/>
        <v>0</v>
      </c>
      <c r="CI600" s="1417"/>
      <c r="CJ600" s="1417"/>
      <c r="CK600" s="1417"/>
      <c r="CL600" s="1417"/>
      <c r="CM600" s="1417">
        <f t="shared" si="10"/>
        <v>0</v>
      </c>
      <c r="CN600" s="1417"/>
      <c r="CO600" s="1417"/>
      <c r="CP600" s="1417"/>
      <c r="CQ600" s="1417"/>
      <c r="CR600" s="6"/>
      <c r="CS600" s="1418">
        <f t="shared" si="11"/>
        <v>0</v>
      </c>
      <c r="CT600" s="1418"/>
      <c r="CU600" s="1418"/>
      <c r="CV600" s="1418"/>
      <c r="CW600" s="1418"/>
      <c r="CX600" s="1418">
        <f t="shared" si="12"/>
        <v>0</v>
      </c>
      <c r="CY600" s="1418"/>
      <c r="CZ600" s="1418"/>
      <c r="DA600" s="1418"/>
      <c r="DB600" s="1418"/>
      <c r="DC600" s="1418">
        <f t="shared" si="13"/>
        <v>2</v>
      </c>
      <c r="DD600" s="1418"/>
      <c r="DE600" s="1418"/>
      <c r="DF600" s="1418"/>
      <c r="DG600" s="1418"/>
      <c r="DH600" s="1418">
        <f t="shared" si="14"/>
        <v>0</v>
      </c>
      <c r="DI600" s="1418"/>
      <c r="DJ600" s="1418"/>
      <c r="DK600" s="1418"/>
      <c r="DL600" s="1418"/>
      <c r="DM600" s="1418">
        <f t="shared" si="15"/>
        <v>0</v>
      </c>
      <c r="DN600" s="1418"/>
      <c r="DO600" s="1418"/>
      <c r="DP600" s="1418"/>
      <c r="DQ600" s="1418"/>
      <c r="DR600" s="1418">
        <f t="shared" si="16"/>
        <v>0</v>
      </c>
      <c r="DS600" s="1418"/>
      <c r="DT600" s="1418"/>
      <c r="DU600" s="1418"/>
      <c r="DV600" s="1418"/>
      <c r="DX600" s="1414" t="str">
        <f t="shared" si="17"/>
        <v xml:space="preserve"> </v>
      </c>
      <c r="DY600" s="1415"/>
      <c r="DZ600" s="1415"/>
      <c r="EA600" s="1415"/>
      <c r="EB600" s="1416"/>
      <c r="EC600" s="1414" t="str">
        <f t="shared" si="18"/>
        <v xml:space="preserve"> </v>
      </c>
      <c r="ED600" s="1415"/>
      <c r="EE600" s="1415"/>
      <c r="EF600" s="1415"/>
      <c r="EG600" s="1416"/>
      <c r="EH600" s="1414">
        <f t="shared" si="19"/>
        <v>624</v>
      </c>
      <c r="EI600" s="1415"/>
      <c r="EJ600" s="1415"/>
      <c r="EK600" s="1415"/>
      <c r="EL600" s="1416"/>
      <c r="EM600" s="1414" t="str">
        <f t="shared" si="20"/>
        <v xml:space="preserve"> </v>
      </c>
      <c r="EN600" s="1415"/>
      <c r="EO600" s="1415"/>
      <c r="EP600" s="1415"/>
      <c r="EQ600" s="1416"/>
      <c r="ER600" s="1414" t="str">
        <f t="shared" si="21"/>
        <v xml:space="preserve"> </v>
      </c>
      <c r="ES600" s="1415"/>
      <c r="ET600" s="1415"/>
      <c r="EU600" s="1415"/>
      <c r="EV600" s="1416"/>
      <c r="EW600" s="1414" t="str">
        <f t="shared" si="22"/>
        <v xml:space="preserve"> </v>
      </c>
      <c r="EX600" s="1415"/>
      <c r="EY600" s="1415"/>
      <c r="EZ600" s="1415"/>
      <c r="FA600" s="1416"/>
    </row>
    <row r="601" spans="1:157" ht="12.95" customHeight="1">
      <c r="A601" s="22"/>
      <c r="B601" t="s">
        <v>317</v>
      </c>
      <c r="G601" s="1354"/>
      <c r="H601" s="1354"/>
      <c r="I601" s="1354"/>
      <c r="J601" s="1354"/>
      <c r="K601" s="1354"/>
      <c r="L601" s="1354"/>
      <c r="O601" s="33" t="s">
        <v>207</v>
      </c>
      <c r="P601" s="1350"/>
      <c r="Q601" s="1350"/>
      <c r="R601" s="1350"/>
      <c r="T601" s="22"/>
      <c r="U601" t="s">
        <v>317</v>
      </c>
      <c r="Z601" s="1354"/>
      <c r="AA601" s="1354"/>
      <c r="AB601" s="1354"/>
      <c r="AC601" s="1354"/>
      <c r="AD601" s="1354"/>
      <c r="AE601" s="1354"/>
      <c r="AH601" s="33" t="s">
        <v>207</v>
      </c>
      <c r="AI601" s="1350"/>
      <c r="AJ601" s="1350"/>
      <c r="AK601" s="1350"/>
      <c r="AZ601" s="3"/>
      <c r="BA601" s="3"/>
      <c r="BB601" s="3"/>
      <c r="BC601" s="3"/>
      <c r="BD601" s="3"/>
      <c r="BE601" s="1414">
        <f t="shared" si="1"/>
        <v>0</v>
      </c>
      <c r="BF601" s="1416"/>
      <c r="BG601" s="1427">
        <f t="shared" si="2"/>
        <v>0</v>
      </c>
      <c r="BH601" s="1428"/>
      <c r="BI601" s="1414">
        <f t="shared" si="3"/>
        <v>1</v>
      </c>
      <c r="BJ601" s="1416"/>
      <c r="BK601" s="1427">
        <f t="shared" si="4"/>
        <v>2</v>
      </c>
      <c r="BL601" s="1428"/>
      <c r="BM601" s="3"/>
      <c r="BN601" s="1408">
        <f t="shared" si="5"/>
        <v>0</v>
      </c>
      <c r="BO601" s="1409"/>
      <c r="BP601" s="1409"/>
      <c r="BQ601" s="1409"/>
      <c r="BR601" s="1410"/>
      <c r="BS601" s="1417">
        <f t="shared" si="6"/>
        <v>0</v>
      </c>
      <c r="BT601" s="1417"/>
      <c r="BU601" s="1417"/>
      <c r="BV601" s="1417"/>
      <c r="BW601" s="1417"/>
      <c r="BX601" s="1417">
        <f t="shared" si="7"/>
        <v>2</v>
      </c>
      <c r="BY601" s="1417"/>
      <c r="BZ601" s="1417"/>
      <c r="CA601" s="1417"/>
      <c r="CB601" s="1417"/>
      <c r="CC601" s="1417">
        <f t="shared" si="8"/>
        <v>0</v>
      </c>
      <c r="CD601" s="1417"/>
      <c r="CE601" s="1417"/>
      <c r="CF601" s="1417"/>
      <c r="CG601" s="1417"/>
      <c r="CH601" s="1417">
        <f t="shared" si="9"/>
        <v>0</v>
      </c>
      <c r="CI601" s="1417"/>
      <c r="CJ601" s="1417"/>
      <c r="CK601" s="1417"/>
      <c r="CL601" s="1417"/>
      <c r="CM601" s="1417">
        <f t="shared" si="10"/>
        <v>0</v>
      </c>
      <c r="CN601" s="1417"/>
      <c r="CO601" s="1417"/>
      <c r="CP601" s="1417"/>
      <c r="CQ601" s="1417"/>
      <c r="CR601" s="6"/>
      <c r="CS601" s="1418">
        <f t="shared" si="11"/>
        <v>0</v>
      </c>
      <c r="CT601" s="1418"/>
      <c r="CU601" s="1418"/>
      <c r="CV601" s="1418"/>
      <c r="CW601" s="1418"/>
      <c r="CX601" s="1418">
        <f t="shared" si="12"/>
        <v>0</v>
      </c>
      <c r="CY601" s="1418"/>
      <c r="CZ601" s="1418"/>
      <c r="DA601" s="1418"/>
      <c r="DB601" s="1418"/>
      <c r="DC601" s="1418">
        <f t="shared" si="13"/>
        <v>2</v>
      </c>
      <c r="DD601" s="1418"/>
      <c r="DE601" s="1418"/>
      <c r="DF601" s="1418"/>
      <c r="DG601" s="1418"/>
      <c r="DH601" s="1418">
        <f t="shared" si="14"/>
        <v>0</v>
      </c>
      <c r="DI601" s="1418"/>
      <c r="DJ601" s="1418"/>
      <c r="DK601" s="1418"/>
      <c r="DL601" s="1418"/>
      <c r="DM601" s="1418">
        <f t="shared" si="15"/>
        <v>0</v>
      </c>
      <c r="DN601" s="1418"/>
      <c r="DO601" s="1418"/>
      <c r="DP601" s="1418"/>
      <c r="DQ601" s="1418"/>
      <c r="DR601" s="1418">
        <f t="shared" si="16"/>
        <v>0</v>
      </c>
      <c r="DS601" s="1418"/>
      <c r="DT601" s="1418"/>
      <c r="DU601" s="1418"/>
      <c r="DV601" s="1418"/>
      <c r="DX601" s="1414" t="str">
        <f t="shared" si="17"/>
        <v xml:space="preserve"> </v>
      </c>
      <c r="DY601" s="1415"/>
      <c r="DZ601" s="1415"/>
      <c r="EA601" s="1415"/>
      <c r="EB601" s="1416"/>
      <c r="EC601" s="1414" t="str">
        <f t="shared" si="18"/>
        <v xml:space="preserve"> </v>
      </c>
      <c r="ED601" s="1415"/>
      <c r="EE601" s="1415"/>
      <c r="EF601" s="1415"/>
      <c r="EG601" s="1416"/>
      <c r="EH601" s="1414">
        <f t="shared" si="19"/>
        <v>624</v>
      </c>
      <c r="EI601" s="1415"/>
      <c r="EJ601" s="1415"/>
      <c r="EK601" s="1415"/>
      <c r="EL601" s="1416"/>
      <c r="EM601" s="1414" t="str">
        <f t="shared" si="20"/>
        <v xml:space="preserve"> </v>
      </c>
      <c r="EN601" s="1415"/>
      <c r="EO601" s="1415"/>
      <c r="EP601" s="1415"/>
      <c r="EQ601" s="1416"/>
      <c r="ER601" s="1414" t="str">
        <f t="shared" si="21"/>
        <v xml:space="preserve"> </v>
      </c>
      <c r="ES601" s="1415"/>
      <c r="ET601" s="1415"/>
      <c r="EU601" s="1415"/>
      <c r="EV601" s="1416"/>
      <c r="EW601" s="1414" t="str">
        <f t="shared" si="22"/>
        <v xml:space="preserve"> </v>
      </c>
      <c r="EX601" s="1415"/>
      <c r="EY601" s="1415"/>
      <c r="EZ601" s="1415"/>
      <c r="FA601" s="1416"/>
    </row>
    <row r="602" spans="1:157" ht="12.95" customHeight="1">
      <c r="A602" s="22"/>
      <c r="B602" t="s">
        <v>18</v>
      </c>
      <c r="H602" s="1352"/>
      <c r="I602" s="1352"/>
      <c r="J602" s="1352"/>
      <c r="K602" s="1352"/>
      <c r="L602" s="1352"/>
      <c r="M602" s="1352"/>
      <c r="N602" s="1352"/>
      <c r="O602" s="1352"/>
      <c r="P602" s="1352"/>
      <c r="Q602" s="1352"/>
      <c r="R602" s="1352"/>
      <c r="T602" s="22"/>
      <c r="U602" t="s">
        <v>18</v>
      </c>
      <c r="AA602" s="1352"/>
      <c r="AB602" s="1352"/>
      <c r="AC602" s="1352"/>
      <c r="AD602" s="1352"/>
      <c r="AE602" s="1352"/>
      <c r="AF602" s="1352"/>
      <c r="AG602" s="1352"/>
      <c r="AH602" s="1352"/>
      <c r="AI602" s="1352"/>
      <c r="AJ602" s="1352"/>
      <c r="AK602" s="1352"/>
      <c r="AZ602" s="3"/>
      <c r="BA602" s="3"/>
      <c r="BB602" s="3"/>
      <c r="BC602" s="3"/>
      <c r="BD602" s="3"/>
      <c r="BE602" s="1414">
        <f t="shared" si="1"/>
        <v>1</v>
      </c>
      <c r="BF602" s="1416"/>
      <c r="BG602" s="1427">
        <f t="shared" si="2"/>
        <v>11</v>
      </c>
      <c r="BH602" s="1428"/>
      <c r="BI602" s="1414">
        <f t="shared" si="3"/>
        <v>0</v>
      </c>
      <c r="BJ602" s="1416"/>
      <c r="BK602" s="1427">
        <f t="shared" si="4"/>
        <v>0</v>
      </c>
      <c r="BL602" s="1428"/>
      <c r="BM602" s="3"/>
      <c r="BN602" s="1408">
        <f t="shared" si="5"/>
        <v>0</v>
      </c>
      <c r="BO602" s="1409"/>
      <c r="BP602" s="1409"/>
      <c r="BQ602" s="1409"/>
      <c r="BR602" s="1410"/>
      <c r="BS602" s="1417">
        <f t="shared" si="6"/>
        <v>0</v>
      </c>
      <c r="BT602" s="1417"/>
      <c r="BU602" s="1417"/>
      <c r="BV602" s="1417"/>
      <c r="BW602" s="1417"/>
      <c r="BX602" s="1417">
        <f t="shared" si="7"/>
        <v>11</v>
      </c>
      <c r="BY602" s="1417"/>
      <c r="BZ602" s="1417"/>
      <c r="CA602" s="1417"/>
      <c r="CB602" s="1417"/>
      <c r="CC602" s="1417">
        <f t="shared" si="8"/>
        <v>0</v>
      </c>
      <c r="CD602" s="1417"/>
      <c r="CE602" s="1417"/>
      <c r="CF602" s="1417"/>
      <c r="CG602" s="1417"/>
      <c r="CH602" s="1417">
        <f t="shared" si="9"/>
        <v>0</v>
      </c>
      <c r="CI602" s="1417"/>
      <c r="CJ602" s="1417"/>
      <c r="CK602" s="1417"/>
      <c r="CL602" s="1417"/>
      <c r="CM602" s="1417">
        <f t="shared" si="10"/>
        <v>0</v>
      </c>
      <c r="CN602" s="1417"/>
      <c r="CO602" s="1417"/>
      <c r="CP602" s="1417"/>
      <c r="CQ602" s="1417"/>
      <c r="CR602" s="6"/>
      <c r="CS602" s="1418">
        <f t="shared" si="11"/>
        <v>0</v>
      </c>
      <c r="CT602" s="1418"/>
      <c r="CU602" s="1418"/>
      <c r="CV602" s="1418"/>
      <c r="CW602" s="1418"/>
      <c r="CX602" s="1418">
        <f t="shared" si="12"/>
        <v>0</v>
      </c>
      <c r="CY602" s="1418"/>
      <c r="CZ602" s="1418"/>
      <c r="DA602" s="1418"/>
      <c r="DB602" s="1418"/>
      <c r="DC602" s="1418">
        <f t="shared" si="13"/>
        <v>0</v>
      </c>
      <c r="DD602" s="1418"/>
      <c r="DE602" s="1418"/>
      <c r="DF602" s="1418"/>
      <c r="DG602" s="1418"/>
      <c r="DH602" s="1418">
        <f t="shared" si="14"/>
        <v>0</v>
      </c>
      <c r="DI602" s="1418"/>
      <c r="DJ602" s="1418"/>
      <c r="DK602" s="1418"/>
      <c r="DL602" s="1418"/>
      <c r="DM602" s="1418">
        <f t="shared" si="15"/>
        <v>0</v>
      </c>
      <c r="DN602" s="1418"/>
      <c r="DO602" s="1418"/>
      <c r="DP602" s="1418"/>
      <c r="DQ602" s="1418"/>
      <c r="DR602" s="1418">
        <f t="shared" si="16"/>
        <v>0</v>
      </c>
      <c r="DS602" s="1418"/>
      <c r="DT602" s="1418"/>
      <c r="DU602" s="1418"/>
      <c r="DV602" s="1418"/>
      <c r="DX602" s="1414" t="str">
        <f t="shared" si="17"/>
        <v xml:space="preserve"> </v>
      </c>
      <c r="DY602" s="1415"/>
      <c r="DZ602" s="1415"/>
      <c r="EA602" s="1415"/>
      <c r="EB602" s="1416"/>
      <c r="EC602" s="1414" t="str">
        <f t="shared" si="18"/>
        <v xml:space="preserve"> </v>
      </c>
      <c r="ED602" s="1415"/>
      <c r="EE602" s="1415"/>
      <c r="EF602" s="1415"/>
      <c r="EG602" s="1416"/>
      <c r="EH602" s="1414">
        <f t="shared" si="19"/>
        <v>1080</v>
      </c>
      <c r="EI602" s="1415"/>
      <c r="EJ602" s="1415"/>
      <c r="EK602" s="1415"/>
      <c r="EL602" s="1416"/>
      <c r="EM602" s="1414" t="str">
        <f t="shared" si="20"/>
        <v xml:space="preserve"> </v>
      </c>
      <c r="EN602" s="1415"/>
      <c r="EO602" s="1415"/>
      <c r="EP602" s="1415"/>
      <c r="EQ602" s="1416"/>
      <c r="ER602" s="1414" t="str">
        <f t="shared" si="21"/>
        <v xml:space="preserve"> </v>
      </c>
      <c r="ES602" s="1415"/>
      <c r="ET602" s="1415"/>
      <c r="EU602" s="1415"/>
      <c r="EV602" s="1416"/>
      <c r="EW602" s="1414" t="str">
        <f t="shared" si="22"/>
        <v xml:space="preserve"> </v>
      </c>
      <c r="EX602" s="1415"/>
      <c r="EY602" s="1415"/>
      <c r="EZ602" s="1415"/>
      <c r="FA602" s="1416"/>
    </row>
    <row r="603" spans="1:157" ht="12.95" customHeight="1">
      <c r="A603" s="22"/>
      <c r="B603" t="s">
        <v>20</v>
      </c>
      <c r="N603" s="1353" t="s">
        <v>678</v>
      </c>
      <c r="O603" s="1353"/>
      <c r="T603" s="22"/>
      <c r="U603" t="s">
        <v>20</v>
      </c>
      <c r="AG603" s="1353" t="s">
        <v>678</v>
      </c>
      <c r="AH603" s="1353"/>
      <c r="AZ603" s="3"/>
      <c r="BA603" s="3"/>
      <c r="BB603" s="3"/>
      <c r="BC603" s="3"/>
      <c r="BD603" s="3"/>
      <c r="BE603" s="1414">
        <f t="shared" si="1"/>
        <v>0</v>
      </c>
      <c r="BF603" s="1416"/>
      <c r="BG603" s="1427">
        <f t="shared" si="2"/>
        <v>0</v>
      </c>
      <c r="BH603" s="1428"/>
      <c r="BI603" s="1414">
        <f t="shared" si="3"/>
        <v>0</v>
      </c>
      <c r="BJ603" s="1416"/>
      <c r="BK603" s="1427">
        <f t="shared" si="4"/>
        <v>0</v>
      </c>
      <c r="BL603" s="1428"/>
      <c r="BM603" s="3"/>
      <c r="BN603" s="1408">
        <f t="shared" si="5"/>
        <v>0</v>
      </c>
      <c r="BO603" s="1409"/>
      <c r="BP603" s="1409"/>
      <c r="BQ603" s="1409"/>
      <c r="BR603" s="1410"/>
      <c r="BS603" s="1417">
        <f t="shared" si="6"/>
        <v>0</v>
      </c>
      <c r="BT603" s="1417"/>
      <c r="BU603" s="1417"/>
      <c r="BV603" s="1417"/>
      <c r="BW603" s="1417"/>
      <c r="BX603" s="1417">
        <f t="shared" si="7"/>
        <v>23</v>
      </c>
      <c r="BY603" s="1417"/>
      <c r="BZ603" s="1417"/>
      <c r="CA603" s="1417"/>
      <c r="CB603" s="1417"/>
      <c r="CC603" s="1417">
        <f t="shared" si="8"/>
        <v>0</v>
      </c>
      <c r="CD603" s="1417"/>
      <c r="CE603" s="1417"/>
      <c r="CF603" s="1417"/>
      <c r="CG603" s="1417"/>
      <c r="CH603" s="1417">
        <f t="shared" si="9"/>
        <v>0</v>
      </c>
      <c r="CI603" s="1417"/>
      <c r="CJ603" s="1417"/>
      <c r="CK603" s="1417"/>
      <c r="CL603" s="1417"/>
      <c r="CM603" s="1417">
        <f t="shared" si="10"/>
        <v>0</v>
      </c>
      <c r="CN603" s="1417"/>
      <c r="CO603" s="1417"/>
      <c r="CP603" s="1417"/>
      <c r="CQ603" s="1417"/>
      <c r="CR603" s="6"/>
      <c r="CS603" s="1418">
        <f t="shared" si="11"/>
        <v>0</v>
      </c>
      <c r="CT603" s="1418"/>
      <c r="CU603" s="1418"/>
      <c r="CV603" s="1418"/>
      <c r="CW603" s="1418"/>
      <c r="CX603" s="1418">
        <f t="shared" si="12"/>
        <v>0</v>
      </c>
      <c r="CY603" s="1418"/>
      <c r="CZ603" s="1418"/>
      <c r="DA603" s="1418"/>
      <c r="DB603" s="1418"/>
      <c r="DC603" s="1418">
        <f t="shared" si="13"/>
        <v>0</v>
      </c>
      <c r="DD603" s="1418"/>
      <c r="DE603" s="1418"/>
      <c r="DF603" s="1418"/>
      <c r="DG603" s="1418"/>
      <c r="DH603" s="1418">
        <f t="shared" si="14"/>
        <v>0</v>
      </c>
      <c r="DI603" s="1418"/>
      <c r="DJ603" s="1418"/>
      <c r="DK603" s="1418"/>
      <c r="DL603" s="1418"/>
      <c r="DM603" s="1418">
        <f t="shared" si="15"/>
        <v>0</v>
      </c>
      <c r="DN603" s="1418"/>
      <c r="DO603" s="1418"/>
      <c r="DP603" s="1418"/>
      <c r="DQ603" s="1418"/>
      <c r="DR603" s="1418">
        <f t="shared" si="16"/>
        <v>0</v>
      </c>
      <c r="DS603" s="1418"/>
      <c r="DT603" s="1418"/>
      <c r="DU603" s="1418"/>
      <c r="DV603" s="1418"/>
      <c r="DX603" s="1414" t="str">
        <f t="shared" si="17"/>
        <v xml:space="preserve"> </v>
      </c>
      <c r="DY603" s="1415"/>
      <c r="DZ603" s="1415"/>
      <c r="EA603" s="1415"/>
      <c r="EB603" s="1416"/>
      <c r="EC603" s="1414" t="str">
        <f t="shared" si="18"/>
        <v xml:space="preserve"> </v>
      </c>
      <c r="ED603" s="1415"/>
      <c r="EE603" s="1415"/>
      <c r="EF603" s="1415"/>
      <c r="EG603" s="1416"/>
      <c r="EH603" s="1414">
        <f t="shared" si="19"/>
        <v>1517</v>
      </c>
      <c r="EI603" s="1415"/>
      <c r="EJ603" s="1415"/>
      <c r="EK603" s="1415"/>
      <c r="EL603" s="1416"/>
      <c r="EM603" s="1414" t="str">
        <f t="shared" si="20"/>
        <v xml:space="preserve"> </v>
      </c>
      <c r="EN603" s="1415"/>
      <c r="EO603" s="1415"/>
      <c r="EP603" s="1415"/>
      <c r="EQ603" s="1416"/>
      <c r="ER603" s="1414" t="str">
        <f t="shared" si="21"/>
        <v xml:space="preserve"> </v>
      </c>
      <c r="ES603" s="1415"/>
      <c r="ET603" s="1415"/>
      <c r="EU603" s="1415"/>
      <c r="EV603" s="1416"/>
      <c r="EW603" s="1414" t="str">
        <f t="shared" si="22"/>
        <v xml:space="preserve"> </v>
      </c>
      <c r="EX603" s="1415"/>
      <c r="EY603" s="1415"/>
      <c r="EZ603" s="1415"/>
      <c r="FA603" s="1416"/>
    </row>
    <row r="604" spans="1:157" s="4" customFormat="1" ht="12.95" customHeight="1">
      <c r="A604" s="22"/>
      <c r="B604"/>
      <c r="C604"/>
      <c r="D604"/>
      <c r="E604"/>
      <c r="F604"/>
      <c r="G604"/>
      <c r="H604"/>
      <c r="I604"/>
      <c r="J604"/>
      <c r="K604"/>
      <c r="L604"/>
      <c r="M604"/>
      <c r="N604"/>
      <c r="O604"/>
      <c r="P604"/>
      <c r="Q604"/>
      <c r="R604"/>
      <c r="S604"/>
      <c r="T604" s="22"/>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s="3"/>
      <c r="BA604" s="3"/>
      <c r="BB604" s="3"/>
      <c r="BC604" s="3"/>
      <c r="BD604" s="3"/>
      <c r="BE604" s="1414">
        <f t="shared" si="1"/>
        <v>0</v>
      </c>
      <c r="BF604" s="1416"/>
      <c r="BG604" s="1427">
        <f t="shared" si="2"/>
        <v>0</v>
      </c>
      <c r="BH604" s="1428"/>
      <c r="BI604" s="1414">
        <f t="shared" si="3"/>
        <v>1</v>
      </c>
      <c r="BJ604" s="1416"/>
      <c r="BK604" s="1427">
        <f t="shared" si="4"/>
        <v>2</v>
      </c>
      <c r="BL604" s="1428"/>
      <c r="BM604" s="3"/>
      <c r="BN604" s="1408">
        <f t="shared" si="5"/>
        <v>0</v>
      </c>
      <c r="BO604" s="1409"/>
      <c r="BP604" s="1409"/>
      <c r="BQ604" s="1409"/>
      <c r="BR604" s="1410"/>
      <c r="BS604" s="1417">
        <f t="shared" si="6"/>
        <v>0</v>
      </c>
      <c r="BT604" s="1417"/>
      <c r="BU604" s="1417"/>
      <c r="BV604" s="1417"/>
      <c r="BW604" s="1417"/>
      <c r="BX604" s="1417">
        <f t="shared" si="7"/>
        <v>2</v>
      </c>
      <c r="BY604" s="1417"/>
      <c r="BZ604" s="1417"/>
      <c r="CA604" s="1417"/>
      <c r="CB604" s="1417"/>
      <c r="CC604" s="1417">
        <f t="shared" si="8"/>
        <v>0</v>
      </c>
      <c r="CD604" s="1417"/>
      <c r="CE604" s="1417"/>
      <c r="CF604" s="1417"/>
      <c r="CG604" s="1417"/>
      <c r="CH604" s="1417">
        <f t="shared" si="9"/>
        <v>0</v>
      </c>
      <c r="CI604" s="1417"/>
      <c r="CJ604" s="1417"/>
      <c r="CK604" s="1417"/>
      <c r="CL604" s="1417"/>
      <c r="CM604" s="1417">
        <f t="shared" si="10"/>
        <v>0</v>
      </c>
      <c r="CN604" s="1417"/>
      <c r="CO604" s="1417"/>
      <c r="CP604" s="1417"/>
      <c r="CQ604" s="1417"/>
      <c r="CR604" s="6"/>
      <c r="CS604" s="1418">
        <f t="shared" si="11"/>
        <v>0</v>
      </c>
      <c r="CT604" s="1418"/>
      <c r="CU604" s="1418"/>
      <c r="CV604" s="1418"/>
      <c r="CW604" s="1418"/>
      <c r="CX604" s="1418">
        <f t="shared" si="12"/>
        <v>0</v>
      </c>
      <c r="CY604" s="1418"/>
      <c r="CZ604" s="1418"/>
      <c r="DA604" s="1418"/>
      <c r="DB604" s="1418"/>
      <c r="DC604" s="1418">
        <f t="shared" si="13"/>
        <v>2</v>
      </c>
      <c r="DD604" s="1418"/>
      <c r="DE604" s="1418"/>
      <c r="DF604" s="1418"/>
      <c r="DG604" s="1418"/>
      <c r="DH604" s="1418">
        <f t="shared" si="14"/>
        <v>0</v>
      </c>
      <c r="DI604" s="1418"/>
      <c r="DJ604" s="1418"/>
      <c r="DK604" s="1418"/>
      <c r="DL604" s="1418"/>
      <c r="DM604" s="1418">
        <f t="shared" si="15"/>
        <v>0</v>
      </c>
      <c r="DN604" s="1418"/>
      <c r="DO604" s="1418"/>
      <c r="DP604" s="1418"/>
      <c r="DQ604" s="1418"/>
      <c r="DR604" s="1418">
        <f t="shared" si="16"/>
        <v>0</v>
      </c>
      <c r="DS604" s="1418"/>
      <c r="DT604" s="1418"/>
      <c r="DU604" s="1418"/>
      <c r="DV604" s="1418"/>
      <c r="DX604" s="1414" t="str">
        <f t="shared" si="17"/>
        <v xml:space="preserve"> </v>
      </c>
      <c r="DY604" s="1415"/>
      <c r="DZ604" s="1415"/>
      <c r="EA604" s="1415"/>
      <c r="EB604" s="1416"/>
      <c r="EC604" s="1414" t="str">
        <f t="shared" si="18"/>
        <v xml:space="preserve"> </v>
      </c>
      <c r="ED604" s="1415"/>
      <c r="EE604" s="1415"/>
      <c r="EF604" s="1415"/>
      <c r="EG604" s="1416"/>
      <c r="EH604" s="1414">
        <f t="shared" si="19"/>
        <v>624</v>
      </c>
      <c r="EI604" s="1415"/>
      <c r="EJ604" s="1415"/>
      <c r="EK604" s="1415"/>
      <c r="EL604" s="1416"/>
      <c r="EM604" s="1414" t="str">
        <f t="shared" si="20"/>
        <v xml:space="preserve"> </v>
      </c>
      <c r="EN604" s="1415"/>
      <c r="EO604" s="1415"/>
      <c r="EP604" s="1415"/>
      <c r="EQ604" s="1416"/>
      <c r="ER604" s="1414" t="str">
        <f t="shared" si="21"/>
        <v xml:space="preserve"> </v>
      </c>
      <c r="ES604" s="1415"/>
      <c r="ET604" s="1415"/>
      <c r="EU604" s="1415"/>
      <c r="EV604" s="1416"/>
      <c r="EW604" s="1414" t="str">
        <f t="shared" si="22"/>
        <v xml:space="preserve"> </v>
      </c>
      <c r="EX604" s="1415"/>
      <c r="EY604" s="1415"/>
      <c r="EZ604" s="1415"/>
      <c r="FA604" s="1416"/>
    </row>
    <row r="605" spans="1:157" s="4" customFormat="1" ht="12.95" customHeight="1">
      <c r="A605" s="55" t="s">
        <v>363</v>
      </c>
      <c r="B605" t="s">
        <v>472</v>
      </c>
      <c r="C605"/>
      <c r="D605"/>
      <c r="E605"/>
      <c r="F605"/>
      <c r="G605" s="1351">
        <f>C560</f>
        <v>0</v>
      </c>
      <c r="H605" s="1351"/>
      <c r="I605" s="1351"/>
      <c r="J605" s="1351"/>
      <c r="K605" s="1351"/>
      <c r="L605" s="1351"/>
      <c r="M605" s="1351"/>
      <c r="N605" s="1351"/>
      <c r="O605" s="1351"/>
      <c r="P605" s="1351"/>
      <c r="Q605" s="1351"/>
      <c r="R605" s="1351"/>
      <c r="S605"/>
      <c r="T605" s="55" t="s">
        <v>364</v>
      </c>
      <c r="U605" t="s">
        <v>472</v>
      </c>
      <c r="V605"/>
      <c r="W605"/>
      <c r="X605"/>
      <c r="Y605"/>
      <c r="Z605" s="1351">
        <f>C561</f>
        <v>0</v>
      </c>
      <c r="AA605" s="1351"/>
      <c r="AB605" s="1351"/>
      <c r="AC605" s="1351"/>
      <c r="AD605" s="1351"/>
      <c r="AE605" s="1351"/>
      <c r="AF605" s="1351"/>
      <c r="AG605" s="1351"/>
      <c r="AH605" s="1351"/>
      <c r="AI605" s="1351"/>
      <c r="AJ605" s="1351"/>
      <c r="AK605" s="1351"/>
      <c r="AL605"/>
      <c r="AM605"/>
      <c r="AN605"/>
      <c r="AO605"/>
      <c r="AP605"/>
      <c r="AQ605"/>
      <c r="AR605"/>
      <c r="AS605"/>
      <c r="AT605"/>
      <c r="AU605"/>
      <c r="AV605"/>
      <c r="AW605"/>
      <c r="AX605"/>
      <c r="AY605"/>
      <c r="AZ605" s="3"/>
      <c r="BA605" s="3"/>
      <c r="BB605" s="3"/>
      <c r="BC605" s="3"/>
      <c r="BD605" s="3"/>
      <c r="BE605" s="1414">
        <f t="shared" si="1"/>
        <v>0</v>
      </c>
      <c r="BF605" s="1416"/>
      <c r="BG605" s="1427">
        <f t="shared" si="2"/>
        <v>0</v>
      </c>
      <c r="BH605" s="1428"/>
      <c r="BI605" s="1414">
        <f t="shared" si="3"/>
        <v>1</v>
      </c>
      <c r="BJ605" s="1416"/>
      <c r="BK605" s="1427">
        <f t="shared" si="4"/>
        <v>1</v>
      </c>
      <c r="BL605" s="1428"/>
      <c r="BM605" s="3"/>
      <c r="BN605" s="1408">
        <f t="shared" si="5"/>
        <v>0</v>
      </c>
      <c r="BO605" s="1409"/>
      <c r="BP605" s="1409"/>
      <c r="BQ605" s="1409"/>
      <c r="BR605" s="1410"/>
      <c r="BS605" s="1417">
        <f t="shared" si="6"/>
        <v>0</v>
      </c>
      <c r="BT605" s="1417"/>
      <c r="BU605" s="1417"/>
      <c r="BV605" s="1417"/>
      <c r="BW605" s="1417"/>
      <c r="BX605" s="1417">
        <f t="shared" si="7"/>
        <v>1</v>
      </c>
      <c r="BY605" s="1417"/>
      <c r="BZ605" s="1417"/>
      <c r="CA605" s="1417"/>
      <c r="CB605" s="1417"/>
      <c r="CC605" s="1417">
        <f t="shared" si="8"/>
        <v>0</v>
      </c>
      <c r="CD605" s="1417"/>
      <c r="CE605" s="1417"/>
      <c r="CF605" s="1417"/>
      <c r="CG605" s="1417"/>
      <c r="CH605" s="1417">
        <f t="shared" si="9"/>
        <v>0</v>
      </c>
      <c r="CI605" s="1417"/>
      <c r="CJ605" s="1417"/>
      <c r="CK605" s="1417"/>
      <c r="CL605" s="1417"/>
      <c r="CM605" s="1417">
        <f t="shared" si="10"/>
        <v>0</v>
      </c>
      <c r="CN605" s="1417"/>
      <c r="CO605" s="1417"/>
      <c r="CP605" s="1417"/>
      <c r="CQ605" s="1417"/>
      <c r="CR605" s="6"/>
      <c r="CS605" s="1418">
        <f t="shared" si="11"/>
        <v>0</v>
      </c>
      <c r="CT605" s="1418"/>
      <c r="CU605" s="1418"/>
      <c r="CV605" s="1418"/>
      <c r="CW605" s="1418"/>
      <c r="CX605" s="1418">
        <f t="shared" si="12"/>
        <v>0</v>
      </c>
      <c r="CY605" s="1418"/>
      <c r="CZ605" s="1418"/>
      <c r="DA605" s="1418"/>
      <c r="DB605" s="1418"/>
      <c r="DC605" s="1418">
        <f t="shared" si="13"/>
        <v>1</v>
      </c>
      <c r="DD605" s="1418"/>
      <c r="DE605" s="1418"/>
      <c r="DF605" s="1418"/>
      <c r="DG605" s="1418"/>
      <c r="DH605" s="1418">
        <f t="shared" si="14"/>
        <v>0</v>
      </c>
      <c r="DI605" s="1418"/>
      <c r="DJ605" s="1418"/>
      <c r="DK605" s="1418"/>
      <c r="DL605" s="1418"/>
      <c r="DM605" s="1418">
        <f t="shared" si="15"/>
        <v>0</v>
      </c>
      <c r="DN605" s="1418"/>
      <c r="DO605" s="1418"/>
      <c r="DP605" s="1418"/>
      <c r="DQ605" s="1418"/>
      <c r="DR605" s="1418">
        <f t="shared" si="16"/>
        <v>0</v>
      </c>
      <c r="DS605" s="1418"/>
      <c r="DT605" s="1418"/>
      <c r="DU605" s="1418"/>
      <c r="DV605" s="1418"/>
      <c r="DX605" s="1414" t="str">
        <f t="shared" si="17"/>
        <v xml:space="preserve"> </v>
      </c>
      <c r="DY605" s="1415"/>
      <c r="DZ605" s="1415"/>
      <c r="EA605" s="1415"/>
      <c r="EB605" s="1416"/>
      <c r="EC605" s="1414" t="str">
        <f t="shared" si="18"/>
        <v xml:space="preserve"> </v>
      </c>
      <c r="ED605" s="1415"/>
      <c r="EE605" s="1415"/>
      <c r="EF605" s="1415"/>
      <c r="EG605" s="1416"/>
      <c r="EH605" s="1414">
        <f t="shared" si="19"/>
        <v>624</v>
      </c>
      <c r="EI605" s="1415"/>
      <c r="EJ605" s="1415"/>
      <c r="EK605" s="1415"/>
      <c r="EL605" s="1416"/>
      <c r="EM605" s="1414" t="str">
        <f t="shared" si="20"/>
        <v xml:space="preserve"> </v>
      </c>
      <c r="EN605" s="1415"/>
      <c r="EO605" s="1415"/>
      <c r="EP605" s="1415"/>
      <c r="EQ605" s="1416"/>
      <c r="ER605" s="1414" t="str">
        <f t="shared" si="21"/>
        <v xml:space="preserve"> </v>
      </c>
      <c r="ES605" s="1415"/>
      <c r="ET605" s="1415"/>
      <c r="EU605" s="1415"/>
      <c r="EV605" s="1416"/>
      <c r="EW605" s="1414" t="str">
        <f t="shared" si="22"/>
        <v xml:space="preserve"> </v>
      </c>
      <c r="EX605" s="1415"/>
      <c r="EY605" s="1415"/>
      <c r="EZ605" s="1415"/>
      <c r="FA605" s="1416"/>
    </row>
    <row r="606" spans="1:157" s="4" customFormat="1" ht="12.95" customHeight="1">
      <c r="A606"/>
      <c r="B606" t="s">
        <v>86</v>
      </c>
      <c r="C606"/>
      <c r="D606"/>
      <c r="E606"/>
      <c r="F606"/>
      <c r="G606" s="1352"/>
      <c r="H606" s="1352"/>
      <c r="I606" s="1352"/>
      <c r="J606" s="1352"/>
      <c r="K606" s="1352"/>
      <c r="L606" s="1352"/>
      <c r="M606" s="1352"/>
      <c r="N606" s="1352"/>
      <c r="O606" s="1352"/>
      <c r="P606" s="1352"/>
      <c r="Q606" s="1352"/>
      <c r="R606" s="1352"/>
      <c r="S606"/>
      <c r="T606"/>
      <c r="U606" t="s">
        <v>86</v>
      </c>
      <c r="V606"/>
      <c r="W606"/>
      <c r="X606"/>
      <c r="Y606"/>
      <c r="Z606" s="1352"/>
      <c r="AA606" s="1352"/>
      <c r="AB606" s="1352"/>
      <c r="AC606" s="1352"/>
      <c r="AD606" s="1352"/>
      <c r="AE606" s="1352"/>
      <c r="AF606" s="1352"/>
      <c r="AG606" s="1352"/>
      <c r="AH606" s="1352"/>
      <c r="AI606" s="1352"/>
      <c r="AJ606" s="1352"/>
      <c r="AK606" s="1352"/>
      <c r="AL606"/>
      <c r="AM606"/>
      <c r="AN606"/>
      <c r="AO606"/>
      <c r="AP606"/>
      <c r="AQ606"/>
      <c r="AR606"/>
      <c r="AS606"/>
      <c r="AT606"/>
      <c r="AU606"/>
      <c r="AV606"/>
      <c r="AW606"/>
      <c r="AX606"/>
      <c r="AY606"/>
      <c r="AZ606" s="3"/>
      <c r="BA606" s="3"/>
      <c r="BB606" s="3"/>
      <c r="BC606" s="3"/>
      <c r="BD606" s="3"/>
      <c r="BE606" s="1414">
        <f t="shared" si="1"/>
        <v>1</v>
      </c>
      <c r="BF606" s="1416"/>
      <c r="BG606" s="1427">
        <f t="shared" si="2"/>
        <v>9</v>
      </c>
      <c r="BH606" s="1428"/>
      <c r="BI606" s="1414">
        <f t="shared" si="3"/>
        <v>0</v>
      </c>
      <c r="BJ606" s="1416"/>
      <c r="BK606" s="1427">
        <f t="shared" si="4"/>
        <v>0</v>
      </c>
      <c r="BL606" s="1428"/>
      <c r="BM606" s="3"/>
      <c r="BN606" s="1408">
        <f t="shared" si="5"/>
        <v>0</v>
      </c>
      <c r="BO606" s="1409"/>
      <c r="BP606" s="1409"/>
      <c r="BQ606" s="1409"/>
      <c r="BR606" s="1410"/>
      <c r="BS606" s="1417">
        <f t="shared" si="6"/>
        <v>0</v>
      </c>
      <c r="BT606" s="1417"/>
      <c r="BU606" s="1417"/>
      <c r="BV606" s="1417"/>
      <c r="BW606" s="1417"/>
      <c r="BX606" s="1417">
        <f t="shared" si="7"/>
        <v>9</v>
      </c>
      <c r="BY606" s="1417"/>
      <c r="BZ606" s="1417"/>
      <c r="CA606" s="1417"/>
      <c r="CB606" s="1417"/>
      <c r="CC606" s="1417">
        <f t="shared" si="8"/>
        <v>0</v>
      </c>
      <c r="CD606" s="1417"/>
      <c r="CE606" s="1417"/>
      <c r="CF606" s="1417"/>
      <c r="CG606" s="1417"/>
      <c r="CH606" s="1417">
        <f t="shared" si="9"/>
        <v>0</v>
      </c>
      <c r="CI606" s="1417"/>
      <c r="CJ606" s="1417"/>
      <c r="CK606" s="1417"/>
      <c r="CL606" s="1417"/>
      <c r="CM606" s="1417">
        <f t="shared" si="10"/>
        <v>0</v>
      </c>
      <c r="CN606" s="1417"/>
      <c r="CO606" s="1417"/>
      <c r="CP606" s="1417"/>
      <c r="CQ606" s="1417"/>
      <c r="CR606" s="6"/>
      <c r="CS606" s="1418">
        <f t="shared" si="11"/>
        <v>0</v>
      </c>
      <c r="CT606" s="1418"/>
      <c r="CU606" s="1418"/>
      <c r="CV606" s="1418"/>
      <c r="CW606" s="1418"/>
      <c r="CX606" s="1418">
        <f t="shared" si="12"/>
        <v>0</v>
      </c>
      <c r="CY606" s="1418"/>
      <c r="CZ606" s="1418"/>
      <c r="DA606" s="1418"/>
      <c r="DB606" s="1418"/>
      <c r="DC606" s="1418">
        <f t="shared" si="13"/>
        <v>0</v>
      </c>
      <c r="DD606" s="1418"/>
      <c r="DE606" s="1418"/>
      <c r="DF606" s="1418"/>
      <c r="DG606" s="1418"/>
      <c r="DH606" s="1418">
        <f t="shared" si="14"/>
        <v>0</v>
      </c>
      <c r="DI606" s="1418"/>
      <c r="DJ606" s="1418"/>
      <c r="DK606" s="1418"/>
      <c r="DL606" s="1418"/>
      <c r="DM606" s="1418">
        <f t="shared" si="15"/>
        <v>0</v>
      </c>
      <c r="DN606" s="1418"/>
      <c r="DO606" s="1418"/>
      <c r="DP606" s="1418"/>
      <c r="DQ606" s="1418"/>
      <c r="DR606" s="1418">
        <f t="shared" si="16"/>
        <v>0</v>
      </c>
      <c r="DS606" s="1418"/>
      <c r="DT606" s="1418"/>
      <c r="DU606" s="1418"/>
      <c r="DV606" s="1418"/>
      <c r="DX606" s="1414" t="str">
        <f t="shared" si="17"/>
        <v xml:space="preserve"> </v>
      </c>
      <c r="DY606" s="1415"/>
      <c r="DZ606" s="1415"/>
      <c r="EA606" s="1415"/>
      <c r="EB606" s="1416"/>
      <c r="EC606" s="1414" t="str">
        <f t="shared" si="18"/>
        <v xml:space="preserve"> </v>
      </c>
      <c r="ED606" s="1415"/>
      <c r="EE606" s="1415"/>
      <c r="EF606" s="1415"/>
      <c r="EG606" s="1416"/>
      <c r="EH606" s="1414">
        <f t="shared" si="19"/>
        <v>1080</v>
      </c>
      <c r="EI606" s="1415"/>
      <c r="EJ606" s="1415"/>
      <c r="EK606" s="1415"/>
      <c r="EL606" s="1416"/>
      <c r="EM606" s="1414" t="str">
        <f t="shared" si="20"/>
        <v xml:space="preserve"> </v>
      </c>
      <c r="EN606" s="1415"/>
      <c r="EO606" s="1415"/>
      <c r="EP606" s="1415"/>
      <c r="EQ606" s="1416"/>
      <c r="ER606" s="1414" t="str">
        <f t="shared" si="21"/>
        <v xml:space="preserve"> </v>
      </c>
      <c r="ES606" s="1415"/>
      <c r="ET606" s="1415"/>
      <c r="EU606" s="1415"/>
      <c r="EV606" s="1416"/>
      <c r="EW606" s="1414" t="str">
        <f t="shared" si="22"/>
        <v xml:space="preserve"> </v>
      </c>
      <c r="EX606" s="1415"/>
      <c r="EY606" s="1415"/>
      <c r="EZ606" s="1415"/>
      <c r="FA606" s="1416"/>
    </row>
    <row r="607" spans="1:157" ht="12.95" customHeight="1">
      <c r="B607" t="s">
        <v>589</v>
      </c>
      <c r="G607" s="1352"/>
      <c r="H607" s="1352"/>
      <c r="I607" s="1352"/>
      <c r="J607" s="1352"/>
      <c r="K607" s="1352"/>
      <c r="L607" s="1352"/>
      <c r="M607" s="1352"/>
      <c r="N607" s="1352"/>
      <c r="O607" s="1352"/>
      <c r="P607" s="1352"/>
      <c r="Q607" s="1352"/>
      <c r="R607" s="1352"/>
      <c r="U607" t="s">
        <v>589</v>
      </c>
      <c r="Z607" s="1359"/>
      <c r="AA607" s="1359"/>
      <c r="AB607" s="1359"/>
      <c r="AC607" s="1359"/>
      <c r="AD607" s="1359"/>
      <c r="AE607" s="1359"/>
      <c r="AF607" s="1359"/>
      <c r="AG607" s="1359"/>
      <c r="AH607" s="1359"/>
      <c r="AI607" s="1359"/>
      <c r="AJ607" s="1359"/>
      <c r="AK607" s="1359"/>
      <c r="AZ607" s="3"/>
      <c r="BA607" s="3"/>
      <c r="BB607" s="3"/>
      <c r="BC607" s="3"/>
      <c r="BD607" s="3"/>
      <c r="BE607" s="1414">
        <f t="shared" si="1"/>
        <v>0</v>
      </c>
      <c r="BF607" s="1416"/>
      <c r="BG607" s="1427">
        <f t="shared" si="2"/>
        <v>0</v>
      </c>
      <c r="BH607" s="1428"/>
      <c r="BI607" s="1414">
        <f t="shared" si="3"/>
        <v>0</v>
      </c>
      <c r="BJ607" s="1416"/>
      <c r="BK607" s="1427">
        <f t="shared" si="4"/>
        <v>0</v>
      </c>
      <c r="BL607" s="1428"/>
      <c r="BM607" s="3"/>
      <c r="BN607" s="1408">
        <f t="shared" si="5"/>
        <v>0</v>
      </c>
      <c r="BO607" s="1409"/>
      <c r="BP607" s="1409"/>
      <c r="BQ607" s="1409"/>
      <c r="BR607" s="1410"/>
      <c r="BS607" s="1417">
        <f t="shared" si="6"/>
        <v>0</v>
      </c>
      <c r="BT607" s="1417"/>
      <c r="BU607" s="1417"/>
      <c r="BV607" s="1417"/>
      <c r="BW607" s="1417"/>
      <c r="BX607" s="1417">
        <f t="shared" si="7"/>
        <v>17</v>
      </c>
      <c r="BY607" s="1417"/>
      <c r="BZ607" s="1417"/>
      <c r="CA607" s="1417"/>
      <c r="CB607" s="1417"/>
      <c r="CC607" s="1417">
        <f t="shared" si="8"/>
        <v>0</v>
      </c>
      <c r="CD607" s="1417"/>
      <c r="CE607" s="1417"/>
      <c r="CF607" s="1417"/>
      <c r="CG607" s="1417"/>
      <c r="CH607" s="1417">
        <f t="shared" si="9"/>
        <v>0</v>
      </c>
      <c r="CI607" s="1417"/>
      <c r="CJ607" s="1417"/>
      <c r="CK607" s="1417"/>
      <c r="CL607" s="1417"/>
      <c r="CM607" s="1417">
        <f t="shared" si="10"/>
        <v>0</v>
      </c>
      <c r="CN607" s="1417"/>
      <c r="CO607" s="1417"/>
      <c r="CP607" s="1417"/>
      <c r="CQ607" s="1417"/>
      <c r="CR607" s="6"/>
      <c r="CS607" s="1418">
        <f t="shared" si="11"/>
        <v>0</v>
      </c>
      <c r="CT607" s="1418"/>
      <c r="CU607" s="1418"/>
      <c r="CV607" s="1418"/>
      <c r="CW607" s="1418"/>
      <c r="CX607" s="1418">
        <f t="shared" si="12"/>
        <v>0</v>
      </c>
      <c r="CY607" s="1418"/>
      <c r="CZ607" s="1418"/>
      <c r="DA607" s="1418"/>
      <c r="DB607" s="1418"/>
      <c r="DC607" s="1418">
        <f t="shared" si="13"/>
        <v>0</v>
      </c>
      <c r="DD607" s="1418"/>
      <c r="DE607" s="1418"/>
      <c r="DF607" s="1418"/>
      <c r="DG607" s="1418"/>
      <c r="DH607" s="1418">
        <f t="shared" si="14"/>
        <v>0</v>
      </c>
      <c r="DI607" s="1418"/>
      <c r="DJ607" s="1418"/>
      <c r="DK607" s="1418"/>
      <c r="DL607" s="1418"/>
      <c r="DM607" s="1418">
        <f t="shared" si="15"/>
        <v>0</v>
      </c>
      <c r="DN607" s="1418"/>
      <c r="DO607" s="1418"/>
      <c r="DP607" s="1418"/>
      <c r="DQ607" s="1418"/>
      <c r="DR607" s="1418">
        <f t="shared" si="16"/>
        <v>0</v>
      </c>
      <c r="DS607" s="1418"/>
      <c r="DT607" s="1418"/>
      <c r="DU607" s="1418"/>
      <c r="DV607" s="1418"/>
      <c r="DX607" s="1414" t="str">
        <f t="shared" si="17"/>
        <v xml:space="preserve"> </v>
      </c>
      <c r="DY607" s="1415"/>
      <c r="DZ607" s="1415"/>
      <c r="EA607" s="1415"/>
      <c r="EB607" s="1416"/>
      <c r="EC607" s="1414" t="str">
        <f t="shared" si="18"/>
        <v xml:space="preserve"> </v>
      </c>
      <c r="ED607" s="1415"/>
      <c r="EE607" s="1415"/>
      <c r="EF607" s="1415"/>
      <c r="EG607" s="1416"/>
      <c r="EH607" s="1414">
        <f t="shared" si="19"/>
        <v>1536</v>
      </c>
      <c r="EI607" s="1415"/>
      <c r="EJ607" s="1415"/>
      <c r="EK607" s="1415"/>
      <c r="EL607" s="1416"/>
      <c r="EM607" s="1414" t="str">
        <f t="shared" si="20"/>
        <v xml:space="preserve"> </v>
      </c>
      <c r="EN607" s="1415"/>
      <c r="EO607" s="1415"/>
      <c r="EP607" s="1415"/>
      <c r="EQ607" s="1416"/>
      <c r="ER607" s="1414" t="str">
        <f t="shared" si="21"/>
        <v xml:space="preserve"> </v>
      </c>
      <c r="ES607" s="1415"/>
      <c r="ET607" s="1415"/>
      <c r="EU607" s="1415"/>
      <c r="EV607" s="1416"/>
      <c r="EW607" s="1414" t="str">
        <f t="shared" si="22"/>
        <v xml:space="preserve"> </v>
      </c>
      <c r="EX607" s="1415"/>
      <c r="EY607" s="1415"/>
      <c r="EZ607" s="1415"/>
      <c r="FA607" s="1416"/>
    </row>
    <row r="608" spans="1:157" ht="12.95" customHeight="1">
      <c r="B608" t="s">
        <v>17</v>
      </c>
      <c r="G608" s="1352"/>
      <c r="H608" s="1352"/>
      <c r="I608" s="1352"/>
      <c r="J608" s="1352"/>
      <c r="K608" s="1352"/>
      <c r="L608" s="1352"/>
      <c r="M608" s="1352"/>
      <c r="N608" s="1352"/>
      <c r="O608" s="1352"/>
      <c r="P608" s="1352"/>
      <c r="Q608" s="1352"/>
      <c r="R608" s="1352"/>
      <c r="U608" t="s">
        <v>17</v>
      </c>
      <c r="Z608" s="1359"/>
      <c r="AA608" s="1359"/>
      <c r="AB608" s="1359"/>
      <c r="AC608" s="1359"/>
      <c r="AD608" s="1359"/>
      <c r="AE608" s="1359"/>
      <c r="AF608" s="1359"/>
      <c r="AG608" s="1359"/>
      <c r="AH608" s="1359"/>
      <c r="AI608" s="1359"/>
      <c r="AJ608" s="1359"/>
      <c r="AK608" s="1359"/>
      <c r="AZ608" s="3"/>
      <c r="BA608" s="3"/>
      <c r="BB608" s="3"/>
      <c r="BC608" s="3"/>
      <c r="BD608" s="3"/>
      <c r="BE608" s="1414">
        <f t="shared" si="1"/>
        <v>0</v>
      </c>
      <c r="BF608" s="1416"/>
      <c r="BG608" s="1427">
        <f t="shared" si="2"/>
        <v>0</v>
      </c>
      <c r="BH608" s="1428"/>
      <c r="BI608" s="1414">
        <f t="shared" si="3"/>
        <v>1</v>
      </c>
      <c r="BJ608" s="1416"/>
      <c r="BK608" s="1427">
        <f t="shared" si="4"/>
        <v>2</v>
      </c>
      <c r="BL608" s="1428"/>
      <c r="BM608" s="3"/>
      <c r="BN608" s="1408">
        <f t="shared" si="5"/>
        <v>0</v>
      </c>
      <c r="BO608" s="1409"/>
      <c r="BP608" s="1409"/>
      <c r="BQ608" s="1409"/>
      <c r="BR608" s="1410"/>
      <c r="BS608" s="1417">
        <f t="shared" si="6"/>
        <v>0</v>
      </c>
      <c r="BT608" s="1417"/>
      <c r="BU608" s="1417"/>
      <c r="BV608" s="1417"/>
      <c r="BW608" s="1417"/>
      <c r="BX608" s="1417">
        <f t="shared" si="7"/>
        <v>0</v>
      </c>
      <c r="BY608" s="1417"/>
      <c r="BZ608" s="1417"/>
      <c r="CA608" s="1417"/>
      <c r="CB608" s="1417"/>
      <c r="CC608" s="1417">
        <f t="shared" si="8"/>
        <v>2</v>
      </c>
      <c r="CD608" s="1417"/>
      <c r="CE608" s="1417"/>
      <c r="CF608" s="1417"/>
      <c r="CG608" s="1417"/>
      <c r="CH608" s="1417">
        <f t="shared" si="9"/>
        <v>0</v>
      </c>
      <c r="CI608" s="1417"/>
      <c r="CJ608" s="1417"/>
      <c r="CK608" s="1417"/>
      <c r="CL608" s="1417"/>
      <c r="CM608" s="1417">
        <f t="shared" si="10"/>
        <v>0</v>
      </c>
      <c r="CN608" s="1417"/>
      <c r="CO608" s="1417"/>
      <c r="CP608" s="1417"/>
      <c r="CQ608" s="1417"/>
      <c r="CR608" s="6"/>
      <c r="CS608" s="1418">
        <f t="shared" si="11"/>
        <v>0</v>
      </c>
      <c r="CT608" s="1418"/>
      <c r="CU608" s="1418"/>
      <c r="CV608" s="1418"/>
      <c r="CW608" s="1418"/>
      <c r="CX608" s="1418">
        <f t="shared" si="12"/>
        <v>0</v>
      </c>
      <c r="CY608" s="1418"/>
      <c r="CZ608" s="1418"/>
      <c r="DA608" s="1418"/>
      <c r="DB608" s="1418"/>
      <c r="DC608" s="1418">
        <f t="shared" si="13"/>
        <v>0</v>
      </c>
      <c r="DD608" s="1418"/>
      <c r="DE608" s="1418"/>
      <c r="DF608" s="1418"/>
      <c r="DG608" s="1418"/>
      <c r="DH608" s="1418">
        <f t="shared" si="14"/>
        <v>2</v>
      </c>
      <c r="DI608" s="1418"/>
      <c r="DJ608" s="1418"/>
      <c r="DK608" s="1418"/>
      <c r="DL608" s="1418"/>
      <c r="DM608" s="1418">
        <f t="shared" si="15"/>
        <v>0</v>
      </c>
      <c r="DN608" s="1418"/>
      <c r="DO608" s="1418"/>
      <c r="DP608" s="1418"/>
      <c r="DQ608" s="1418"/>
      <c r="DR608" s="1418">
        <f t="shared" si="16"/>
        <v>0</v>
      </c>
      <c r="DS608" s="1418"/>
      <c r="DT608" s="1418"/>
      <c r="DU608" s="1418"/>
      <c r="DV608" s="1418"/>
      <c r="DX608" s="1414" t="str">
        <f t="shared" si="17"/>
        <v xml:space="preserve"> </v>
      </c>
      <c r="DY608" s="1415"/>
      <c r="DZ608" s="1415"/>
      <c r="EA608" s="1415"/>
      <c r="EB608" s="1416"/>
      <c r="EC608" s="1414" t="str">
        <f t="shared" si="18"/>
        <v xml:space="preserve"> </v>
      </c>
      <c r="ED608" s="1415"/>
      <c r="EE608" s="1415"/>
      <c r="EF608" s="1415"/>
      <c r="EG608" s="1416"/>
      <c r="EH608" s="1414" t="str">
        <f t="shared" si="19"/>
        <v xml:space="preserve"> </v>
      </c>
      <c r="EI608" s="1415"/>
      <c r="EJ608" s="1415"/>
      <c r="EK608" s="1415"/>
      <c r="EL608" s="1416"/>
      <c r="EM608" s="1414">
        <f t="shared" si="20"/>
        <v>720</v>
      </c>
      <c r="EN608" s="1415"/>
      <c r="EO608" s="1415"/>
      <c r="EP608" s="1415"/>
      <c r="EQ608" s="1416"/>
      <c r="ER608" s="1414" t="str">
        <f t="shared" si="21"/>
        <v xml:space="preserve"> </v>
      </c>
      <c r="ES608" s="1415"/>
      <c r="ET608" s="1415"/>
      <c r="EU608" s="1415"/>
      <c r="EV608" s="1416"/>
      <c r="EW608" s="1414" t="str">
        <f t="shared" si="22"/>
        <v xml:space="preserve"> </v>
      </c>
      <c r="EX608" s="1415"/>
      <c r="EY608" s="1415"/>
      <c r="EZ608" s="1415"/>
      <c r="FA608" s="1416"/>
    </row>
    <row r="609" spans="1:157" ht="12.95" customHeight="1">
      <c r="B609" t="s">
        <v>317</v>
      </c>
      <c r="G609" s="1354"/>
      <c r="H609" s="1354"/>
      <c r="I609" s="1354"/>
      <c r="J609" s="1354"/>
      <c r="K609" s="1354"/>
      <c r="L609" s="1354"/>
      <c r="O609" s="33" t="s">
        <v>207</v>
      </c>
      <c r="P609" s="1350"/>
      <c r="Q609" s="1350"/>
      <c r="R609" s="1350"/>
      <c r="U609" t="s">
        <v>317</v>
      </c>
      <c r="Z609" s="1354"/>
      <c r="AA609" s="1354"/>
      <c r="AB609" s="1354"/>
      <c r="AC609" s="1354"/>
      <c r="AD609" s="1354"/>
      <c r="AE609" s="1354"/>
      <c r="AH609" s="33" t="s">
        <v>207</v>
      </c>
      <c r="AI609" s="1350"/>
      <c r="AJ609" s="1350"/>
      <c r="AK609" s="1350"/>
      <c r="AZ609" s="3"/>
      <c r="BA609" s="3"/>
      <c r="BB609" s="3"/>
      <c r="BC609" s="3"/>
      <c r="BD609" s="3"/>
      <c r="BE609" s="1414">
        <f t="shared" si="1"/>
        <v>0</v>
      </c>
      <c r="BF609" s="1416"/>
      <c r="BG609" s="1427">
        <f t="shared" si="2"/>
        <v>0</v>
      </c>
      <c r="BH609" s="1428"/>
      <c r="BI609" s="1414">
        <f t="shared" si="3"/>
        <v>1</v>
      </c>
      <c r="BJ609" s="1416"/>
      <c r="BK609" s="1427">
        <f t="shared" si="4"/>
        <v>2</v>
      </c>
      <c r="BL609" s="1428"/>
      <c r="BM609" s="3"/>
      <c r="BN609" s="1408">
        <f t="shared" si="5"/>
        <v>0</v>
      </c>
      <c r="BO609" s="1409"/>
      <c r="BP609" s="1409"/>
      <c r="BQ609" s="1409"/>
      <c r="BR609" s="1410"/>
      <c r="BS609" s="1417">
        <f t="shared" si="6"/>
        <v>0</v>
      </c>
      <c r="BT609" s="1417"/>
      <c r="BU609" s="1417"/>
      <c r="BV609" s="1417"/>
      <c r="BW609" s="1417"/>
      <c r="BX609" s="1417">
        <f t="shared" si="7"/>
        <v>0</v>
      </c>
      <c r="BY609" s="1417"/>
      <c r="BZ609" s="1417"/>
      <c r="CA609" s="1417"/>
      <c r="CB609" s="1417"/>
      <c r="CC609" s="1417">
        <f t="shared" si="8"/>
        <v>2</v>
      </c>
      <c r="CD609" s="1417"/>
      <c r="CE609" s="1417"/>
      <c r="CF609" s="1417"/>
      <c r="CG609" s="1417"/>
      <c r="CH609" s="1417">
        <f t="shared" si="9"/>
        <v>0</v>
      </c>
      <c r="CI609" s="1417"/>
      <c r="CJ609" s="1417"/>
      <c r="CK609" s="1417"/>
      <c r="CL609" s="1417"/>
      <c r="CM609" s="1417">
        <f t="shared" si="10"/>
        <v>0</v>
      </c>
      <c r="CN609" s="1417"/>
      <c r="CO609" s="1417"/>
      <c r="CP609" s="1417"/>
      <c r="CQ609" s="1417"/>
      <c r="CR609" s="6"/>
      <c r="CS609" s="1418">
        <f t="shared" si="11"/>
        <v>0</v>
      </c>
      <c r="CT609" s="1418"/>
      <c r="CU609" s="1418"/>
      <c r="CV609" s="1418"/>
      <c r="CW609" s="1418"/>
      <c r="CX609" s="1418">
        <f t="shared" si="12"/>
        <v>0</v>
      </c>
      <c r="CY609" s="1418"/>
      <c r="CZ609" s="1418"/>
      <c r="DA609" s="1418"/>
      <c r="DB609" s="1418"/>
      <c r="DC609" s="1418">
        <f t="shared" si="13"/>
        <v>0</v>
      </c>
      <c r="DD609" s="1418"/>
      <c r="DE609" s="1418"/>
      <c r="DF609" s="1418"/>
      <c r="DG609" s="1418"/>
      <c r="DH609" s="1418">
        <f t="shared" si="14"/>
        <v>2</v>
      </c>
      <c r="DI609" s="1418"/>
      <c r="DJ609" s="1418"/>
      <c r="DK609" s="1418"/>
      <c r="DL609" s="1418"/>
      <c r="DM609" s="1418">
        <f t="shared" si="15"/>
        <v>0</v>
      </c>
      <c r="DN609" s="1418"/>
      <c r="DO609" s="1418"/>
      <c r="DP609" s="1418"/>
      <c r="DQ609" s="1418"/>
      <c r="DR609" s="1418">
        <f t="shared" si="16"/>
        <v>0</v>
      </c>
      <c r="DS609" s="1418"/>
      <c r="DT609" s="1418"/>
      <c r="DU609" s="1418"/>
      <c r="DV609" s="1418"/>
      <c r="DX609" s="1414" t="str">
        <f t="shared" si="17"/>
        <v xml:space="preserve"> </v>
      </c>
      <c r="DY609" s="1415"/>
      <c r="DZ609" s="1415"/>
      <c r="EA609" s="1415"/>
      <c r="EB609" s="1416"/>
      <c r="EC609" s="1414" t="str">
        <f t="shared" si="18"/>
        <v xml:space="preserve"> </v>
      </c>
      <c r="ED609" s="1415"/>
      <c r="EE609" s="1415"/>
      <c r="EF609" s="1415"/>
      <c r="EG609" s="1416"/>
      <c r="EH609" s="1414" t="str">
        <f t="shared" si="19"/>
        <v xml:space="preserve"> </v>
      </c>
      <c r="EI609" s="1415"/>
      <c r="EJ609" s="1415"/>
      <c r="EK609" s="1415"/>
      <c r="EL609" s="1416"/>
      <c r="EM609" s="1414">
        <f t="shared" si="20"/>
        <v>720</v>
      </c>
      <c r="EN609" s="1415"/>
      <c r="EO609" s="1415"/>
      <c r="EP609" s="1415"/>
      <c r="EQ609" s="1416"/>
      <c r="ER609" s="1414" t="str">
        <f t="shared" si="21"/>
        <v xml:space="preserve"> </v>
      </c>
      <c r="ES609" s="1415"/>
      <c r="ET609" s="1415"/>
      <c r="EU609" s="1415"/>
      <c r="EV609" s="1416"/>
      <c r="EW609" s="1414" t="str">
        <f t="shared" si="22"/>
        <v xml:space="preserve"> </v>
      </c>
      <c r="EX609" s="1415"/>
      <c r="EY609" s="1415"/>
      <c r="EZ609" s="1415"/>
      <c r="FA609" s="1416"/>
    </row>
    <row r="610" spans="1:157" ht="12.95" customHeight="1">
      <c r="B610" t="s">
        <v>18</v>
      </c>
      <c r="H610" s="1352"/>
      <c r="I610" s="1352"/>
      <c r="J610" s="1352"/>
      <c r="K610" s="1352"/>
      <c r="L610" s="1352"/>
      <c r="M610" s="1352"/>
      <c r="N610" s="1352"/>
      <c r="O610" s="1352"/>
      <c r="P610" s="1352"/>
      <c r="Q610" s="1352"/>
      <c r="R610" s="1352"/>
      <c r="U610" t="s">
        <v>18</v>
      </c>
      <c r="AA610" s="1352"/>
      <c r="AB610" s="1352"/>
      <c r="AC610" s="1352"/>
      <c r="AD610" s="1352"/>
      <c r="AE610" s="1352"/>
      <c r="AF610" s="1352"/>
      <c r="AG610" s="1352"/>
      <c r="AH610" s="1352"/>
      <c r="AI610" s="1352"/>
      <c r="AJ610" s="1352"/>
      <c r="AK610" s="1352"/>
      <c r="AZ610" s="3"/>
      <c r="BA610" s="3"/>
      <c r="BB610" s="3"/>
      <c r="BC610" s="3"/>
      <c r="BD610" s="3"/>
      <c r="BE610" s="1414">
        <f t="shared" si="1"/>
        <v>1</v>
      </c>
      <c r="BF610" s="1416"/>
      <c r="BG610" s="1427">
        <f t="shared" si="2"/>
        <v>13</v>
      </c>
      <c r="BH610" s="1428"/>
      <c r="BI610" s="1414">
        <f t="shared" si="3"/>
        <v>0</v>
      </c>
      <c r="BJ610" s="1416"/>
      <c r="BK610" s="1427">
        <f t="shared" si="4"/>
        <v>0</v>
      </c>
      <c r="BL610" s="1428"/>
      <c r="BM610" s="3"/>
      <c r="BN610" s="1408">
        <f t="shared" si="5"/>
        <v>0</v>
      </c>
      <c r="BO610" s="1409"/>
      <c r="BP610" s="1409"/>
      <c r="BQ610" s="1409"/>
      <c r="BR610" s="1410"/>
      <c r="BS610" s="1417">
        <f t="shared" si="6"/>
        <v>0</v>
      </c>
      <c r="BT610" s="1417"/>
      <c r="BU610" s="1417"/>
      <c r="BV610" s="1417"/>
      <c r="BW610" s="1417"/>
      <c r="BX610" s="1417">
        <f t="shared" si="7"/>
        <v>0</v>
      </c>
      <c r="BY610" s="1417"/>
      <c r="BZ610" s="1417"/>
      <c r="CA610" s="1417"/>
      <c r="CB610" s="1417"/>
      <c r="CC610" s="1417">
        <f t="shared" si="8"/>
        <v>13</v>
      </c>
      <c r="CD610" s="1417"/>
      <c r="CE610" s="1417"/>
      <c r="CF610" s="1417"/>
      <c r="CG610" s="1417"/>
      <c r="CH610" s="1417">
        <f t="shared" si="9"/>
        <v>0</v>
      </c>
      <c r="CI610" s="1417"/>
      <c r="CJ610" s="1417"/>
      <c r="CK610" s="1417"/>
      <c r="CL610" s="1417"/>
      <c r="CM610" s="1417">
        <f t="shared" si="10"/>
        <v>0</v>
      </c>
      <c r="CN610" s="1417"/>
      <c r="CO610" s="1417"/>
      <c r="CP610" s="1417"/>
      <c r="CQ610" s="1417"/>
      <c r="CR610" s="6"/>
      <c r="CS610" s="1418">
        <f t="shared" si="11"/>
        <v>0</v>
      </c>
      <c r="CT610" s="1418"/>
      <c r="CU610" s="1418"/>
      <c r="CV610" s="1418"/>
      <c r="CW610" s="1418"/>
      <c r="CX610" s="1418">
        <f t="shared" si="12"/>
        <v>0</v>
      </c>
      <c r="CY610" s="1418"/>
      <c r="CZ610" s="1418"/>
      <c r="DA610" s="1418"/>
      <c r="DB610" s="1418"/>
      <c r="DC610" s="1418">
        <f t="shared" si="13"/>
        <v>0</v>
      </c>
      <c r="DD610" s="1418"/>
      <c r="DE610" s="1418"/>
      <c r="DF610" s="1418"/>
      <c r="DG610" s="1418"/>
      <c r="DH610" s="1418">
        <f t="shared" si="14"/>
        <v>0</v>
      </c>
      <c r="DI610" s="1418"/>
      <c r="DJ610" s="1418"/>
      <c r="DK610" s="1418"/>
      <c r="DL610" s="1418"/>
      <c r="DM610" s="1418">
        <f t="shared" si="15"/>
        <v>0</v>
      </c>
      <c r="DN610" s="1418"/>
      <c r="DO610" s="1418"/>
      <c r="DP610" s="1418"/>
      <c r="DQ610" s="1418"/>
      <c r="DR610" s="1418">
        <f t="shared" si="16"/>
        <v>0</v>
      </c>
      <c r="DS610" s="1418"/>
      <c r="DT610" s="1418"/>
      <c r="DU610" s="1418"/>
      <c r="DV610" s="1418"/>
      <c r="DX610" s="1414" t="str">
        <f t="shared" si="17"/>
        <v xml:space="preserve"> </v>
      </c>
      <c r="DY610" s="1415"/>
      <c r="DZ610" s="1415"/>
      <c r="EA610" s="1415"/>
      <c r="EB610" s="1416"/>
      <c r="EC610" s="1414" t="str">
        <f t="shared" si="18"/>
        <v xml:space="preserve"> </v>
      </c>
      <c r="ED610" s="1415"/>
      <c r="EE610" s="1415"/>
      <c r="EF610" s="1415"/>
      <c r="EG610" s="1416"/>
      <c r="EH610" s="1414" t="str">
        <f t="shared" si="19"/>
        <v xml:space="preserve"> </v>
      </c>
      <c r="EI610" s="1415"/>
      <c r="EJ610" s="1415"/>
      <c r="EK610" s="1415"/>
      <c r="EL610" s="1416"/>
      <c r="EM610" s="1414">
        <f t="shared" si="20"/>
        <v>1247</v>
      </c>
      <c r="EN610" s="1415"/>
      <c r="EO610" s="1415"/>
      <c r="EP610" s="1415"/>
      <c r="EQ610" s="1416"/>
      <c r="ER610" s="1414" t="str">
        <f t="shared" si="21"/>
        <v xml:space="preserve"> </v>
      </c>
      <c r="ES610" s="1415"/>
      <c r="ET610" s="1415"/>
      <c r="EU610" s="1415"/>
      <c r="EV610" s="1416"/>
      <c r="EW610" s="1414" t="str">
        <f t="shared" si="22"/>
        <v xml:space="preserve"> </v>
      </c>
      <c r="EX610" s="1415"/>
      <c r="EY610" s="1415"/>
      <c r="EZ610" s="1415"/>
      <c r="FA610" s="1416"/>
    </row>
    <row r="611" spans="1:157" ht="12.95" customHeight="1">
      <c r="B611" t="s">
        <v>20</v>
      </c>
      <c r="N611" s="1353" t="s">
        <v>678</v>
      </c>
      <c r="O611" s="1353"/>
      <c r="U611" t="s">
        <v>20</v>
      </c>
      <c r="AG611" s="1353" t="s">
        <v>678</v>
      </c>
      <c r="AH611" s="1353"/>
      <c r="AZ611" s="3"/>
      <c r="BA611" s="3"/>
      <c r="BB611" s="3"/>
      <c r="BC611" s="3"/>
      <c r="BD611" s="3"/>
      <c r="BE611" s="1414">
        <f t="shared" si="1"/>
        <v>0</v>
      </c>
      <c r="BF611" s="1416"/>
      <c r="BG611" s="1427">
        <f t="shared" si="2"/>
        <v>0</v>
      </c>
      <c r="BH611" s="1428"/>
      <c r="BI611" s="1414">
        <f t="shared" si="3"/>
        <v>0</v>
      </c>
      <c r="BJ611" s="1416"/>
      <c r="BK611" s="1427">
        <f t="shared" si="4"/>
        <v>0</v>
      </c>
      <c r="BL611" s="1428"/>
      <c r="BM611" s="3"/>
      <c r="BN611" s="1408">
        <f t="shared" si="5"/>
        <v>0</v>
      </c>
      <c r="BO611" s="1409"/>
      <c r="BP611" s="1409"/>
      <c r="BQ611" s="1409"/>
      <c r="BR611" s="1410"/>
      <c r="BS611" s="1417">
        <f t="shared" si="6"/>
        <v>0</v>
      </c>
      <c r="BT611" s="1417"/>
      <c r="BU611" s="1417"/>
      <c r="BV611" s="1417"/>
      <c r="BW611" s="1417"/>
      <c r="BX611" s="1417">
        <f t="shared" si="7"/>
        <v>0</v>
      </c>
      <c r="BY611" s="1417"/>
      <c r="BZ611" s="1417"/>
      <c r="CA611" s="1417"/>
      <c r="CB611" s="1417"/>
      <c r="CC611" s="1417">
        <f t="shared" si="8"/>
        <v>25</v>
      </c>
      <c r="CD611" s="1417"/>
      <c r="CE611" s="1417"/>
      <c r="CF611" s="1417"/>
      <c r="CG611" s="1417"/>
      <c r="CH611" s="1417">
        <f t="shared" si="9"/>
        <v>0</v>
      </c>
      <c r="CI611" s="1417"/>
      <c r="CJ611" s="1417"/>
      <c r="CK611" s="1417"/>
      <c r="CL611" s="1417"/>
      <c r="CM611" s="1417">
        <f t="shared" si="10"/>
        <v>0</v>
      </c>
      <c r="CN611" s="1417"/>
      <c r="CO611" s="1417"/>
      <c r="CP611" s="1417"/>
      <c r="CQ611" s="1417"/>
      <c r="CR611" s="6"/>
      <c r="CS611" s="1418">
        <f t="shared" si="11"/>
        <v>0</v>
      </c>
      <c r="CT611" s="1418"/>
      <c r="CU611" s="1418"/>
      <c r="CV611" s="1418"/>
      <c r="CW611" s="1418"/>
      <c r="CX611" s="1418">
        <f t="shared" si="12"/>
        <v>0</v>
      </c>
      <c r="CY611" s="1418"/>
      <c r="CZ611" s="1418"/>
      <c r="DA611" s="1418"/>
      <c r="DB611" s="1418"/>
      <c r="DC611" s="1418">
        <f t="shared" si="13"/>
        <v>0</v>
      </c>
      <c r="DD611" s="1418"/>
      <c r="DE611" s="1418"/>
      <c r="DF611" s="1418"/>
      <c r="DG611" s="1418"/>
      <c r="DH611" s="1418">
        <f t="shared" si="14"/>
        <v>0</v>
      </c>
      <c r="DI611" s="1418"/>
      <c r="DJ611" s="1418"/>
      <c r="DK611" s="1418"/>
      <c r="DL611" s="1418"/>
      <c r="DM611" s="1418">
        <f t="shared" si="15"/>
        <v>0</v>
      </c>
      <c r="DN611" s="1418"/>
      <c r="DO611" s="1418"/>
      <c r="DP611" s="1418"/>
      <c r="DQ611" s="1418"/>
      <c r="DR611" s="1418">
        <f t="shared" si="16"/>
        <v>0</v>
      </c>
      <c r="DS611" s="1418"/>
      <c r="DT611" s="1418"/>
      <c r="DU611" s="1418"/>
      <c r="DV611" s="1418"/>
      <c r="DX611" s="1414" t="str">
        <f t="shared" si="17"/>
        <v xml:space="preserve"> </v>
      </c>
      <c r="DY611" s="1415"/>
      <c r="DZ611" s="1415"/>
      <c r="EA611" s="1415"/>
      <c r="EB611" s="1416"/>
      <c r="EC611" s="1414" t="str">
        <f t="shared" si="18"/>
        <v xml:space="preserve"> </v>
      </c>
      <c r="ED611" s="1415"/>
      <c r="EE611" s="1415"/>
      <c r="EF611" s="1415"/>
      <c r="EG611" s="1416"/>
      <c r="EH611" s="1414" t="str">
        <f t="shared" si="19"/>
        <v xml:space="preserve"> </v>
      </c>
      <c r="EI611" s="1415"/>
      <c r="EJ611" s="1415"/>
      <c r="EK611" s="1415"/>
      <c r="EL611" s="1416"/>
      <c r="EM611" s="1414">
        <f t="shared" si="20"/>
        <v>1774</v>
      </c>
      <c r="EN611" s="1415"/>
      <c r="EO611" s="1415"/>
      <c r="EP611" s="1415"/>
      <c r="EQ611" s="1416"/>
      <c r="ER611" s="1414" t="str">
        <f t="shared" si="21"/>
        <v xml:space="preserve"> </v>
      </c>
      <c r="ES611" s="1415"/>
      <c r="ET611" s="1415"/>
      <c r="EU611" s="1415"/>
      <c r="EV611" s="1416"/>
      <c r="EW611" s="1414" t="str">
        <f t="shared" si="22"/>
        <v xml:space="preserve"> </v>
      </c>
      <c r="EX611" s="1415"/>
      <c r="EY611" s="1415"/>
      <c r="EZ611" s="1415"/>
      <c r="FA611" s="1416"/>
    </row>
    <row r="612" spans="1:157" ht="12.95" customHeight="1">
      <c r="AZ612" s="3"/>
      <c r="BA612" s="3"/>
      <c r="BB612" s="3"/>
      <c r="BC612" s="3"/>
      <c r="BD612" s="3"/>
      <c r="BE612" s="1414">
        <f t="shared" si="1"/>
        <v>0</v>
      </c>
      <c r="BF612" s="1416"/>
      <c r="BG612" s="1427">
        <f t="shared" si="2"/>
        <v>0</v>
      </c>
      <c r="BH612" s="1428"/>
      <c r="BI612" s="1414">
        <f t="shared" si="3"/>
        <v>0</v>
      </c>
      <c r="BJ612" s="1416"/>
      <c r="BK612" s="1427">
        <f t="shared" si="4"/>
        <v>0</v>
      </c>
      <c r="BL612" s="1428"/>
      <c r="BM612" s="3"/>
      <c r="BN612" s="1408">
        <f t="shared" si="5"/>
        <v>0</v>
      </c>
      <c r="BO612" s="1409"/>
      <c r="BP612" s="1409"/>
      <c r="BQ612" s="1409"/>
      <c r="BR612" s="1410"/>
      <c r="BS612" s="1417">
        <f t="shared" si="6"/>
        <v>0</v>
      </c>
      <c r="BT612" s="1417"/>
      <c r="BU612" s="1417"/>
      <c r="BV612" s="1417"/>
      <c r="BW612" s="1417"/>
      <c r="BX612" s="1417">
        <f t="shared" si="7"/>
        <v>0</v>
      </c>
      <c r="BY612" s="1417"/>
      <c r="BZ612" s="1417"/>
      <c r="CA612" s="1417"/>
      <c r="CB612" s="1417"/>
      <c r="CC612" s="1417">
        <f t="shared" si="8"/>
        <v>0</v>
      </c>
      <c r="CD612" s="1417"/>
      <c r="CE612" s="1417"/>
      <c r="CF612" s="1417"/>
      <c r="CG612" s="1417"/>
      <c r="CH612" s="1417">
        <f t="shared" si="9"/>
        <v>0</v>
      </c>
      <c r="CI612" s="1417"/>
      <c r="CJ612" s="1417"/>
      <c r="CK612" s="1417"/>
      <c r="CL612" s="1417"/>
      <c r="CM612" s="1417">
        <f t="shared" si="10"/>
        <v>0</v>
      </c>
      <c r="CN612" s="1417"/>
      <c r="CO612" s="1417"/>
      <c r="CP612" s="1417"/>
      <c r="CQ612" s="1417"/>
      <c r="CR612" s="6"/>
      <c r="CS612" s="1418">
        <f t="shared" si="11"/>
        <v>0</v>
      </c>
      <c r="CT612" s="1418"/>
      <c r="CU612" s="1418"/>
      <c r="CV612" s="1418"/>
      <c r="CW612" s="1418"/>
      <c r="CX612" s="1418">
        <f t="shared" si="12"/>
        <v>0</v>
      </c>
      <c r="CY612" s="1418"/>
      <c r="CZ612" s="1418"/>
      <c r="DA612" s="1418"/>
      <c r="DB612" s="1418"/>
      <c r="DC612" s="1418">
        <f t="shared" si="13"/>
        <v>0</v>
      </c>
      <c r="DD612" s="1418"/>
      <c r="DE612" s="1418"/>
      <c r="DF612" s="1418"/>
      <c r="DG612" s="1418"/>
      <c r="DH612" s="1418">
        <f t="shared" si="14"/>
        <v>0</v>
      </c>
      <c r="DI612" s="1418"/>
      <c r="DJ612" s="1418"/>
      <c r="DK612" s="1418"/>
      <c r="DL612" s="1418"/>
      <c r="DM612" s="1418">
        <f t="shared" si="15"/>
        <v>0</v>
      </c>
      <c r="DN612" s="1418"/>
      <c r="DO612" s="1418"/>
      <c r="DP612" s="1418"/>
      <c r="DQ612" s="1418"/>
      <c r="DR612" s="1418">
        <f t="shared" si="16"/>
        <v>0</v>
      </c>
      <c r="DS612" s="1418"/>
      <c r="DT612" s="1418"/>
      <c r="DU612" s="1418"/>
      <c r="DV612" s="1418"/>
      <c r="DX612" s="1414" t="str">
        <f t="shared" si="17"/>
        <v xml:space="preserve"> </v>
      </c>
      <c r="DY612" s="1415"/>
      <c r="DZ612" s="1415"/>
      <c r="EA612" s="1415"/>
      <c r="EB612" s="1416"/>
      <c r="EC612" s="1414" t="str">
        <f t="shared" si="18"/>
        <v xml:space="preserve"> </v>
      </c>
      <c r="ED612" s="1415"/>
      <c r="EE612" s="1415"/>
      <c r="EF612" s="1415"/>
      <c r="EG612" s="1416"/>
      <c r="EH612" s="1414" t="str">
        <f t="shared" si="19"/>
        <v xml:space="preserve"> </v>
      </c>
      <c r="EI612" s="1415"/>
      <c r="EJ612" s="1415"/>
      <c r="EK612" s="1415"/>
      <c r="EL612" s="1416"/>
      <c r="EM612" s="1414" t="str">
        <f t="shared" si="20"/>
        <v xml:space="preserve"> </v>
      </c>
      <c r="EN612" s="1415"/>
      <c r="EO612" s="1415"/>
      <c r="EP612" s="1415"/>
      <c r="EQ612" s="1416"/>
      <c r="ER612" s="1414" t="str">
        <f t="shared" si="21"/>
        <v xml:space="preserve"> </v>
      </c>
      <c r="ES612" s="1415"/>
      <c r="ET612" s="1415"/>
      <c r="EU612" s="1415"/>
      <c r="EV612" s="1416"/>
      <c r="EW612" s="1414" t="str">
        <f t="shared" si="22"/>
        <v xml:space="preserve"> </v>
      </c>
      <c r="EX612" s="1415"/>
      <c r="EY612" s="1415"/>
      <c r="EZ612" s="1415"/>
      <c r="FA612" s="1416"/>
    </row>
    <row r="613" spans="1:157" ht="12.95" customHeight="1">
      <c r="A613" s="1260" t="s">
        <v>553</v>
      </c>
      <c r="B613" s="1260"/>
      <c r="C613" s="1260"/>
      <c r="D613" s="1260"/>
      <c r="E613" s="1260"/>
      <c r="F613" s="1260"/>
      <c r="G613" s="1260"/>
      <c r="H613" s="1260"/>
      <c r="I613" s="1260"/>
      <c r="J613" s="1260"/>
      <c r="K613" s="1260"/>
      <c r="L613" s="1260"/>
      <c r="M613" s="1260"/>
      <c r="N613" s="1260"/>
      <c r="O613" s="1260"/>
      <c r="P613" s="1260"/>
      <c r="Q613" s="1260"/>
      <c r="R613" s="1260"/>
      <c r="S613" s="1260"/>
      <c r="T613" s="1260"/>
      <c r="U613" s="1260"/>
      <c r="V613" s="1260"/>
      <c r="W613" s="1260"/>
      <c r="X613" s="1260"/>
      <c r="Y613" s="1260"/>
      <c r="Z613" s="1260"/>
      <c r="AA613" s="1260"/>
      <c r="AB613" s="1260"/>
      <c r="AC613" s="1260"/>
      <c r="AD613" s="1260"/>
      <c r="AE613" s="1260"/>
      <c r="AF613" s="1260"/>
      <c r="AG613" s="1260"/>
      <c r="AH613" s="1260"/>
      <c r="AI613" s="1260"/>
      <c r="AJ613" s="1260"/>
      <c r="AK613" s="1260"/>
      <c r="AL613" s="1260"/>
      <c r="AM613" s="1260"/>
      <c r="AN613" s="1260"/>
      <c r="AO613" s="1260"/>
      <c r="AP613" s="1260"/>
      <c r="AQ613" s="1260"/>
      <c r="AR613" s="1260"/>
      <c r="AS613" s="1260"/>
      <c r="AT613" s="936"/>
      <c r="AU613" s="936"/>
      <c r="AV613" s="936"/>
      <c r="AW613" s="936"/>
      <c r="AX613" s="936"/>
      <c r="AY613" s="936"/>
      <c r="AZ613" s="3"/>
      <c r="BA613" s="3"/>
      <c r="BB613" s="3"/>
      <c r="BC613" s="3"/>
      <c r="BD613" s="3"/>
      <c r="BE613" s="1414">
        <f t="shared" si="1"/>
        <v>0</v>
      </c>
      <c r="BF613" s="1416"/>
      <c r="BG613" s="1427">
        <f t="shared" si="2"/>
        <v>0</v>
      </c>
      <c r="BH613" s="1428"/>
      <c r="BI613" s="1414">
        <f t="shared" si="3"/>
        <v>0</v>
      </c>
      <c r="BJ613" s="1416"/>
      <c r="BK613" s="1427">
        <f t="shared" si="4"/>
        <v>0</v>
      </c>
      <c r="BL613" s="1428"/>
      <c r="BM613" s="3"/>
      <c r="BN613" s="1408">
        <f t="shared" si="5"/>
        <v>0</v>
      </c>
      <c r="BO613" s="1409"/>
      <c r="BP613" s="1409"/>
      <c r="BQ613" s="1409"/>
      <c r="BR613" s="1410"/>
      <c r="BS613" s="1417">
        <f t="shared" si="6"/>
        <v>0</v>
      </c>
      <c r="BT613" s="1417"/>
      <c r="BU613" s="1417"/>
      <c r="BV613" s="1417"/>
      <c r="BW613" s="1417"/>
      <c r="BX613" s="1417">
        <f t="shared" si="7"/>
        <v>0</v>
      </c>
      <c r="BY613" s="1417"/>
      <c r="BZ613" s="1417"/>
      <c r="CA613" s="1417"/>
      <c r="CB613" s="1417"/>
      <c r="CC613" s="1417">
        <f t="shared" si="8"/>
        <v>0</v>
      </c>
      <c r="CD613" s="1417"/>
      <c r="CE613" s="1417"/>
      <c r="CF613" s="1417"/>
      <c r="CG613" s="1417"/>
      <c r="CH613" s="1417">
        <f t="shared" si="9"/>
        <v>0</v>
      </c>
      <c r="CI613" s="1417"/>
      <c r="CJ613" s="1417"/>
      <c r="CK613" s="1417"/>
      <c r="CL613" s="1417"/>
      <c r="CM613" s="1417">
        <f t="shared" si="10"/>
        <v>0</v>
      </c>
      <c r="CN613" s="1417"/>
      <c r="CO613" s="1417"/>
      <c r="CP613" s="1417"/>
      <c r="CQ613" s="1417"/>
      <c r="CR613" s="6"/>
      <c r="CS613" s="1418">
        <f t="shared" si="11"/>
        <v>0</v>
      </c>
      <c r="CT613" s="1418"/>
      <c r="CU613" s="1418"/>
      <c r="CV613" s="1418"/>
      <c r="CW613" s="1418"/>
      <c r="CX613" s="1418">
        <f t="shared" si="12"/>
        <v>0</v>
      </c>
      <c r="CY613" s="1418"/>
      <c r="CZ613" s="1418"/>
      <c r="DA613" s="1418"/>
      <c r="DB613" s="1418"/>
      <c r="DC613" s="1418">
        <f t="shared" si="13"/>
        <v>0</v>
      </c>
      <c r="DD613" s="1418"/>
      <c r="DE613" s="1418"/>
      <c r="DF613" s="1418"/>
      <c r="DG613" s="1418"/>
      <c r="DH613" s="1418">
        <f t="shared" si="14"/>
        <v>0</v>
      </c>
      <c r="DI613" s="1418"/>
      <c r="DJ613" s="1418"/>
      <c r="DK613" s="1418"/>
      <c r="DL613" s="1418"/>
      <c r="DM613" s="1418">
        <f t="shared" si="15"/>
        <v>0</v>
      </c>
      <c r="DN613" s="1418"/>
      <c r="DO613" s="1418"/>
      <c r="DP613" s="1418"/>
      <c r="DQ613" s="1418"/>
      <c r="DR613" s="1418">
        <f t="shared" si="16"/>
        <v>0</v>
      </c>
      <c r="DS613" s="1418"/>
      <c r="DT613" s="1418"/>
      <c r="DU613" s="1418"/>
      <c r="DV613" s="1418"/>
      <c r="DX613" s="1414" t="str">
        <f t="shared" si="17"/>
        <v xml:space="preserve"> </v>
      </c>
      <c r="DY613" s="1415"/>
      <c r="DZ613" s="1415"/>
      <c r="EA613" s="1415"/>
      <c r="EB613" s="1416"/>
      <c r="EC613" s="1414" t="str">
        <f t="shared" si="18"/>
        <v xml:space="preserve"> </v>
      </c>
      <c r="ED613" s="1415"/>
      <c r="EE613" s="1415"/>
      <c r="EF613" s="1415"/>
      <c r="EG613" s="1416"/>
      <c r="EH613" s="1414" t="str">
        <f t="shared" si="19"/>
        <v xml:space="preserve"> </v>
      </c>
      <c r="EI613" s="1415"/>
      <c r="EJ613" s="1415"/>
      <c r="EK613" s="1415"/>
      <c r="EL613" s="1416"/>
      <c r="EM613" s="1414" t="str">
        <f t="shared" si="20"/>
        <v xml:space="preserve"> </v>
      </c>
      <c r="EN613" s="1415"/>
      <c r="EO613" s="1415"/>
      <c r="EP613" s="1415"/>
      <c r="EQ613" s="1416"/>
      <c r="ER613" s="1414" t="str">
        <f t="shared" si="21"/>
        <v xml:space="preserve"> </v>
      </c>
      <c r="ES613" s="1415"/>
      <c r="ET613" s="1415"/>
      <c r="EU613" s="1415"/>
      <c r="EV613" s="1416"/>
      <c r="EW613" s="1414" t="str">
        <f t="shared" si="22"/>
        <v xml:space="preserve"> </v>
      </c>
      <c r="EX613" s="1415"/>
      <c r="EY613" s="1415"/>
      <c r="EZ613" s="1415"/>
      <c r="FA613" s="1416"/>
    </row>
    <row r="614" spans="1:157" ht="12.95" customHeight="1">
      <c r="A614" s="1260"/>
      <c r="B614" s="1260"/>
      <c r="C614" s="1260"/>
      <c r="D614" s="1260"/>
      <c r="E614" s="1260"/>
      <c r="F614" s="1260"/>
      <c r="G614" s="1260"/>
      <c r="H614" s="1260"/>
      <c r="I614" s="1260"/>
      <c r="J614" s="1260"/>
      <c r="K614" s="1260"/>
      <c r="L614" s="1260"/>
      <c r="M614" s="1260"/>
      <c r="N614" s="1260"/>
      <c r="O614" s="1260"/>
      <c r="P614" s="1260"/>
      <c r="Q614" s="1260"/>
      <c r="R614" s="1260"/>
      <c r="S614" s="1260"/>
      <c r="T614" s="1260"/>
      <c r="U614" s="1260"/>
      <c r="V614" s="1260"/>
      <c r="W614" s="1260"/>
      <c r="X614" s="1260"/>
      <c r="Y614" s="1260"/>
      <c r="Z614" s="1260"/>
      <c r="AA614" s="1260"/>
      <c r="AB614" s="1260"/>
      <c r="AC614" s="1260"/>
      <c r="AD614" s="1260"/>
      <c r="AE614" s="1260"/>
      <c r="AF614" s="1260"/>
      <c r="AG614" s="1260"/>
      <c r="AH614" s="1260"/>
      <c r="AI614" s="1260"/>
      <c r="AJ614" s="1260"/>
      <c r="AK614" s="1260"/>
      <c r="AL614" s="1260"/>
      <c r="AM614" s="1260"/>
      <c r="AN614" s="1260"/>
      <c r="AO614" s="1260"/>
      <c r="AP614" s="1260"/>
      <c r="AQ614" s="1260"/>
      <c r="AR614" s="1260"/>
      <c r="AS614" s="1260"/>
      <c r="AT614" s="936"/>
      <c r="AU614" s="936"/>
      <c r="AV614" s="936"/>
      <c r="AW614" s="936"/>
      <c r="AX614" s="936"/>
      <c r="AY614" s="936"/>
      <c r="AZ614" s="3"/>
      <c r="BA614" s="3"/>
      <c r="BB614" s="3"/>
      <c r="BC614" s="3"/>
      <c r="BD614" s="3"/>
      <c r="BE614" s="1414">
        <f t="shared" si="1"/>
        <v>0</v>
      </c>
      <c r="BF614" s="1416"/>
      <c r="BG614" s="1427">
        <f t="shared" si="2"/>
        <v>0</v>
      </c>
      <c r="BH614" s="1428"/>
      <c r="BI614" s="1414">
        <f t="shared" si="3"/>
        <v>0</v>
      </c>
      <c r="BJ614" s="1416"/>
      <c r="BK614" s="1427">
        <f t="shared" si="4"/>
        <v>0</v>
      </c>
      <c r="BL614" s="1428"/>
      <c r="BM614" s="3"/>
      <c r="BN614" s="1408">
        <f t="shared" si="5"/>
        <v>0</v>
      </c>
      <c r="BO614" s="1409"/>
      <c r="BP614" s="1409"/>
      <c r="BQ614" s="1409"/>
      <c r="BR614" s="1410"/>
      <c r="BS614" s="1417">
        <f t="shared" si="6"/>
        <v>0</v>
      </c>
      <c r="BT614" s="1417"/>
      <c r="BU614" s="1417"/>
      <c r="BV614" s="1417"/>
      <c r="BW614" s="1417"/>
      <c r="BX614" s="1417">
        <f t="shared" si="7"/>
        <v>0</v>
      </c>
      <c r="BY614" s="1417"/>
      <c r="BZ614" s="1417"/>
      <c r="CA614" s="1417"/>
      <c r="CB614" s="1417"/>
      <c r="CC614" s="1417">
        <f t="shared" si="8"/>
        <v>0</v>
      </c>
      <c r="CD614" s="1417"/>
      <c r="CE614" s="1417"/>
      <c r="CF614" s="1417"/>
      <c r="CG614" s="1417"/>
      <c r="CH614" s="1417">
        <f t="shared" si="9"/>
        <v>0</v>
      </c>
      <c r="CI614" s="1417"/>
      <c r="CJ614" s="1417"/>
      <c r="CK614" s="1417"/>
      <c r="CL614" s="1417"/>
      <c r="CM614" s="1417">
        <f t="shared" si="10"/>
        <v>0</v>
      </c>
      <c r="CN614" s="1417"/>
      <c r="CO614" s="1417"/>
      <c r="CP614" s="1417"/>
      <c r="CQ614" s="1417"/>
      <c r="CR614" s="6"/>
      <c r="CS614" s="1418">
        <f t="shared" si="11"/>
        <v>0</v>
      </c>
      <c r="CT614" s="1418"/>
      <c r="CU614" s="1418"/>
      <c r="CV614" s="1418"/>
      <c r="CW614" s="1418"/>
      <c r="CX614" s="1418">
        <f t="shared" si="12"/>
        <v>0</v>
      </c>
      <c r="CY614" s="1418"/>
      <c r="CZ614" s="1418"/>
      <c r="DA614" s="1418"/>
      <c r="DB614" s="1418"/>
      <c r="DC614" s="1418">
        <f t="shared" si="13"/>
        <v>0</v>
      </c>
      <c r="DD614" s="1418"/>
      <c r="DE614" s="1418"/>
      <c r="DF614" s="1418"/>
      <c r="DG614" s="1418"/>
      <c r="DH614" s="1418">
        <f t="shared" si="14"/>
        <v>0</v>
      </c>
      <c r="DI614" s="1418"/>
      <c r="DJ614" s="1418"/>
      <c r="DK614" s="1418"/>
      <c r="DL614" s="1418"/>
      <c r="DM614" s="1418">
        <f t="shared" si="15"/>
        <v>0</v>
      </c>
      <c r="DN614" s="1418"/>
      <c r="DO614" s="1418"/>
      <c r="DP614" s="1418"/>
      <c r="DQ614" s="1418"/>
      <c r="DR614" s="1418">
        <f t="shared" si="16"/>
        <v>0</v>
      </c>
      <c r="DS614" s="1418"/>
      <c r="DT614" s="1418"/>
      <c r="DU614" s="1418"/>
      <c r="DV614" s="1418"/>
      <c r="DX614" s="1414" t="str">
        <f t="shared" si="17"/>
        <v xml:space="preserve"> </v>
      </c>
      <c r="DY614" s="1415"/>
      <c r="DZ614" s="1415"/>
      <c r="EA614" s="1415"/>
      <c r="EB614" s="1416"/>
      <c r="EC614" s="1414" t="str">
        <f t="shared" si="18"/>
        <v xml:space="preserve"> </v>
      </c>
      <c r="ED614" s="1415"/>
      <c r="EE614" s="1415"/>
      <c r="EF614" s="1415"/>
      <c r="EG614" s="1416"/>
      <c r="EH614" s="1414" t="str">
        <f t="shared" si="19"/>
        <v xml:space="preserve"> </v>
      </c>
      <c r="EI614" s="1415"/>
      <c r="EJ614" s="1415"/>
      <c r="EK614" s="1415"/>
      <c r="EL614" s="1416"/>
      <c r="EM614" s="1414" t="str">
        <f t="shared" si="20"/>
        <v xml:space="preserve"> </v>
      </c>
      <c r="EN614" s="1415"/>
      <c r="EO614" s="1415"/>
      <c r="EP614" s="1415"/>
      <c r="EQ614" s="1416"/>
      <c r="ER614" s="1414" t="str">
        <f t="shared" si="21"/>
        <v xml:space="preserve"> </v>
      </c>
      <c r="ES614" s="1415"/>
      <c r="ET614" s="1415"/>
      <c r="EU614" s="1415"/>
      <c r="EV614" s="1416"/>
      <c r="EW614" s="1414" t="str">
        <f t="shared" si="22"/>
        <v xml:space="preserve"> </v>
      </c>
      <c r="EX614" s="1415"/>
      <c r="EY614" s="1415"/>
      <c r="EZ614" s="1415"/>
      <c r="FA614" s="1416"/>
    </row>
    <row r="615" spans="1:157" ht="12.95" customHeight="1">
      <c r="AZ615" s="3"/>
      <c r="BA615" s="3"/>
      <c r="BB615" s="3"/>
      <c r="BC615" s="3"/>
      <c r="BD615" s="3"/>
      <c r="BE615" s="1414">
        <f t="shared" si="1"/>
        <v>0</v>
      </c>
      <c r="BF615" s="1416"/>
      <c r="BG615" s="1427">
        <f t="shared" si="2"/>
        <v>0</v>
      </c>
      <c r="BH615" s="1428"/>
      <c r="BI615" s="1414">
        <f t="shared" si="3"/>
        <v>0</v>
      </c>
      <c r="BJ615" s="1416"/>
      <c r="BK615" s="1427">
        <f t="shared" si="4"/>
        <v>0</v>
      </c>
      <c r="BL615" s="1428"/>
      <c r="BM615" s="3"/>
      <c r="BN615" s="1408">
        <f t="shared" si="5"/>
        <v>0</v>
      </c>
      <c r="BO615" s="1409"/>
      <c r="BP615" s="1409"/>
      <c r="BQ615" s="1409"/>
      <c r="BR615" s="1410"/>
      <c r="BS615" s="1417">
        <f t="shared" si="6"/>
        <v>0</v>
      </c>
      <c r="BT615" s="1417"/>
      <c r="BU615" s="1417"/>
      <c r="BV615" s="1417"/>
      <c r="BW615" s="1417"/>
      <c r="BX615" s="1417">
        <f t="shared" si="7"/>
        <v>0</v>
      </c>
      <c r="BY615" s="1417"/>
      <c r="BZ615" s="1417"/>
      <c r="CA615" s="1417"/>
      <c r="CB615" s="1417"/>
      <c r="CC615" s="1417">
        <f t="shared" si="8"/>
        <v>0</v>
      </c>
      <c r="CD615" s="1417"/>
      <c r="CE615" s="1417"/>
      <c r="CF615" s="1417"/>
      <c r="CG615" s="1417"/>
      <c r="CH615" s="1417">
        <f t="shared" si="9"/>
        <v>0</v>
      </c>
      <c r="CI615" s="1417"/>
      <c r="CJ615" s="1417"/>
      <c r="CK615" s="1417"/>
      <c r="CL615" s="1417"/>
      <c r="CM615" s="1417">
        <f t="shared" si="10"/>
        <v>0</v>
      </c>
      <c r="CN615" s="1417"/>
      <c r="CO615" s="1417"/>
      <c r="CP615" s="1417"/>
      <c r="CQ615" s="1417"/>
      <c r="CR615" s="6"/>
      <c r="CS615" s="1418">
        <f t="shared" si="11"/>
        <v>0</v>
      </c>
      <c r="CT615" s="1418"/>
      <c r="CU615" s="1418"/>
      <c r="CV615" s="1418"/>
      <c r="CW615" s="1418"/>
      <c r="CX615" s="1418">
        <f t="shared" si="12"/>
        <v>0</v>
      </c>
      <c r="CY615" s="1418"/>
      <c r="CZ615" s="1418"/>
      <c r="DA615" s="1418"/>
      <c r="DB615" s="1418"/>
      <c r="DC615" s="1418">
        <f t="shared" si="13"/>
        <v>0</v>
      </c>
      <c r="DD615" s="1418"/>
      <c r="DE615" s="1418"/>
      <c r="DF615" s="1418"/>
      <c r="DG615" s="1418"/>
      <c r="DH615" s="1418">
        <f t="shared" si="14"/>
        <v>0</v>
      </c>
      <c r="DI615" s="1418"/>
      <c r="DJ615" s="1418"/>
      <c r="DK615" s="1418"/>
      <c r="DL615" s="1418"/>
      <c r="DM615" s="1418">
        <f t="shared" si="15"/>
        <v>0</v>
      </c>
      <c r="DN615" s="1418"/>
      <c r="DO615" s="1418"/>
      <c r="DP615" s="1418"/>
      <c r="DQ615" s="1418"/>
      <c r="DR615" s="1418">
        <f t="shared" si="16"/>
        <v>0</v>
      </c>
      <c r="DS615" s="1418"/>
      <c r="DT615" s="1418"/>
      <c r="DU615" s="1418"/>
      <c r="DV615" s="1418"/>
      <c r="DX615" s="1414" t="str">
        <f t="shared" si="17"/>
        <v xml:space="preserve"> </v>
      </c>
      <c r="DY615" s="1415"/>
      <c r="DZ615" s="1415"/>
      <c r="EA615" s="1415"/>
      <c r="EB615" s="1416"/>
      <c r="EC615" s="1414" t="str">
        <f t="shared" si="18"/>
        <v xml:space="preserve"> </v>
      </c>
      <c r="ED615" s="1415"/>
      <c r="EE615" s="1415"/>
      <c r="EF615" s="1415"/>
      <c r="EG615" s="1416"/>
      <c r="EH615" s="1414" t="str">
        <f t="shared" si="19"/>
        <v xml:space="preserve"> </v>
      </c>
      <c r="EI615" s="1415"/>
      <c r="EJ615" s="1415"/>
      <c r="EK615" s="1415"/>
      <c r="EL615" s="1416"/>
      <c r="EM615" s="1414" t="str">
        <f t="shared" si="20"/>
        <v xml:space="preserve"> </v>
      </c>
      <c r="EN615" s="1415"/>
      <c r="EO615" s="1415"/>
      <c r="EP615" s="1415"/>
      <c r="EQ615" s="1416"/>
      <c r="ER615" s="1414" t="str">
        <f t="shared" si="21"/>
        <v xml:space="preserve"> </v>
      </c>
      <c r="ES615" s="1415"/>
      <c r="ET615" s="1415"/>
      <c r="EU615" s="1415"/>
      <c r="EV615" s="1416"/>
      <c r="EW615" s="1414" t="str">
        <f t="shared" si="22"/>
        <v xml:space="preserve"> </v>
      </c>
      <c r="EX615" s="1415"/>
      <c r="EY615" s="1415"/>
      <c r="EZ615" s="1415"/>
      <c r="FA615" s="1416"/>
    </row>
    <row r="616" spans="1:157" ht="12.95" customHeight="1">
      <c r="A616" s="2" t="s">
        <v>320</v>
      </c>
      <c r="B616" s="2"/>
      <c r="C616" s="2" t="s">
        <v>21</v>
      </c>
      <c r="AZ616" s="3"/>
      <c r="BA616" s="3"/>
      <c r="BB616" s="3"/>
      <c r="BC616" s="3"/>
      <c r="BD616" s="3"/>
      <c r="BE616" s="1414">
        <f t="shared" si="1"/>
        <v>0</v>
      </c>
      <c r="BF616" s="1416"/>
      <c r="BG616" s="1427">
        <f t="shared" si="2"/>
        <v>0</v>
      </c>
      <c r="BH616" s="1428"/>
      <c r="BI616" s="1414">
        <f t="shared" si="3"/>
        <v>0</v>
      </c>
      <c r="BJ616" s="1416"/>
      <c r="BK616" s="1427">
        <f t="shared" si="4"/>
        <v>0</v>
      </c>
      <c r="BL616" s="1428"/>
      <c r="BM616" s="3"/>
      <c r="BN616" s="1408">
        <f t="shared" si="5"/>
        <v>0</v>
      </c>
      <c r="BO616" s="1409"/>
      <c r="BP616" s="1409"/>
      <c r="BQ616" s="1409"/>
      <c r="BR616" s="1410"/>
      <c r="BS616" s="1417">
        <f t="shared" si="6"/>
        <v>0</v>
      </c>
      <c r="BT616" s="1417"/>
      <c r="BU616" s="1417"/>
      <c r="BV616" s="1417"/>
      <c r="BW616" s="1417"/>
      <c r="BX616" s="1417">
        <f t="shared" si="7"/>
        <v>0</v>
      </c>
      <c r="BY616" s="1417"/>
      <c r="BZ616" s="1417"/>
      <c r="CA616" s="1417"/>
      <c r="CB616" s="1417"/>
      <c r="CC616" s="1417">
        <f t="shared" si="8"/>
        <v>0</v>
      </c>
      <c r="CD616" s="1417"/>
      <c r="CE616" s="1417"/>
      <c r="CF616" s="1417"/>
      <c r="CG616" s="1417"/>
      <c r="CH616" s="1417">
        <f t="shared" si="9"/>
        <v>0</v>
      </c>
      <c r="CI616" s="1417"/>
      <c r="CJ616" s="1417"/>
      <c r="CK616" s="1417"/>
      <c r="CL616" s="1417"/>
      <c r="CM616" s="1417">
        <f t="shared" si="10"/>
        <v>0</v>
      </c>
      <c r="CN616" s="1417"/>
      <c r="CO616" s="1417"/>
      <c r="CP616" s="1417"/>
      <c r="CQ616" s="1417"/>
      <c r="CR616" s="6"/>
      <c r="CS616" s="1418">
        <f t="shared" si="11"/>
        <v>0</v>
      </c>
      <c r="CT616" s="1418"/>
      <c r="CU616" s="1418"/>
      <c r="CV616" s="1418"/>
      <c r="CW616" s="1418"/>
      <c r="CX616" s="1418">
        <f t="shared" si="12"/>
        <v>0</v>
      </c>
      <c r="CY616" s="1418"/>
      <c r="CZ616" s="1418"/>
      <c r="DA616" s="1418"/>
      <c r="DB616" s="1418"/>
      <c r="DC616" s="1418">
        <f t="shared" si="13"/>
        <v>0</v>
      </c>
      <c r="DD616" s="1418"/>
      <c r="DE616" s="1418"/>
      <c r="DF616" s="1418"/>
      <c r="DG616" s="1418"/>
      <c r="DH616" s="1418">
        <f t="shared" si="14"/>
        <v>0</v>
      </c>
      <c r="DI616" s="1418"/>
      <c r="DJ616" s="1418"/>
      <c r="DK616" s="1418"/>
      <c r="DL616" s="1418"/>
      <c r="DM616" s="1418">
        <f t="shared" si="15"/>
        <v>0</v>
      </c>
      <c r="DN616" s="1418"/>
      <c r="DO616" s="1418"/>
      <c r="DP616" s="1418"/>
      <c r="DQ616" s="1418"/>
      <c r="DR616" s="1418">
        <f t="shared" si="16"/>
        <v>0</v>
      </c>
      <c r="DS616" s="1418"/>
      <c r="DT616" s="1418"/>
      <c r="DU616" s="1418"/>
      <c r="DV616" s="1418"/>
      <c r="DX616" s="1414" t="str">
        <f t="shared" si="17"/>
        <v xml:space="preserve"> </v>
      </c>
      <c r="DY616" s="1415"/>
      <c r="DZ616" s="1415"/>
      <c r="EA616" s="1415"/>
      <c r="EB616" s="1416"/>
      <c r="EC616" s="1414" t="str">
        <f t="shared" si="18"/>
        <v xml:space="preserve"> </v>
      </c>
      <c r="ED616" s="1415"/>
      <c r="EE616" s="1415"/>
      <c r="EF616" s="1415"/>
      <c r="EG616" s="1416"/>
      <c r="EH616" s="1414" t="str">
        <f t="shared" si="19"/>
        <v xml:space="preserve"> </v>
      </c>
      <c r="EI616" s="1415"/>
      <c r="EJ616" s="1415"/>
      <c r="EK616" s="1415"/>
      <c r="EL616" s="1416"/>
      <c r="EM616" s="1414" t="str">
        <f t="shared" si="20"/>
        <v xml:space="preserve"> </v>
      </c>
      <c r="EN616" s="1415"/>
      <c r="EO616" s="1415"/>
      <c r="EP616" s="1415"/>
      <c r="EQ616" s="1416"/>
      <c r="ER616" s="1414" t="str">
        <f t="shared" si="21"/>
        <v xml:space="preserve"> </v>
      </c>
      <c r="ES616" s="1415"/>
      <c r="ET616" s="1415"/>
      <c r="EU616" s="1415"/>
      <c r="EV616" s="1416"/>
      <c r="EW616" s="1414" t="str">
        <f t="shared" si="22"/>
        <v xml:space="preserve"> </v>
      </c>
      <c r="EX616" s="1415"/>
      <c r="EY616" s="1415"/>
      <c r="EZ616" s="1415"/>
      <c r="FA616" s="1416"/>
    </row>
    <row r="617" spans="1:157" ht="12.95" customHeight="1">
      <c r="A617" s="2"/>
      <c r="B617" s="2"/>
      <c r="C617" s="2"/>
      <c r="AZ617" s="3"/>
      <c r="BA617" s="3"/>
      <c r="BB617" s="3"/>
      <c r="BC617" s="3"/>
      <c r="BD617" s="3"/>
      <c r="BE617" s="1414">
        <f t="shared" si="1"/>
        <v>0</v>
      </c>
      <c r="BF617" s="1416"/>
      <c r="BG617" s="1427">
        <f t="shared" si="2"/>
        <v>0</v>
      </c>
      <c r="BH617" s="1428"/>
      <c r="BI617" s="1414">
        <f t="shared" si="3"/>
        <v>0</v>
      </c>
      <c r="BJ617" s="1416"/>
      <c r="BK617" s="1427">
        <f t="shared" si="4"/>
        <v>0</v>
      </c>
      <c r="BL617" s="1428"/>
      <c r="BM617" s="3"/>
      <c r="BN617" s="1408">
        <f t="shared" si="5"/>
        <v>0</v>
      </c>
      <c r="BO617" s="1409"/>
      <c r="BP617" s="1409"/>
      <c r="BQ617" s="1409"/>
      <c r="BR617" s="1410"/>
      <c r="BS617" s="1417">
        <f t="shared" si="6"/>
        <v>0</v>
      </c>
      <c r="BT617" s="1417"/>
      <c r="BU617" s="1417"/>
      <c r="BV617" s="1417"/>
      <c r="BW617" s="1417"/>
      <c r="BX617" s="1417">
        <f t="shared" si="7"/>
        <v>0</v>
      </c>
      <c r="BY617" s="1417"/>
      <c r="BZ617" s="1417"/>
      <c r="CA617" s="1417"/>
      <c r="CB617" s="1417"/>
      <c r="CC617" s="1417">
        <f t="shared" si="8"/>
        <v>0</v>
      </c>
      <c r="CD617" s="1417"/>
      <c r="CE617" s="1417"/>
      <c r="CF617" s="1417"/>
      <c r="CG617" s="1417"/>
      <c r="CH617" s="1417">
        <f t="shared" si="9"/>
        <v>0</v>
      </c>
      <c r="CI617" s="1417"/>
      <c r="CJ617" s="1417"/>
      <c r="CK617" s="1417"/>
      <c r="CL617" s="1417"/>
      <c r="CM617" s="1417">
        <f t="shared" si="10"/>
        <v>0</v>
      </c>
      <c r="CN617" s="1417"/>
      <c r="CO617" s="1417"/>
      <c r="CP617" s="1417"/>
      <c r="CQ617" s="1417"/>
      <c r="CR617" s="6"/>
      <c r="CS617" s="1418">
        <f t="shared" si="11"/>
        <v>0</v>
      </c>
      <c r="CT617" s="1418"/>
      <c r="CU617" s="1418"/>
      <c r="CV617" s="1418"/>
      <c r="CW617" s="1418"/>
      <c r="CX617" s="1418">
        <f t="shared" si="12"/>
        <v>0</v>
      </c>
      <c r="CY617" s="1418"/>
      <c r="CZ617" s="1418"/>
      <c r="DA617" s="1418"/>
      <c r="DB617" s="1418"/>
      <c r="DC617" s="1418">
        <f t="shared" si="13"/>
        <v>0</v>
      </c>
      <c r="DD617" s="1418"/>
      <c r="DE617" s="1418"/>
      <c r="DF617" s="1418"/>
      <c r="DG617" s="1418"/>
      <c r="DH617" s="1418">
        <f t="shared" si="14"/>
        <v>0</v>
      </c>
      <c r="DI617" s="1418"/>
      <c r="DJ617" s="1418"/>
      <c r="DK617" s="1418"/>
      <c r="DL617" s="1418"/>
      <c r="DM617" s="1418">
        <f t="shared" si="15"/>
        <v>0</v>
      </c>
      <c r="DN617" s="1418"/>
      <c r="DO617" s="1418"/>
      <c r="DP617" s="1418"/>
      <c r="DQ617" s="1418"/>
      <c r="DR617" s="1418">
        <f t="shared" si="16"/>
        <v>0</v>
      </c>
      <c r="DS617" s="1418"/>
      <c r="DT617" s="1418"/>
      <c r="DU617" s="1418"/>
      <c r="DV617" s="1418"/>
      <c r="DX617" s="1414" t="str">
        <f t="shared" si="17"/>
        <v xml:space="preserve"> </v>
      </c>
      <c r="DY617" s="1415"/>
      <c r="DZ617" s="1415"/>
      <c r="EA617" s="1415"/>
      <c r="EB617" s="1416"/>
      <c r="EC617" s="1414" t="str">
        <f t="shared" si="18"/>
        <v xml:space="preserve"> </v>
      </c>
      <c r="ED617" s="1415"/>
      <c r="EE617" s="1415"/>
      <c r="EF617" s="1415"/>
      <c r="EG617" s="1416"/>
      <c r="EH617" s="1414" t="str">
        <f t="shared" si="19"/>
        <v xml:space="preserve"> </v>
      </c>
      <c r="EI617" s="1415"/>
      <c r="EJ617" s="1415"/>
      <c r="EK617" s="1415"/>
      <c r="EL617" s="1416"/>
      <c r="EM617" s="1414" t="str">
        <f t="shared" si="20"/>
        <v xml:space="preserve"> </v>
      </c>
      <c r="EN617" s="1415"/>
      <c r="EO617" s="1415"/>
      <c r="EP617" s="1415"/>
      <c r="EQ617" s="1416"/>
      <c r="ER617" s="1414" t="str">
        <f t="shared" si="21"/>
        <v xml:space="preserve"> </v>
      </c>
      <c r="ES617" s="1415"/>
      <c r="ET617" s="1415"/>
      <c r="EU617" s="1415"/>
      <c r="EV617" s="1416"/>
      <c r="EW617" s="1414" t="str">
        <f t="shared" si="22"/>
        <v xml:space="preserve"> </v>
      </c>
      <c r="EX617" s="1415"/>
      <c r="EY617" s="1415"/>
      <c r="EZ617" s="1415"/>
      <c r="FA617" s="1416"/>
    </row>
    <row r="618" spans="1:157" ht="12.95" customHeight="1">
      <c r="C618" s="2" t="s">
        <v>2528</v>
      </c>
      <c r="AZ618" s="3"/>
      <c r="BA618" s="3"/>
      <c r="BB618" s="3"/>
      <c r="BC618" s="3"/>
      <c r="BD618" s="3"/>
      <c r="BE618" s="1414">
        <f t="shared" si="1"/>
        <v>0</v>
      </c>
      <c r="BF618" s="1416"/>
      <c r="BG618" s="1427">
        <f t="shared" si="2"/>
        <v>0</v>
      </c>
      <c r="BH618" s="1428"/>
      <c r="BI618" s="1414">
        <f t="shared" si="3"/>
        <v>0</v>
      </c>
      <c r="BJ618" s="1416"/>
      <c r="BK618" s="1427">
        <f t="shared" si="4"/>
        <v>0</v>
      </c>
      <c r="BL618" s="1428"/>
      <c r="BM618" s="3"/>
      <c r="BN618" s="1408">
        <f t="shared" si="5"/>
        <v>0</v>
      </c>
      <c r="BO618" s="1409"/>
      <c r="BP618" s="1409"/>
      <c r="BQ618" s="1409"/>
      <c r="BR618" s="1410"/>
      <c r="BS618" s="1417">
        <f t="shared" si="6"/>
        <v>0</v>
      </c>
      <c r="BT618" s="1417"/>
      <c r="BU618" s="1417"/>
      <c r="BV618" s="1417"/>
      <c r="BW618" s="1417"/>
      <c r="BX618" s="1417">
        <f t="shared" si="7"/>
        <v>0</v>
      </c>
      <c r="BY618" s="1417"/>
      <c r="BZ618" s="1417"/>
      <c r="CA618" s="1417"/>
      <c r="CB618" s="1417"/>
      <c r="CC618" s="1417">
        <f t="shared" si="8"/>
        <v>0</v>
      </c>
      <c r="CD618" s="1417"/>
      <c r="CE618" s="1417"/>
      <c r="CF618" s="1417"/>
      <c r="CG618" s="1417"/>
      <c r="CH618" s="1417">
        <f t="shared" si="9"/>
        <v>0</v>
      </c>
      <c r="CI618" s="1417"/>
      <c r="CJ618" s="1417"/>
      <c r="CK618" s="1417"/>
      <c r="CL618" s="1417"/>
      <c r="CM618" s="1417">
        <f t="shared" si="10"/>
        <v>0</v>
      </c>
      <c r="CN618" s="1417"/>
      <c r="CO618" s="1417"/>
      <c r="CP618" s="1417"/>
      <c r="CQ618" s="1417"/>
      <c r="CR618" s="6"/>
      <c r="CS618" s="1418">
        <f t="shared" si="11"/>
        <v>0</v>
      </c>
      <c r="CT618" s="1418"/>
      <c r="CU618" s="1418"/>
      <c r="CV618" s="1418"/>
      <c r="CW618" s="1418"/>
      <c r="CX618" s="1418">
        <f t="shared" si="12"/>
        <v>0</v>
      </c>
      <c r="CY618" s="1418"/>
      <c r="CZ618" s="1418"/>
      <c r="DA618" s="1418"/>
      <c r="DB618" s="1418"/>
      <c r="DC618" s="1418">
        <f t="shared" si="13"/>
        <v>0</v>
      </c>
      <c r="DD618" s="1418"/>
      <c r="DE618" s="1418"/>
      <c r="DF618" s="1418"/>
      <c r="DG618" s="1418"/>
      <c r="DH618" s="1418">
        <f t="shared" si="14"/>
        <v>0</v>
      </c>
      <c r="DI618" s="1418"/>
      <c r="DJ618" s="1418"/>
      <c r="DK618" s="1418"/>
      <c r="DL618" s="1418"/>
      <c r="DM618" s="1418">
        <f t="shared" si="15"/>
        <v>0</v>
      </c>
      <c r="DN618" s="1418"/>
      <c r="DO618" s="1418"/>
      <c r="DP618" s="1418"/>
      <c r="DQ618" s="1418"/>
      <c r="DR618" s="1418">
        <f t="shared" si="16"/>
        <v>0</v>
      </c>
      <c r="DS618" s="1418"/>
      <c r="DT618" s="1418"/>
      <c r="DU618" s="1418"/>
      <c r="DV618" s="1418"/>
      <c r="DX618" s="1414" t="str">
        <f t="shared" si="17"/>
        <v xml:space="preserve"> </v>
      </c>
      <c r="DY618" s="1415"/>
      <c r="DZ618" s="1415"/>
      <c r="EA618" s="1415"/>
      <c r="EB618" s="1416"/>
      <c r="EC618" s="1414" t="str">
        <f t="shared" si="18"/>
        <v xml:space="preserve"> </v>
      </c>
      <c r="ED618" s="1415"/>
      <c r="EE618" s="1415"/>
      <c r="EF618" s="1415"/>
      <c r="EG618" s="1416"/>
      <c r="EH618" s="1414" t="str">
        <f t="shared" si="19"/>
        <v xml:space="preserve"> </v>
      </c>
      <c r="EI618" s="1415"/>
      <c r="EJ618" s="1415"/>
      <c r="EK618" s="1415"/>
      <c r="EL618" s="1416"/>
      <c r="EM618" s="1414" t="str">
        <f t="shared" si="20"/>
        <v xml:space="preserve"> </v>
      </c>
      <c r="EN618" s="1415"/>
      <c r="EO618" s="1415"/>
      <c r="EP618" s="1415"/>
      <c r="EQ618" s="1416"/>
      <c r="ER618" s="1414" t="str">
        <f t="shared" si="21"/>
        <v xml:space="preserve"> </v>
      </c>
      <c r="ES618" s="1415"/>
      <c r="ET618" s="1415"/>
      <c r="EU618" s="1415"/>
      <c r="EV618" s="1416"/>
      <c r="EW618" s="1414" t="str">
        <f t="shared" si="22"/>
        <v xml:space="preserve"> </v>
      </c>
      <c r="EX618" s="1415"/>
      <c r="EY618" s="1415"/>
      <c r="EZ618" s="1415"/>
      <c r="FA618" s="1416"/>
    </row>
    <row r="619" spans="1:157" ht="12.95" customHeight="1">
      <c r="B619" s="547"/>
      <c r="C619" s="2"/>
      <c r="AZ619" s="3"/>
      <c r="BA619" s="3"/>
      <c r="BB619" s="3"/>
      <c r="BC619" s="3"/>
      <c r="BD619" s="3"/>
      <c r="BE619" s="1414">
        <f t="shared" si="1"/>
        <v>0</v>
      </c>
      <c r="BF619" s="1416"/>
      <c r="BG619" s="1427">
        <f t="shared" si="2"/>
        <v>0</v>
      </c>
      <c r="BH619" s="1428"/>
      <c r="BI619" s="1414">
        <f t="shared" si="3"/>
        <v>0</v>
      </c>
      <c r="BJ619" s="1416"/>
      <c r="BK619" s="1427">
        <f t="shared" si="4"/>
        <v>0</v>
      </c>
      <c r="BL619" s="1428"/>
      <c r="BM619" s="3"/>
      <c r="BN619" s="1408">
        <f t="shared" si="5"/>
        <v>0</v>
      </c>
      <c r="BO619" s="1409"/>
      <c r="BP619" s="1409"/>
      <c r="BQ619" s="1409"/>
      <c r="BR619" s="1410"/>
      <c r="BS619" s="1417">
        <f t="shared" si="6"/>
        <v>0</v>
      </c>
      <c r="BT619" s="1417"/>
      <c r="BU619" s="1417"/>
      <c r="BV619" s="1417"/>
      <c r="BW619" s="1417"/>
      <c r="BX619" s="1417">
        <f t="shared" si="7"/>
        <v>0</v>
      </c>
      <c r="BY619" s="1417"/>
      <c r="BZ619" s="1417"/>
      <c r="CA619" s="1417"/>
      <c r="CB619" s="1417"/>
      <c r="CC619" s="1417">
        <f t="shared" si="8"/>
        <v>0</v>
      </c>
      <c r="CD619" s="1417"/>
      <c r="CE619" s="1417"/>
      <c r="CF619" s="1417"/>
      <c r="CG619" s="1417"/>
      <c r="CH619" s="1417">
        <f t="shared" si="9"/>
        <v>0</v>
      </c>
      <c r="CI619" s="1417"/>
      <c r="CJ619" s="1417"/>
      <c r="CK619" s="1417"/>
      <c r="CL619" s="1417"/>
      <c r="CM619" s="1417">
        <f t="shared" si="10"/>
        <v>0</v>
      </c>
      <c r="CN619" s="1417"/>
      <c r="CO619" s="1417"/>
      <c r="CP619" s="1417"/>
      <c r="CQ619" s="1417"/>
      <c r="CR619" s="6"/>
      <c r="CS619" s="1418">
        <f t="shared" si="11"/>
        <v>0</v>
      </c>
      <c r="CT619" s="1418"/>
      <c r="CU619" s="1418"/>
      <c r="CV619" s="1418"/>
      <c r="CW619" s="1418"/>
      <c r="CX619" s="1418">
        <f t="shared" si="12"/>
        <v>0</v>
      </c>
      <c r="CY619" s="1418"/>
      <c r="CZ619" s="1418"/>
      <c r="DA619" s="1418"/>
      <c r="DB619" s="1418"/>
      <c r="DC619" s="1418">
        <f t="shared" si="13"/>
        <v>0</v>
      </c>
      <c r="DD619" s="1418"/>
      <c r="DE619" s="1418"/>
      <c r="DF619" s="1418"/>
      <c r="DG619" s="1418"/>
      <c r="DH619" s="1418">
        <f t="shared" si="14"/>
        <v>0</v>
      </c>
      <c r="DI619" s="1418"/>
      <c r="DJ619" s="1418"/>
      <c r="DK619" s="1418"/>
      <c r="DL619" s="1418"/>
      <c r="DM619" s="1418">
        <f t="shared" si="15"/>
        <v>0</v>
      </c>
      <c r="DN619" s="1418"/>
      <c r="DO619" s="1418"/>
      <c r="DP619" s="1418"/>
      <c r="DQ619" s="1418"/>
      <c r="DR619" s="1418">
        <f t="shared" si="16"/>
        <v>0</v>
      </c>
      <c r="DS619" s="1418"/>
      <c r="DT619" s="1418"/>
      <c r="DU619" s="1418"/>
      <c r="DV619" s="1418"/>
      <c r="DX619" s="1414" t="str">
        <f t="shared" si="17"/>
        <v xml:space="preserve"> </v>
      </c>
      <c r="DY619" s="1415"/>
      <c r="DZ619" s="1415"/>
      <c r="EA619" s="1415"/>
      <c r="EB619" s="1416"/>
      <c r="EC619" s="1414" t="str">
        <f t="shared" si="18"/>
        <v xml:space="preserve"> </v>
      </c>
      <c r="ED619" s="1415"/>
      <c r="EE619" s="1415"/>
      <c r="EF619" s="1415"/>
      <c r="EG619" s="1416"/>
      <c r="EH619" s="1414" t="str">
        <f t="shared" si="19"/>
        <v xml:space="preserve"> </v>
      </c>
      <c r="EI619" s="1415"/>
      <c r="EJ619" s="1415"/>
      <c r="EK619" s="1415"/>
      <c r="EL619" s="1416"/>
      <c r="EM619" s="1414" t="str">
        <f t="shared" si="20"/>
        <v xml:space="preserve"> </v>
      </c>
      <c r="EN619" s="1415"/>
      <c r="EO619" s="1415"/>
      <c r="EP619" s="1415"/>
      <c r="EQ619" s="1416"/>
      <c r="ER619" s="1414" t="str">
        <f t="shared" si="21"/>
        <v xml:space="preserve"> </v>
      </c>
      <c r="ES619" s="1415"/>
      <c r="ET619" s="1415"/>
      <c r="EU619" s="1415"/>
      <c r="EV619" s="1416"/>
      <c r="EW619" s="1414" t="str">
        <f t="shared" si="22"/>
        <v xml:space="preserve"> </v>
      </c>
      <c r="EX619" s="1415"/>
      <c r="EY619" s="1415"/>
      <c r="EZ619" s="1415"/>
      <c r="FA619" s="1416"/>
    </row>
    <row r="620" spans="1:157" ht="12.95" customHeight="1">
      <c r="B620" s="1369" t="s">
        <v>2530</v>
      </c>
      <c r="C620" s="1369"/>
      <c r="D620" s="1369"/>
      <c r="E620" s="1369"/>
      <c r="F620" s="1369"/>
      <c r="G620" s="1369"/>
      <c r="H620" s="1369"/>
      <c r="I620" s="1369"/>
      <c r="J620" s="1369"/>
      <c r="K620" s="1369"/>
      <c r="L620" s="1369"/>
      <c r="M620" s="1368" t="s">
        <v>2531</v>
      </c>
      <c r="N620" s="1368"/>
      <c r="O620" s="1368"/>
      <c r="P620" s="1368"/>
      <c r="Q620" s="1368" t="s">
        <v>2115</v>
      </c>
      <c r="R620" s="1368"/>
      <c r="S620" s="1368"/>
      <c r="T620" s="1368" t="s">
        <v>2113</v>
      </c>
      <c r="U620" s="1368"/>
      <c r="V620" s="1368"/>
      <c r="W620" s="1367" t="s">
        <v>462</v>
      </c>
      <c r="X620" s="1367"/>
      <c r="Y620" s="1367"/>
      <c r="Z620" s="1371" t="s">
        <v>2560</v>
      </c>
      <c r="AA620" s="1371"/>
      <c r="AB620" s="1372"/>
      <c r="AC620" s="1610" t="s">
        <v>1935</v>
      </c>
      <c r="AD620" s="1611"/>
      <c r="AE620" s="1612"/>
      <c r="AF620" s="1730" t="s">
        <v>2313</v>
      </c>
      <c r="AG620" s="1371"/>
      <c r="AH620" s="1371"/>
      <c r="AI620" s="1371"/>
      <c r="AJ620" s="1372"/>
      <c r="AK620" s="1600" t="s">
        <v>2314</v>
      </c>
      <c r="AL620" s="1601"/>
      <c r="AM620" s="1601"/>
      <c r="AN620" s="1602"/>
      <c r="AO620" s="1368" t="s">
        <v>463</v>
      </c>
      <c r="AP620" s="1368"/>
      <c r="AQ620" s="1368"/>
      <c r="AR620" s="1368"/>
      <c r="AS620" s="1368"/>
      <c r="AZ620" s="3"/>
      <c r="BA620" s="3"/>
      <c r="BB620" s="3"/>
      <c r="BC620" s="3"/>
      <c r="BD620" s="3"/>
      <c r="BE620" s="1414">
        <f t="shared" si="1"/>
        <v>0</v>
      </c>
      <c r="BF620" s="1416"/>
      <c r="BG620" s="1427">
        <f t="shared" si="2"/>
        <v>0</v>
      </c>
      <c r="BH620" s="1428"/>
      <c r="BI620" s="1414">
        <f t="shared" si="3"/>
        <v>0</v>
      </c>
      <c r="BJ620" s="1416"/>
      <c r="BK620" s="1427">
        <f t="shared" si="4"/>
        <v>0</v>
      </c>
      <c r="BL620" s="1428"/>
      <c r="BM620" s="3"/>
      <c r="BN620" s="1408">
        <f t="shared" si="5"/>
        <v>0</v>
      </c>
      <c r="BO620" s="1409"/>
      <c r="BP620" s="1409"/>
      <c r="BQ620" s="1409"/>
      <c r="BR620" s="1410"/>
      <c r="BS620" s="1417">
        <f t="shared" si="6"/>
        <v>0</v>
      </c>
      <c r="BT620" s="1417"/>
      <c r="BU620" s="1417"/>
      <c r="BV620" s="1417"/>
      <c r="BW620" s="1417"/>
      <c r="BX620" s="1417">
        <f t="shared" si="7"/>
        <v>0</v>
      </c>
      <c r="BY620" s="1417"/>
      <c r="BZ620" s="1417"/>
      <c r="CA620" s="1417"/>
      <c r="CB620" s="1417"/>
      <c r="CC620" s="1417">
        <f t="shared" si="8"/>
        <v>0</v>
      </c>
      <c r="CD620" s="1417"/>
      <c r="CE620" s="1417"/>
      <c r="CF620" s="1417"/>
      <c r="CG620" s="1417"/>
      <c r="CH620" s="1417">
        <f t="shared" si="9"/>
        <v>0</v>
      </c>
      <c r="CI620" s="1417"/>
      <c r="CJ620" s="1417"/>
      <c r="CK620" s="1417"/>
      <c r="CL620" s="1417"/>
      <c r="CM620" s="1417">
        <f t="shared" si="10"/>
        <v>0</v>
      </c>
      <c r="CN620" s="1417"/>
      <c r="CO620" s="1417"/>
      <c r="CP620" s="1417"/>
      <c r="CQ620" s="1417"/>
      <c r="CR620" s="6"/>
      <c r="CS620" s="1418">
        <f t="shared" si="11"/>
        <v>0</v>
      </c>
      <c r="CT620" s="1418"/>
      <c r="CU620" s="1418"/>
      <c r="CV620" s="1418"/>
      <c r="CW620" s="1418"/>
      <c r="CX620" s="1418">
        <f t="shared" si="12"/>
        <v>0</v>
      </c>
      <c r="CY620" s="1418"/>
      <c r="CZ620" s="1418"/>
      <c r="DA620" s="1418"/>
      <c r="DB620" s="1418"/>
      <c r="DC620" s="1418">
        <f t="shared" si="13"/>
        <v>0</v>
      </c>
      <c r="DD620" s="1418"/>
      <c r="DE620" s="1418"/>
      <c r="DF620" s="1418"/>
      <c r="DG620" s="1418"/>
      <c r="DH620" s="1418">
        <f t="shared" si="14"/>
        <v>0</v>
      </c>
      <c r="DI620" s="1418"/>
      <c r="DJ620" s="1418"/>
      <c r="DK620" s="1418"/>
      <c r="DL620" s="1418"/>
      <c r="DM620" s="1418">
        <f t="shared" si="15"/>
        <v>0</v>
      </c>
      <c r="DN620" s="1418"/>
      <c r="DO620" s="1418"/>
      <c r="DP620" s="1418"/>
      <c r="DQ620" s="1418"/>
      <c r="DR620" s="1418">
        <f t="shared" si="16"/>
        <v>0</v>
      </c>
      <c r="DS620" s="1418"/>
      <c r="DT620" s="1418"/>
      <c r="DU620" s="1418"/>
      <c r="DV620" s="1418"/>
      <c r="DX620" s="1414" t="str">
        <f t="shared" si="17"/>
        <v xml:space="preserve"> </v>
      </c>
      <c r="DY620" s="1415"/>
      <c r="DZ620" s="1415"/>
      <c r="EA620" s="1415"/>
      <c r="EB620" s="1416"/>
      <c r="EC620" s="1414" t="str">
        <f t="shared" si="18"/>
        <v xml:space="preserve"> </v>
      </c>
      <c r="ED620" s="1415"/>
      <c r="EE620" s="1415"/>
      <c r="EF620" s="1415"/>
      <c r="EG620" s="1416"/>
      <c r="EH620" s="1414" t="str">
        <f t="shared" si="19"/>
        <v xml:space="preserve"> </v>
      </c>
      <c r="EI620" s="1415"/>
      <c r="EJ620" s="1415"/>
      <c r="EK620" s="1415"/>
      <c r="EL620" s="1416"/>
      <c r="EM620" s="1414" t="str">
        <f t="shared" si="20"/>
        <v xml:space="preserve"> </v>
      </c>
      <c r="EN620" s="1415"/>
      <c r="EO620" s="1415"/>
      <c r="EP620" s="1415"/>
      <c r="EQ620" s="1416"/>
      <c r="ER620" s="1414" t="str">
        <f t="shared" si="21"/>
        <v xml:space="preserve"> </v>
      </c>
      <c r="ES620" s="1415"/>
      <c r="ET620" s="1415"/>
      <c r="EU620" s="1415"/>
      <c r="EV620" s="1416"/>
      <c r="EW620" s="1414" t="str">
        <f t="shared" si="22"/>
        <v xml:space="preserve"> </v>
      </c>
      <c r="EX620" s="1415"/>
      <c r="EY620" s="1415"/>
      <c r="EZ620" s="1415"/>
      <c r="FA620" s="1416"/>
    </row>
    <row r="621" spans="1:157" ht="12.95" customHeight="1">
      <c r="B621" s="1369"/>
      <c r="C621" s="1369"/>
      <c r="D621" s="1369"/>
      <c r="E621" s="1369"/>
      <c r="F621" s="1369"/>
      <c r="G621" s="1369"/>
      <c r="H621" s="1369"/>
      <c r="I621" s="1369"/>
      <c r="J621" s="1369"/>
      <c r="K621" s="1369"/>
      <c r="L621" s="1369"/>
      <c r="M621" s="1368"/>
      <c r="N621" s="1368"/>
      <c r="O621" s="1368"/>
      <c r="P621" s="1368"/>
      <c r="Q621" s="1368"/>
      <c r="R621" s="1368"/>
      <c r="S621" s="1368"/>
      <c r="T621" s="1368"/>
      <c r="U621" s="1368"/>
      <c r="V621" s="1368"/>
      <c r="W621" s="1367"/>
      <c r="X621" s="1367"/>
      <c r="Y621" s="1367"/>
      <c r="Z621" s="1373"/>
      <c r="AA621" s="1373"/>
      <c r="AB621" s="1374"/>
      <c r="AC621" s="1613"/>
      <c r="AD621" s="1614"/>
      <c r="AE621" s="1615"/>
      <c r="AF621" s="1731"/>
      <c r="AG621" s="1373"/>
      <c r="AH621" s="1373"/>
      <c r="AI621" s="1373"/>
      <c r="AJ621" s="1374"/>
      <c r="AK621" s="1603"/>
      <c r="AL621" s="1604"/>
      <c r="AM621" s="1604"/>
      <c r="AN621" s="1605"/>
      <c r="AO621" s="1368"/>
      <c r="AP621" s="1368"/>
      <c r="AQ621" s="1368"/>
      <c r="AR621" s="1368"/>
      <c r="AS621" s="1368"/>
      <c r="AZ621" s="3"/>
      <c r="BA621" s="3"/>
      <c r="BB621" s="3"/>
      <c r="BC621" s="3"/>
      <c r="BD621" s="3"/>
      <c r="BE621" s="3"/>
      <c r="BF621" s="3"/>
      <c r="BG621" s="1414">
        <f>SUM(BG596:BH620)</f>
        <v>50</v>
      </c>
      <c r="BH621" s="1416"/>
      <c r="BI621" s="3"/>
      <c r="BJ621" s="3"/>
      <c r="BK621" s="1414">
        <f>SUM(BK596:BL620)</f>
        <v>17</v>
      </c>
      <c r="BL621" s="1416"/>
      <c r="BM621" s="3"/>
      <c r="BN621" s="1414">
        <f>SUM(BN596:BR620)</f>
        <v>0</v>
      </c>
      <c r="BO621" s="1415"/>
      <c r="BP621" s="1415"/>
      <c r="BQ621" s="1415"/>
      <c r="BR621" s="1416"/>
      <c r="BS621" s="1419">
        <f>SUM(BS596:BW620)</f>
        <v>57</v>
      </c>
      <c r="BT621" s="1419"/>
      <c r="BU621" s="1419"/>
      <c r="BV621" s="1419"/>
      <c r="BW621" s="1419"/>
      <c r="BX621" s="1419">
        <f>SUM(BX596:CB620)</f>
        <v>67</v>
      </c>
      <c r="BY621" s="1419"/>
      <c r="BZ621" s="1419"/>
      <c r="CA621" s="1419"/>
      <c r="CB621" s="1419"/>
      <c r="CC621" s="1419">
        <f>SUM(CC596:CG620)</f>
        <v>42</v>
      </c>
      <c r="CD621" s="1419"/>
      <c r="CE621" s="1419"/>
      <c r="CF621" s="1419"/>
      <c r="CG621" s="1419"/>
      <c r="CH621" s="1419">
        <f>SUM(CH596:CL620)</f>
        <v>0</v>
      </c>
      <c r="CI621" s="1419"/>
      <c r="CJ621" s="1419"/>
      <c r="CK621" s="1419"/>
      <c r="CL621" s="1419"/>
      <c r="CM621" s="1419">
        <f>SUM(CM596:CQ620)</f>
        <v>0</v>
      </c>
      <c r="CN621" s="1419"/>
      <c r="CO621" s="1419"/>
      <c r="CP621" s="1419"/>
      <c r="CQ621" s="1419"/>
      <c r="CR621" s="386"/>
      <c r="CS621" s="1419">
        <f>SUM(CS596:CW620)</f>
        <v>0</v>
      </c>
      <c r="CT621" s="1419"/>
      <c r="CU621" s="1419"/>
      <c r="CV621" s="1419"/>
      <c r="CW621" s="1419"/>
      <c r="CX621" s="1419">
        <f>SUM(CX596:DB620)</f>
        <v>6</v>
      </c>
      <c r="CY621" s="1419"/>
      <c r="CZ621" s="1419"/>
      <c r="DA621" s="1419"/>
      <c r="DB621" s="1419"/>
      <c r="DC621" s="1419">
        <f>SUM(DC596:DG620)</f>
        <v>7</v>
      </c>
      <c r="DD621" s="1419"/>
      <c r="DE621" s="1419"/>
      <c r="DF621" s="1419"/>
      <c r="DG621" s="1419"/>
      <c r="DH621" s="1419">
        <f>SUM(DH596:DL620)</f>
        <v>4</v>
      </c>
      <c r="DI621" s="1419"/>
      <c r="DJ621" s="1419"/>
      <c r="DK621" s="1419"/>
      <c r="DL621" s="1419"/>
      <c r="DM621" s="1419">
        <f>SUM(DM596:DQ620)</f>
        <v>0</v>
      </c>
      <c r="DN621" s="1419"/>
      <c r="DO621" s="1419"/>
      <c r="DP621" s="1419"/>
      <c r="DQ621" s="1419"/>
      <c r="DR621" s="1419">
        <f>SUM(DR596:DV620)</f>
        <v>0</v>
      </c>
      <c r="DS621" s="1419"/>
      <c r="DT621" s="1419"/>
      <c r="DU621" s="1419"/>
      <c r="DV621" s="1419"/>
      <c r="DX621" s="1419">
        <f>SUM(DX596:EB620)</f>
        <v>0</v>
      </c>
      <c r="DY621" s="1419"/>
      <c r="DZ621" s="1419"/>
      <c r="EA621" s="1419"/>
      <c r="EB621" s="1419"/>
      <c r="EC621" s="1419">
        <f>SUM(EC596:EG620)</f>
        <v>3224</v>
      </c>
      <c r="ED621" s="1419"/>
      <c r="EE621" s="1419"/>
      <c r="EF621" s="1419"/>
      <c r="EG621" s="1419"/>
      <c r="EH621" s="1419">
        <f>SUM(EH596:EL620)</f>
        <v>7709</v>
      </c>
      <c r="EI621" s="1419"/>
      <c r="EJ621" s="1419"/>
      <c r="EK621" s="1419"/>
      <c r="EL621" s="1419"/>
      <c r="EM621" s="1419">
        <f>SUM(EM596:EQ620)</f>
        <v>4461</v>
      </c>
      <c r="EN621" s="1419"/>
      <c r="EO621" s="1419"/>
      <c r="EP621" s="1419"/>
      <c r="EQ621" s="1419"/>
      <c r="ER621" s="1419">
        <f>SUM(ER596:EV620)</f>
        <v>0</v>
      </c>
      <c r="ES621" s="1419"/>
      <c r="ET621" s="1419"/>
      <c r="EU621" s="1419"/>
      <c r="EV621" s="1419"/>
      <c r="EW621" s="1419">
        <f>SUM(EW596:FA620)</f>
        <v>0</v>
      </c>
      <c r="EX621" s="1419"/>
      <c r="EY621" s="1419"/>
      <c r="EZ621" s="1419"/>
      <c r="FA621" s="1419"/>
    </row>
    <row r="622" spans="1:157" ht="12.95" customHeight="1">
      <c r="B622" s="1369"/>
      <c r="C622" s="1369"/>
      <c r="D622" s="1369"/>
      <c r="E622" s="1369"/>
      <c r="F622" s="1369"/>
      <c r="G622" s="1369"/>
      <c r="H622" s="1369"/>
      <c r="I622" s="1369"/>
      <c r="J622" s="1369"/>
      <c r="K622" s="1369"/>
      <c r="L622" s="1369"/>
      <c r="M622" s="1368"/>
      <c r="N622" s="1368"/>
      <c r="O622" s="1368"/>
      <c r="P622" s="1368"/>
      <c r="Q622" s="1368"/>
      <c r="R622" s="1368"/>
      <c r="S622" s="1368"/>
      <c r="T622" s="1368"/>
      <c r="U622" s="1368"/>
      <c r="V622" s="1368"/>
      <c r="W622" s="1367"/>
      <c r="X622" s="1367"/>
      <c r="Y622" s="1367"/>
      <c r="Z622" s="1375"/>
      <c r="AA622" s="1375"/>
      <c r="AB622" s="1376"/>
      <c r="AC622" s="1616"/>
      <c r="AD622" s="1617"/>
      <c r="AE622" s="1618"/>
      <c r="AF622" s="1732"/>
      <c r="AG622" s="1375"/>
      <c r="AH622" s="1375"/>
      <c r="AI622" s="1375"/>
      <c r="AJ622" s="1376"/>
      <c r="AK622" s="1606"/>
      <c r="AL622" s="1607"/>
      <c r="AM622" s="1607"/>
      <c r="AN622" s="1608"/>
      <c r="AO622" s="1368"/>
      <c r="AP622" s="1368"/>
      <c r="AQ622" s="1368"/>
      <c r="AR622" s="1368"/>
      <c r="AS622" s="1368"/>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56" t="s">
        <v>2123</v>
      </c>
      <c r="CM622" s="1414">
        <f>BN621+BS621+BX621+CC621+CH621+CM621</f>
        <v>166</v>
      </c>
      <c r="CN622" s="1415"/>
      <c r="CO622" s="1415"/>
      <c r="CP622" s="1415"/>
      <c r="CQ622" s="1416"/>
      <c r="CR622" s="386"/>
      <c r="CS622" s="3"/>
      <c r="CT622" s="3"/>
      <c r="CU622" s="3"/>
      <c r="CV622" s="3"/>
      <c r="CW622" s="3"/>
      <c r="CX622" s="3"/>
      <c r="CY622" s="3"/>
      <c r="CZ622" s="3"/>
      <c r="DA622" s="3"/>
      <c r="DB622" s="3"/>
      <c r="DC622" s="3"/>
      <c r="DD622" s="3"/>
      <c r="DE622" s="3"/>
      <c r="DF622" s="3"/>
    </row>
    <row r="623" spans="1:157" ht="12.95" customHeight="1">
      <c r="B623" s="51" t="s">
        <v>113</v>
      </c>
      <c r="C623" s="1370" t="s">
        <v>2705</v>
      </c>
      <c r="D623" s="1370"/>
      <c r="E623" s="1370"/>
      <c r="F623" s="1370"/>
      <c r="G623" s="1370"/>
      <c r="H623" s="1370"/>
      <c r="I623" s="1370"/>
      <c r="J623" s="1370"/>
      <c r="K623" s="1370"/>
      <c r="L623" s="1370"/>
      <c r="M623" s="1389" t="s">
        <v>2547</v>
      </c>
      <c r="N623" s="1389"/>
      <c r="O623" s="1389"/>
      <c r="P623" s="1389"/>
      <c r="Q623" s="1381">
        <v>216</v>
      </c>
      <c r="R623" s="1381"/>
      <c r="S623" s="1382"/>
      <c r="T623" s="1380">
        <v>480</v>
      </c>
      <c r="U623" s="1381"/>
      <c r="V623" s="1382"/>
      <c r="W623" s="1355">
        <v>6.5500000000000003E-2</v>
      </c>
      <c r="X623" s="1356"/>
      <c r="Y623" s="1357"/>
      <c r="Z623" s="1377" t="s">
        <v>2559</v>
      </c>
      <c r="AA623" s="1378"/>
      <c r="AB623" s="1379"/>
      <c r="AC623" s="1429">
        <v>1</v>
      </c>
      <c r="AD623" s="1430"/>
      <c r="AE623" s="1431"/>
      <c r="AF623" s="1364">
        <v>1483782</v>
      </c>
      <c r="AG623" s="1365"/>
      <c r="AH623" s="1365"/>
      <c r="AI623" s="1365"/>
      <c r="AJ623" s="1366"/>
      <c r="AK623" s="1424"/>
      <c r="AL623" s="1425"/>
      <c r="AM623" s="1425"/>
      <c r="AN623" s="1426"/>
      <c r="AO623" s="1423">
        <v>21120000</v>
      </c>
      <c r="AP623" s="1423"/>
      <c r="AQ623" s="1423"/>
      <c r="AR623" s="1423"/>
      <c r="AS623" s="1423"/>
      <c r="AT623" s="3"/>
      <c r="AU623" s="3"/>
      <c r="AV623" s="3"/>
      <c r="AW623" s="3"/>
      <c r="AX623" s="3"/>
      <c r="AY623" s="3"/>
      <c r="AZ623" s="3"/>
      <c r="BA623" s="3" t="s">
        <v>1327</v>
      </c>
      <c r="BB623" s="3"/>
      <c r="BC623" s="3"/>
      <c r="BD623" s="3"/>
      <c r="BE623" s="3"/>
      <c r="BF623" s="3"/>
      <c r="BG623" s="3"/>
      <c r="BH623" s="3"/>
      <c r="BI623" s="3"/>
      <c r="BJ623" s="3"/>
      <c r="BK623" s="3"/>
      <c r="BL623" s="3"/>
      <c r="BM623" s="3"/>
      <c r="BR623" s="897">
        <f>BN621*1</f>
        <v>0</v>
      </c>
      <c r="BS623" s="3"/>
      <c r="BT623" s="3"/>
      <c r="BU623" s="3"/>
      <c r="BV623" s="3"/>
      <c r="BW623" s="897">
        <f>BS621*1</f>
        <v>57</v>
      </c>
      <c r="BX623" s="3"/>
      <c r="BY623" s="3"/>
      <c r="BZ623" s="3"/>
      <c r="CA623" s="3"/>
      <c r="CB623" s="897">
        <f>BX621*2</f>
        <v>134</v>
      </c>
      <c r="CC623" s="3"/>
      <c r="CD623" s="3"/>
      <c r="CE623" s="3"/>
      <c r="CF623" s="3"/>
      <c r="CG623" s="897">
        <f>CC621*3</f>
        <v>126</v>
      </c>
      <c r="CH623" s="3"/>
      <c r="CI623" s="3"/>
      <c r="CJ623" s="3"/>
      <c r="CK623" s="3"/>
      <c r="CL623" s="897">
        <f>CH621*4</f>
        <v>0</v>
      </c>
      <c r="CM623" s="3"/>
      <c r="CN623" s="3"/>
      <c r="CO623" s="3"/>
      <c r="CP623" s="3"/>
      <c r="CQ623" s="897">
        <f>CM621*5</f>
        <v>0</v>
      </c>
      <c r="CS623" s="897">
        <f>BR623+BW623+CB623+CG623+CL623+CQ623</f>
        <v>317</v>
      </c>
      <c r="CT623" s="57" t="s">
        <v>2125</v>
      </c>
      <c r="CU623" s="3"/>
      <c r="CV623" s="3"/>
      <c r="CW623" s="3"/>
      <c r="CX623" s="3"/>
      <c r="CY623" s="3"/>
      <c r="CZ623" s="3"/>
      <c r="DA623" s="3"/>
      <c r="DB623" s="3"/>
      <c r="DC623" s="3"/>
      <c r="DD623" s="3"/>
      <c r="DE623" s="3"/>
      <c r="DF623" s="3"/>
    </row>
    <row r="624" spans="1:157" ht="12.95" customHeight="1">
      <c r="B624" s="52" t="s">
        <v>114</v>
      </c>
      <c r="C624" s="1370" t="s">
        <v>2717</v>
      </c>
      <c r="D624" s="1370"/>
      <c r="E624" s="1370"/>
      <c r="F624" s="1370"/>
      <c r="G624" s="1370"/>
      <c r="H624" s="1370"/>
      <c r="I624" s="1370"/>
      <c r="J624" s="1370"/>
      <c r="K624" s="1370"/>
      <c r="L624" s="1370"/>
      <c r="M624" s="1389" t="s">
        <v>1327</v>
      </c>
      <c r="N624" s="1389"/>
      <c r="O624" s="1389"/>
      <c r="P624" s="1389"/>
      <c r="Q624" s="1380"/>
      <c r="R624" s="1381"/>
      <c r="S624" s="1382"/>
      <c r="T624" s="1380"/>
      <c r="U624" s="1381"/>
      <c r="V624" s="1382"/>
      <c r="W624" s="1355"/>
      <c r="X624" s="1356"/>
      <c r="Y624" s="1357"/>
      <c r="Z624" s="1377" t="s">
        <v>1327</v>
      </c>
      <c r="AA624" s="1378"/>
      <c r="AB624" s="1379"/>
      <c r="AC624" s="1429"/>
      <c r="AD624" s="1430"/>
      <c r="AE624" s="1431"/>
      <c r="AF624" s="1364"/>
      <c r="AG624" s="1365"/>
      <c r="AH624" s="1365"/>
      <c r="AI624" s="1365"/>
      <c r="AJ624" s="1366"/>
      <c r="AK624" s="1424"/>
      <c r="AL624" s="1425"/>
      <c r="AM624" s="1425"/>
      <c r="AN624" s="1426"/>
      <c r="AO624" s="1420">
        <v>1662112</v>
      </c>
      <c r="AP624" s="1421"/>
      <c r="AQ624" s="1421"/>
      <c r="AR624" s="1421"/>
      <c r="AS624" s="1422"/>
      <c r="AT624" s="1201" t="str">
        <f>IF(AND(NOT(C623=""),C624="",NOT(C625="")),"!","")</f>
        <v/>
      </c>
      <c r="AU624" s="3"/>
      <c r="AV624" s="3"/>
      <c r="AW624" s="3"/>
      <c r="AX624" s="3"/>
      <c r="AY624" s="3"/>
      <c r="AZ624" s="34"/>
      <c r="BA624" s="3" t="s">
        <v>467</v>
      </c>
      <c r="BB624" s="34"/>
      <c r="BC624" s="34"/>
      <c r="BD624" s="34"/>
      <c r="BE624" s="34"/>
      <c r="BF624" s="34"/>
      <c r="BG624" s="34"/>
      <c r="BH624" s="34"/>
      <c r="BI624" s="34"/>
      <c r="BJ624" s="34"/>
      <c r="BK624" s="34"/>
      <c r="BL624" s="34"/>
      <c r="BM624" s="34"/>
      <c r="CR624" s="6"/>
      <c r="CS624" s="3"/>
      <c r="CT624" s="3"/>
      <c r="CU624" s="3"/>
      <c r="CV624" s="3"/>
      <c r="CW624" s="3"/>
      <c r="CX624" s="3"/>
      <c r="CY624" s="3"/>
      <c r="CZ624" s="3"/>
      <c r="DA624" s="3"/>
      <c r="DB624" s="3"/>
      <c r="DC624" s="3"/>
      <c r="DD624" s="3"/>
      <c r="DE624" s="3"/>
      <c r="DF624" s="3"/>
      <c r="DX624" s="1406" t="e">
        <f t="shared" ref="DX624:DX648" si="23">DX596*(BN596/$BN$621)</f>
        <v>#VALUE!</v>
      </c>
      <c r="DY624" s="1406"/>
      <c r="DZ624" s="1406"/>
      <c r="EA624" s="1406"/>
      <c r="EB624" s="1406"/>
      <c r="EC624" s="1406">
        <f t="shared" ref="EC624:EC648" si="24">EC596*(BS596/$BS$621)</f>
        <v>27.421052631578945</v>
      </c>
      <c r="ED624" s="1406"/>
      <c r="EE624" s="1406"/>
      <c r="EF624" s="1406"/>
      <c r="EG624" s="1406"/>
      <c r="EH624" s="1406" t="e">
        <f t="shared" ref="EH624:EH648" si="25">EH596*(BX596/$BX$621)</f>
        <v>#VALUE!</v>
      </c>
      <c r="EI624" s="1406"/>
      <c r="EJ624" s="1406"/>
      <c r="EK624" s="1406"/>
      <c r="EL624" s="1406"/>
      <c r="EM624" s="1406" t="e">
        <f t="shared" ref="EM624:EM648" si="26">EM596*(CC596/$CC$621)</f>
        <v>#VALUE!</v>
      </c>
      <c r="EN624" s="1406"/>
      <c r="EO624" s="1406"/>
      <c r="EP624" s="1406"/>
      <c r="EQ624" s="1406"/>
      <c r="ER624" s="1406" t="e">
        <f t="shared" ref="ER624:ER648" si="27">ER596*(CH596/$CH$621)</f>
        <v>#VALUE!</v>
      </c>
      <c r="ES624" s="1406"/>
      <c r="ET624" s="1406"/>
      <c r="EU624" s="1406"/>
      <c r="EV624" s="1406"/>
      <c r="EW624" s="1406" t="e">
        <f t="shared" ref="EW624:EW648" si="28">EW596*(CM596/$CM$621)</f>
        <v>#VALUE!</v>
      </c>
      <c r="EX624" s="1406"/>
      <c r="EY624" s="1406"/>
      <c r="EZ624" s="1406"/>
      <c r="FA624" s="1406"/>
    </row>
    <row r="625" spans="1:157" ht="12.95" customHeight="1">
      <c r="B625" s="52" t="s">
        <v>120</v>
      </c>
      <c r="C625" s="1370" t="s">
        <v>2652</v>
      </c>
      <c r="D625" s="1370"/>
      <c r="E625" s="1370"/>
      <c r="F625" s="1370"/>
      <c r="G625" s="1370"/>
      <c r="H625" s="1370"/>
      <c r="I625" s="1370"/>
      <c r="J625" s="1370"/>
      <c r="K625" s="1370"/>
      <c r="L625" s="1370"/>
      <c r="M625" s="1389" t="s">
        <v>2534</v>
      </c>
      <c r="N625" s="1389"/>
      <c r="O625" s="1389"/>
      <c r="P625" s="1389"/>
      <c r="Q625" s="1380">
        <v>216</v>
      </c>
      <c r="R625" s="1381"/>
      <c r="S625" s="1382"/>
      <c r="T625" s="1380">
        <v>180</v>
      </c>
      <c r="U625" s="1381"/>
      <c r="V625" s="1382"/>
      <c r="W625" s="1355">
        <v>0</v>
      </c>
      <c r="X625" s="1356"/>
      <c r="Y625" s="1357"/>
      <c r="Z625" s="1377" t="s">
        <v>467</v>
      </c>
      <c r="AA625" s="1378"/>
      <c r="AB625" s="1379"/>
      <c r="AC625" s="1429"/>
      <c r="AD625" s="1430"/>
      <c r="AE625" s="1431"/>
      <c r="AF625" s="1364"/>
      <c r="AG625" s="1365"/>
      <c r="AH625" s="1365"/>
      <c r="AI625" s="1365"/>
      <c r="AJ625" s="1366"/>
      <c r="AK625" s="1424"/>
      <c r="AL625" s="1425"/>
      <c r="AM625" s="1425"/>
      <c r="AN625" s="1426"/>
      <c r="AO625" s="1420">
        <v>5534440</v>
      </c>
      <c r="AP625" s="1421"/>
      <c r="AQ625" s="1421"/>
      <c r="AR625" s="1421"/>
      <c r="AS625" s="1422"/>
      <c r="AT625" s="1201" t="str">
        <f t="shared" ref="AT625:AT634" si="29">IF(AND(NOT(C624=""),C625="",NOT(C626="")),"!","")</f>
        <v/>
      </c>
      <c r="AU625" s="3"/>
      <c r="AV625" s="3"/>
      <c r="AW625" s="3"/>
      <c r="AX625" s="3"/>
      <c r="AY625" s="3"/>
      <c r="AZ625" s="34"/>
      <c r="BA625" s="3" t="s">
        <v>466</v>
      </c>
      <c r="BB625" s="34"/>
      <c r="BC625" s="34"/>
      <c r="BD625" s="34"/>
      <c r="BE625" s="34"/>
      <c r="BF625" s="34"/>
      <c r="BG625" s="34"/>
      <c r="BH625" s="34"/>
      <c r="BI625" s="34"/>
      <c r="BJ625" s="34"/>
      <c r="BK625" s="34"/>
      <c r="BL625" s="34"/>
      <c r="BM625" s="34"/>
      <c r="BN625" s="3" t="s">
        <v>104</v>
      </c>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6"/>
      <c r="CS625" s="3"/>
      <c r="CT625" s="3"/>
      <c r="CU625" s="3"/>
      <c r="CV625" s="3"/>
      <c r="CW625" s="3"/>
      <c r="CX625" s="3"/>
      <c r="CY625" s="3"/>
      <c r="CZ625" s="3"/>
      <c r="DA625" s="3"/>
      <c r="DB625" s="3"/>
      <c r="DC625" s="3"/>
      <c r="DD625" s="3"/>
      <c r="DE625" s="3"/>
      <c r="DF625" s="3"/>
      <c r="DX625" s="1406" t="e">
        <f t="shared" si="23"/>
        <v>#VALUE!</v>
      </c>
      <c r="DY625" s="1406"/>
      <c r="DZ625" s="1406"/>
      <c r="EA625" s="1406"/>
      <c r="EB625" s="1406"/>
      <c r="EC625" s="1406">
        <f t="shared" si="24"/>
        <v>27.421052631578945</v>
      </c>
      <c r="ED625" s="1406"/>
      <c r="EE625" s="1406"/>
      <c r="EF625" s="1406"/>
      <c r="EG625" s="1406"/>
      <c r="EH625" s="1406" t="e">
        <f t="shared" si="25"/>
        <v>#VALUE!</v>
      </c>
      <c r="EI625" s="1406"/>
      <c r="EJ625" s="1406"/>
      <c r="EK625" s="1406"/>
      <c r="EL625" s="1406"/>
      <c r="EM625" s="1406" t="e">
        <f t="shared" si="26"/>
        <v>#VALUE!</v>
      </c>
      <c r="EN625" s="1406"/>
      <c r="EO625" s="1406"/>
      <c r="EP625" s="1406"/>
      <c r="EQ625" s="1406"/>
      <c r="ER625" s="1406" t="e">
        <f t="shared" si="27"/>
        <v>#VALUE!</v>
      </c>
      <c r="ES625" s="1406"/>
      <c r="ET625" s="1406"/>
      <c r="EU625" s="1406"/>
      <c r="EV625" s="1406"/>
      <c r="EW625" s="1406" t="e">
        <f t="shared" si="28"/>
        <v>#VALUE!</v>
      </c>
      <c r="EX625" s="1406"/>
      <c r="EY625" s="1406"/>
      <c r="EZ625" s="1406"/>
      <c r="FA625" s="1406"/>
    </row>
    <row r="626" spans="1:157" ht="12.95" customHeight="1">
      <c r="B626" s="52" t="s">
        <v>590</v>
      </c>
      <c r="C626" s="1349"/>
      <c r="D626" s="1349"/>
      <c r="E626" s="1349"/>
      <c r="F626" s="1349"/>
      <c r="G626" s="1349"/>
      <c r="H626" s="1349"/>
      <c r="I626" s="1349"/>
      <c r="J626" s="1349"/>
      <c r="K626" s="1349"/>
      <c r="L626" s="1349"/>
      <c r="M626" s="1389" t="s">
        <v>1327</v>
      </c>
      <c r="N626" s="1389"/>
      <c r="O626" s="1389"/>
      <c r="P626" s="1389"/>
      <c r="Q626" s="1380"/>
      <c r="R626" s="1381"/>
      <c r="S626" s="1382"/>
      <c r="T626" s="1380"/>
      <c r="U626" s="1381"/>
      <c r="V626" s="1382"/>
      <c r="W626" s="1355"/>
      <c r="X626" s="1356"/>
      <c r="Y626" s="1357"/>
      <c r="Z626" s="1377" t="s">
        <v>1327</v>
      </c>
      <c r="AA626" s="1378"/>
      <c r="AB626" s="1379"/>
      <c r="AC626" s="1429"/>
      <c r="AD626" s="1430"/>
      <c r="AE626" s="1431"/>
      <c r="AF626" s="1364"/>
      <c r="AG626" s="1365"/>
      <c r="AH626" s="1365"/>
      <c r="AI626" s="1365"/>
      <c r="AJ626" s="1366"/>
      <c r="AK626" s="1424"/>
      <c r="AL626" s="1425"/>
      <c r="AM626" s="1425"/>
      <c r="AN626" s="1426"/>
      <c r="AO626" s="1420"/>
      <c r="AP626" s="1421"/>
      <c r="AQ626" s="1421"/>
      <c r="AR626" s="1421"/>
      <c r="AS626" s="1422"/>
      <c r="AT626" s="1201" t="str">
        <f t="shared" si="29"/>
        <v/>
      </c>
      <c r="AU626" s="3"/>
      <c r="AV626" s="3"/>
      <c r="AW626" s="3"/>
      <c r="AX626" s="3"/>
      <c r="AY626" s="3"/>
      <c r="AZ626" s="34"/>
      <c r="BA626" s="3" t="s">
        <v>2559</v>
      </c>
      <c r="BB626" s="34"/>
      <c r="BC626" s="34"/>
      <c r="BD626" s="34"/>
      <c r="BE626" s="34"/>
      <c r="BF626" s="34"/>
      <c r="BG626" s="34"/>
      <c r="BH626" s="34"/>
      <c r="BI626" s="34"/>
      <c r="BJ626" s="34"/>
      <c r="BK626" s="34"/>
      <c r="BL626" s="34"/>
      <c r="BM626" s="34"/>
      <c r="BN626" s="1408">
        <f>IF(J758="SRO/Studio",O758,0)</f>
        <v>0</v>
      </c>
      <c r="BO626" s="1409"/>
      <c r="BP626" s="1409"/>
      <c r="BQ626" s="1409"/>
      <c r="BR626" s="1410"/>
      <c r="BS626" s="1417">
        <f>IF(J758="1 Bedroom",O758,0)</f>
        <v>0</v>
      </c>
      <c r="BT626" s="1417"/>
      <c r="BU626" s="1417"/>
      <c r="BV626" s="1417"/>
      <c r="BW626" s="1417"/>
      <c r="BX626" s="1417">
        <f>IF(J758="2 Bedrooms",O758,0)</f>
        <v>2</v>
      </c>
      <c r="BY626" s="1417"/>
      <c r="BZ626" s="1417"/>
      <c r="CA626" s="1417"/>
      <c r="CB626" s="1417"/>
      <c r="CC626" s="1417">
        <f>IF(J758="3 Bedrooms",O758,0)</f>
        <v>0</v>
      </c>
      <c r="CD626" s="1417"/>
      <c r="CE626" s="1417"/>
      <c r="CF626" s="1417"/>
      <c r="CG626" s="1417"/>
      <c r="CH626" s="1417">
        <f>IF(J758="4 Bedrooms",O758,0)</f>
        <v>0</v>
      </c>
      <c r="CI626" s="1417"/>
      <c r="CJ626" s="1417"/>
      <c r="CK626" s="1417"/>
      <c r="CL626" s="1417"/>
      <c r="CM626" s="1417">
        <f>IF(J758="5 Bedrooms",O758,0)</f>
        <v>0</v>
      </c>
      <c r="CN626" s="1417"/>
      <c r="CO626" s="1417"/>
      <c r="CP626" s="1417"/>
      <c r="CQ626" s="1417"/>
      <c r="CR626" s="6"/>
      <c r="CS626" s="3"/>
      <c r="CT626" s="3"/>
      <c r="CU626" s="3"/>
      <c r="CV626" s="3"/>
      <c r="CW626" s="3"/>
      <c r="CX626" s="3"/>
      <c r="CY626" s="3"/>
      <c r="CZ626" s="3"/>
      <c r="DA626" s="3"/>
      <c r="DB626" s="3"/>
      <c r="DC626" s="3"/>
      <c r="DD626" s="3"/>
      <c r="DE626" s="3"/>
      <c r="DF626" s="3"/>
      <c r="DX626" s="1406" t="e">
        <f t="shared" si="23"/>
        <v>#VALUE!</v>
      </c>
      <c r="DY626" s="1406"/>
      <c r="DZ626" s="1406"/>
      <c r="EA626" s="1406"/>
      <c r="EB626" s="1406"/>
      <c r="EC626" s="1406">
        <f t="shared" si="24"/>
        <v>268.71929824561403</v>
      </c>
      <c r="ED626" s="1406"/>
      <c r="EE626" s="1406"/>
      <c r="EF626" s="1406"/>
      <c r="EG626" s="1406"/>
      <c r="EH626" s="1406" t="e">
        <f t="shared" si="25"/>
        <v>#VALUE!</v>
      </c>
      <c r="EI626" s="1406"/>
      <c r="EJ626" s="1406"/>
      <c r="EK626" s="1406"/>
      <c r="EL626" s="1406"/>
      <c r="EM626" s="1406" t="e">
        <f t="shared" si="26"/>
        <v>#VALUE!</v>
      </c>
      <c r="EN626" s="1406"/>
      <c r="EO626" s="1406"/>
      <c r="EP626" s="1406"/>
      <c r="EQ626" s="1406"/>
      <c r="ER626" s="1406" t="e">
        <f t="shared" si="27"/>
        <v>#VALUE!</v>
      </c>
      <c r="ES626" s="1406"/>
      <c r="ET626" s="1406"/>
      <c r="EU626" s="1406"/>
      <c r="EV626" s="1406"/>
      <c r="EW626" s="1406" t="e">
        <f t="shared" si="28"/>
        <v>#VALUE!</v>
      </c>
      <c r="EX626" s="1406"/>
      <c r="EY626" s="1406"/>
      <c r="EZ626" s="1406"/>
      <c r="FA626" s="1406"/>
    </row>
    <row r="627" spans="1:157" ht="12.95" customHeight="1">
      <c r="B627" s="52" t="s">
        <v>787</v>
      </c>
      <c r="C627" s="1349"/>
      <c r="D627" s="1349"/>
      <c r="E627" s="1349"/>
      <c r="F627" s="1349"/>
      <c r="G627" s="1349"/>
      <c r="H627" s="1349"/>
      <c r="I627" s="1349"/>
      <c r="J627" s="1349"/>
      <c r="K627" s="1349"/>
      <c r="L627" s="1349"/>
      <c r="M627" s="1389" t="s">
        <v>1327</v>
      </c>
      <c r="N627" s="1389"/>
      <c r="O627" s="1389"/>
      <c r="P627" s="1389"/>
      <c r="Q627" s="1380"/>
      <c r="R627" s="1381"/>
      <c r="S627" s="1382"/>
      <c r="T627" s="1380"/>
      <c r="U627" s="1381"/>
      <c r="V627" s="1382"/>
      <c r="W627" s="1355"/>
      <c r="X627" s="1356"/>
      <c r="Y627" s="1357"/>
      <c r="Z627" s="1377" t="s">
        <v>1327</v>
      </c>
      <c r="AA627" s="1378"/>
      <c r="AB627" s="1379"/>
      <c r="AC627" s="1429"/>
      <c r="AD627" s="1430"/>
      <c r="AE627" s="1431"/>
      <c r="AF627" s="1364"/>
      <c r="AG627" s="1365"/>
      <c r="AH627" s="1365"/>
      <c r="AI627" s="1365"/>
      <c r="AJ627" s="1366"/>
      <c r="AK627" s="1424"/>
      <c r="AL627" s="1425"/>
      <c r="AM627" s="1425"/>
      <c r="AN627" s="1426"/>
      <c r="AO627" s="1420"/>
      <c r="AP627" s="1421"/>
      <c r="AQ627" s="1421"/>
      <c r="AR627" s="1421"/>
      <c r="AS627" s="1422"/>
      <c r="AT627" s="1201" t="str">
        <f t="shared" si="29"/>
        <v/>
      </c>
      <c r="AU627" s="3"/>
      <c r="AV627" s="3"/>
      <c r="AW627" s="3"/>
      <c r="AX627" s="3"/>
      <c r="AY627" s="3"/>
      <c r="AZ627" s="34"/>
      <c r="BA627" s="3" t="s">
        <v>301</v>
      </c>
      <c r="BB627" s="34"/>
      <c r="BC627" s="34"/>
      <c r="BD627" s="34"/>
      <c r="BE627" s="34"/>
      <c r="BF627" s="34"/>
      <c r="BG627" s="34"/>
      <c r="BH627" s="34"/>
      <c r="BI627" s="34"/>
      <c r="BJ627" s="34"/>
      <c r="BK627" s="34"/>
      <c r="BL627" s="34"/>
      <c r="BM627" s="34"/>
      <c r="BN627" s="1408">
        <f>IF(J759="SRO/Studio",O759,0)</f>
        <v>0</v>
      </c>
      <c r="BO627" s="1409"/>
      <c r="BP627" s="1409"/>
      <c r="BQ627" s="1409"/>
      <c r="BR627" s="1410"/>
      <c r="BS627" s="1417">
        <f>IF(J759="1 Bedroom",O759,0)</f>
        <v>0</v>
      </c>
      <c r="BT627" s="1417"/>
      <c r="BU627" s="1417"/>
      <c r="BV627" s="1417"/>
      <c r="BW627" s="1417"/>
      <c r="BX627" s="1417">
        <f>IF(J759="2 Bedrooms",O759,0)</f>
        <v>0</v>
      </c>
      <c r="BY627" s="1417"/>
      <c r="BZ627" s="1417"/>
      <c r="CA627" s="1417"/>
      <c r="CB627" s="1417"/>
      <c r="CC627" s="1417">
        <f>IF(J759="3 Bedrooms",O759,0)</f>
        <v>0</v>
      </c>
      <c r="CD627" s="1417"/>
      <c r="CE627" s="1417"/>
      <c r="CF627" s="1417"/>
      <c r="CG627" s="1417"/>
      <c r="CH627" s="1417">
        <f>IF(J759="4 Bedrooms",O759,0)</f>
        <v>0</v>
      </c>
      <c r="CI627" s="1417"/>
      <c r="CJ627" s="1417"/>
      <c r="CK627" s="1417"/>
      <c r="CL627" s="1417"/>
      <c r="CM627" s="1417">
        <f>IF(J759="5 Bedrooms",O759,0)</f>
        <v>0</v>
      </c>
      <c r="CN627" s="1417"/>
      <c r="CO627" s="1417"/>
      <c r="CP627" s="1417"/>
      <c r="CQ627" s="1417"/>
      <c r="CR627" s="6"/>
      <c r="CS627" s="3"/>
      <c r="CT627" s="3"/>
      <c r="CU627" s="3"/>
      <c r="CV627" s="3"/>
      <c r="CW627" s="3"/>
      <c r="CX627" s="3"/>
      <c r="CY627" s="3"/>
      <c r="CZ627" s="3"/>
      <c r="DA627" s="3"/>
      <c r="DB627" s="3"/>
      <c r="DC627" s="3"/>
      <c r="DD627" s="3"/>
      <c r="DE627" s="3"/>
      <c r="DF627" s="3"/>
      <c r="DX627" s="1406" t="e">
        <f t="shared" si="23"/>
        <v>#VALUE!</v>
      </c>
      <c r="DY627" s="1406"/>
      <c r="DZ627" s="1406"/>
      <c r="EA627" s="1406"/>
      <c r="EB627" s="1406"/>
      <c r="EC627" s="1406">
        <f t="shared" si="24"/>
        <v>764.10526315789468</v>
      </c>
      <c r="ED627" s="1406"/>
      <c r="EE627" s="1406"/>
      <c r="EF627" s="1406"/>
      <c r="EG627" s="1406"/>
      <c r="EH627" s="1406" t="e">
        <f t="shared" si="25"/>
        <v>#VALUE!</v>
      </c>
      <c r="EI627" s="1406"/>
      <c r="EJ627" s="1406"/>
      <c r="EK627" s="1406"/>
      <c r="EL627" s="1406"/>
      <c r="EM627" s="1406" t="e">
        <f t="shared" si="26"/>
        <v>#VALUE!</v>
      </c>
      <c r="EN627" s="1406"/>
      <c r="EO627" s="1406"/>
      <c r="EP627" s="1406"/>
      <c r="EQ627" s="1406"/>
      <c r="ER627" s="1406" t="e">
        <f t="shared" si="27"/>
        <v>#VALUE!</v>
      </c>
      <c r="ES627" s="1406"/>
      <c r="ET627" s="1406"/>
      <c r="EU627" s="1406"/>
      <c r="EV627" s="1406"/>
      <c r="EW627" s="1406" t="e">
        <f t="shared" si="28"/>
        <v>#VALUE!</v>
      </c>
      <c r="EX627" s="1406"/>
      <c r="EY627" s="1406"/>
      <c r="EZ627" s="1406"/>
      <c r="FA627" s="1406"/>
    </row>
    <row r="628" spans="1:157" ht="12.95" customHeight="1">
      <c r="B628" s="52" t="s">
        <v>593</v>
      </c>
      <c r="C628" s="1349"/>
      <c r="D628" s="1349"/>
      <c r="E628" s="1349"/>
      <c r="F628" s="1349"/>
      <c r="G628" s="1349"/>
      <c r="H628" s="1349"/>
      <c r="I628" s="1349"/>
      <c r="J628" s="1349"/>
      <c r="K628" s="1349"/>
      <c r="L628" s="1349"/>
      <c r="M628" s="1389" t="s">
        <v>1327</v>
      </c>
      <c r="N628" s="1389"/>
      <c r="O628" s="1389"/>
      <c r="P628" s="1389"/>
      <c r="Q628" s="1380"/>
      <c r="R628" s="1381"/>
      <c r="S628" s="1382"/>
      <c r="T628" s="1380"/>
      <c r="U628" s="1381"/>
      <c r="V628" s="1382"/>
      <c r="W628" s="1355"/>
      <c r="X628" s="1356"/>
      <c r="Y628" s="1357"/>
      <c r="Z628" s="1377" t="s">
        <v>1327</v>
      </c>
      <c r="AA628" s="1378"/>
      <c r="AB628" s="1379"/>
      <c r="AC628" s="1429"/>
      <c r="AD628" s="1430"/>
      <c r="AE628" s="1431"/>
      <c r="AF628" s="1364"/>
      <c r="AG628" s="1365"/>
      <c r="AH628" s="1365"/>
      <c r="AI628" s="1365"/>
      <c r="AJ628" s="1366"/>
      <c r="AK628" s="1424"/>
      <c r="AL628" s="1425"/>
      <c r="AM628" s="1425"/>
      <c r="AN628" s="1426"/>
      <c r="AO628" s="1420"/>
      <c r="AP628" s="1421"/>
      <c r="AQ628" s="1421"/>
      <c r="AR628" s="1421"/>
      <c r="AS628" s="1422"/>
      <c r="AT628" s="1201" t="str">
        <f t="shared" si="29"/>
        <v/>
      </c>
      <c r="AU628" s="3"/>
      <c r="AV628" s="3"/>
      <c r="AW628" s="3"/>
      <c r="AX628" s="3"/>
      <c r="AY628" s="3"/>
      <c r="AZ628" s="34"/>
      <c r="BA628" s="34"/>
      <c r="BB628" s="34"/>
      <c r="BC628" s="34"/>
      <c r="BD628" s="34"/>
      <c r="BE628" s="34"/>
      <c r="BF628" s="34"/>
      <c r="BG628" s="34"/>
      <c r="BH628" s="34"/>
      <c r="BI628" s="34"/>
      <c r="BJ628" s="34"/>
      <c r="BK628" s="34"/>
      <c r="BL628" s="34"/>
      <c r="BM628" s="34"/>
      <c r="BN628" s="1408">
        <f>IF(J760="SRO/Studio",O760,0)</f>
        <v>0</v>
      </c>
      <c r="BO628" s="1409"/>
      <c r="BP628" s="1409"/>
      <c r="BQ628" s="1409"/>
      <c r="BR628" s="1410"/>
      <c r="BS628" s="1417">
        <f>IF(J760="1 Bedroom",O760,0)</f>
        <v>0</v>
      </c>
      <c r="BT628" s="1417"/>
      <c r="BU628" s="1417"/>
      <c r="BV628" s="1417"/>
      <c r="BW628" s="1417"/>
      <c r="BX628" s="1417">
        <f>IF(J760="2 Bedrooms",O760,0)</f>
        <v>0</v>
      </c>
      <c r="BY628" s="1417"/>
      <c r="BZ628" s="1417"/>
      <c r="CA628" s="1417"/>
      <c r="CB628" s="1417"/>
      <c r="CC628" s="1417">
        <f>IF(J760="3 Bedrooms",O760,0)</f>
        <v>0</v>
      </c>
      <c r="CD628" s="1417"/>
      <c r="CE628" s="1417"/>
      <c r="CF628" s="1417"/>
      <c r="CG628" s="1417"/>
      <c r="CH628" s="1417">
        <f>IF(J760="4 Bedrooms",O760,0)</f>
        <v>0</v>
      </c>
      <c r="CI628" s="1417"/>
      <c r="CJ628" s="1417"/>
      <c r="CK628" s="1417"/>
      <c r="CL628" s="1417"/>
      <c r="CM628" s="1417">
        <f>IF(J760="5 Bedrooms",O760,0)</f>
        <v>0</v>
      </c>
      <c r="CN628" s="1417"/>
      <c r="CO628" s="1417"/>
      <c r="CP628" s="1417"/>
      <c r="CQ628" s="1417"/>
      <c r="CR628" s="1049"/>
      <c r="CV628" s="3"/>
      <c r="CW628" s="3"/>
      <c r="CX628" s="3"/>
      <c r="CY628" s="3"/>
      <c r="CZ628" s="3"/>
      <c r="DA628" s="3"/>
      <c r="DB628" s="3"/>
      <c r="DC628" s="3"/>
      <c r="DD628" s="3"/>
      <c r="DE628" s="3"/>
      <c r="DF628" s="3"/>
      <c r="DX628" s="1406" t="e">
        <f t="shared" si="23"/>
        <v>#VALUE!</v>
      </c>
      <c r="DY628" s="1406"/>
      <c r="DZ628" s="1406"/>
      <c r="EA628" s="1406"/>
      <c r="EB628" s="1406"/>
      <c r="EC628" s="1406" t="e">
        <f t="shared" si="24"/>
        <v>#VALUE!</v>
      </c>
      <c r="ED628" s="1406"/>
      <c r="EE628" s="1406"/>
      <c r="EF628" s="1406"/>
      <c r="EG628" s="1406"/>
      <c r="EH628" s="1406">
        <f t="shared" si="25"/>
        <v>18.626865671641792</v>
      </c>
      <c r="EI628" s="1406"/>
      <c r="EJ628" s="1406"/>
      <c r="EK628" s="1406"/>
      <c r="EL628" s="1406"/>
      <c r="EM628" s="1406" t="e">
        <f t="shared" si="26"/>
        <v>#VALUE!</v>
      </c>
      <c r="EN628" s="1406"/>
      <c r="EO628" s="1406"/>
      <c r="EP628" s="1406"/>
      <c r="EQ628" s="1406"/>
      <c r="ER628" s="1406" t="e">
        <f t="shared" si="27"/>
        <v>#VALUE!</v>
      </c>
      <c r="ES628" s="1406"/>
      <c r="ET628" s="1406"/>
      <c r="EU628" s="1406"/>
      <c r="EV628" s="1406"/>
      <c r="EW628" s="1406" t="e">
        <f t="shared" si="28"/>
        <v>#VALUE!</v>
      </c>
      <c r="EX628" s="1406"/>
      <c r="EY628" s="1406"/>
      <c r="EZ628" s="1406"/>
      <c r="FA628" s="1406"/>
    </row>
    <row r="629" spans="1:157" ht="12.95" customHeight="1">
      <c r="B629" s="52" t="s">
        <v>464</v>
      </c>
      <c r="C629" s="1349"/>
      <c r="D629" s="1349"/>
      <c r="E629" s="1349"/>
      <c r="F629" s="1349"/>
      <c r="G629" s="1349"/>
      <c r="H629" s="1349"/>
      <c r="I629" s="1349"/>
      <c r="J629" s="1349"/>
      <c r="K629" s="1349"/>
      <c r="L629" s="1349"/>
      <c r="M629" s="1389" t="s">
        <v>1327</v>
      </c>
      <c r="N629" s="1389"/>
      <c r="O629" s="1389"/>
      <c r="P629" s="1389"/>
      <c r="Q629" s="1380"/>
      <c r="R629" s="1381"/>
      <c r="S629" s="1382"/>
      <c r="T629" s="1380"/>
      <c r="U629" s="1381"/>
      <c r="V629" s="1382"/>
      <c r="W629" s="1355"/>
      <c r="X629" s="1356"/>
      <c r="Y629" s="1357"/>
      <c r="Z629" s="1377" t="s">
        <v>1327</v>
      </c>
      <c r="AA629" s="1378"/>
      <c r="AB629" s="1379"/>
      <c r="AC629" s="1429"/>
      <c r="AD629" s="1430"/>
      <c r="AE629" s="1431"/>
      <c r="AF629" s="1364"/>
      <c r="AG629" s="1365"/>
      <c r="AH629" s="1365"/>
      <c r="AI629" s="1365"/>
      <c r="AJ629" s="1366"/>
      <c r="AK629" s="1424"/>
      <c r="AL629" s="1425"/>
      <c r="AM629" s="1425"/>
      <c r="AN629" s="1426"/>
      <c r="AO629" s="1420"/>
      <c r="AP629" s="1421"/>
      <c r="AQ629" s="1421"/>
      <c r="AR629" s="1421"/>
      <c r="AS629" s="1422"/>
      <c r="AT629" s="1201" t="str">
        <f t="shared" si="29"/>
        <v/>
      </c>
      <c r="AU629" s="3"/>
      <c r="AV629" s="3"/>
      <c r="AW629" s="3"/>
      <c r="AX629" s="3"/>
      <c r="AY629" s="3"/>
      <c r="AZ629" s="34"/>
      <c r="BA629" s="34"/>
      <c r="BB629" s="34"/>
      <c r="BC629" s="34"/>
      <c r="BD629" s="34"/>
      <c r="BE629" s="34"/>
      <c r="BF629" s="34"/>
      <c r="BG629" s="34"/>
      <c r="BH629" s="34"/>
      <c r="BI629" s="34"/>
      <c r="BJ629" s="34"/>
      <c r="BK629" s="34"/>
      <c r="BL629" s="34"/>
      <c r="BM629" s="34"/>
      <c r="BN629" s="1408">
        <f>IF(J761="SRO/Studio",O761,0)</f>
        <v>0</v>
      </c>
      <c r="BO629" s="1409"/>
      <c r="BP629" s="1409"/>
      <c r="BQ629" s="1409"/>
      <c r="BR629" s="1410"/>
      <c r="BS629" s="1417">
        <f>IF(J761="1 Bedroom",O761,0)</f>
        <v>0</v>
      </c>
      <c r="BT629" s="1417"/>
      <c r="BU629" s="1417"/>
      <c r="BV629" s="1417"/>
      <c r="BW629" s="1417"/>
      <c r="BX629" s="1417">
        <f>IF(J761="2 Bedrooms",O761,0)</f>
        <v>0</v>
      </c>
      <c r="BY629" s="1417"/>
      <c r="BZ629" s="1417"/>
      <c r="CA629" s="1417"/>
      <c r="CB629" s="1417"/>
      <c r="CC629" s="1417">
        <f>IF(J761="3 Bedrooms",O761,0)</f>
        <v>0</v>
      </c>
      <c r="CD629" s="1417"/>
      <c r="CE629" s="1417"/>
      <c r="CF629" s="1417"/>
      <c r="CG629" s="1417"/>
      <c r="CH629" s="1417">
        <f>IF(J761="4 Bedrooms",O761,0)</f>
        <v>0</v>
      </c>
      <c r="CI629" s="1417"/>
      <c r="CJ629" s="1417"/>
      <c r="CK629" s="1417"/>
      <c r="CL629" s="1417"/>
      <c r="CM629" s="1417">
        <f>IF(J761="5 Bedrooms",O761,0)</f>
        <v>0</v>
      </c>
      <c r="CN629" s="1417"/>
      <c r="CO629" s="1417"/>
      <c r="CP629" s="1417"/>
      <c r="CQ629" s="1417"/>
      <c r="CV629" s="3"/>
      <c r="CW629" s="3"/>
      <c r="CX629" s="3"/>
      <c r="CY629" s="3"/>
      <c r="CZ629" s="3"/>
      <c r="DA629" s="3"/>
      <c r="DB629" s="3"/>
      <c r="DC629" s="3"/>
      <c r="DD629" s="3"/>
      <c r="DE629" s="3"/>
      <c r="DF629" s="3"/>
      <c r="DX629" s="1406" t="e">
        <f t="shared" si="23"/>
        <v>#VALUE!</v>
      </c>
      <c r="DY629" s="1406"/>
      <c r="DZ629" s="1406"/>
      <c r="EA629" s="1406"/>
      <c r="EB629" s="1406"/>
      <c r="EC629" s="1406" t="e">
        <f t="shared" si="24"/>
        <v>#VALUE!</v>
      </c>
      <c r="ED629" s="1406"/>
      <c r="EE629" s="1406"/>
      <c r="EF629" s="1406"/>
      <c r="EG629" s="1406"/>
      <c r="EH629" s="1406">
        <f t="shared" si="25"/>
        <v>18.626865671641792</v>
      </c>
      <c r="EI629" s="1406"/>
      <c r="EJ629" s="1406"/>
      <c r="EK629" s="1406"/>
      <c r="EL629" s="1406"/>
      <c r="EM629" s="1406" t="e">
        <f t="shared" si="26"/>
        <v>#VALUE!</v>
      </c>
      <c r="EN629" s="1406"/>
      <c r="EO629" s="1406"/>
      <c r="EP629" s="1406"/>
      <c r="EQ629" s="1406"/>
      <c r="ER629" s="1406" t="e">
        <f t="shared" si="27"/>
        <v>#VALUE!</v>
      </c>
      <c r="ES629" s="1406"/>
      <c r="ET629" s="1406"/>
      <c r="EU629" s="1406"/>
      <c r="EV629" s="1406"/>
      <c r="EW629" s="1406" t="e">
        <f t="shared" si="28"/>
        <v>#VALUE!</v>
      </c>
      <c r="EX629" s="1406"/>
      <c r="EY629" s="1406"/>
      <c r="EZ629" s="1406"/>
      <c r="FA629" s="1406"/>
    </row>
    <row r="630" spans="1:157" ht="12.95" customHeight="1">
      <c r="B630" s="52" t="s">
        <v>465</v>
      </c>
      <c r="C630" s="1349"/>
      <c r="D630" s="1349"/>
      <c r="E630" s="1349"/>
      <c r="F630" s="1349"/>
      <c r="G630" s="1349"/>
      <c r="H630" s="1349"/>
      <c r="I630" s="1349"/>
      <c r="J630" s="1349"/>
      <c r="K630" s="1349"/>
      <c r="L630" s="1349"/>
      <c r="M630" s="1389" t="s">
        <v>1327</v>
      </c>
      <c r="N630" s="1389"/>
      <c r="O630" s="1389"/>
      <c r="P630" s="1389"/>
      <c r="Q630" s="1380"/>
      <c r="R630" s="1381"/>
      <c r="S630" s="1382"/>
      <c r="T630" s="1380"/>
      <c r="U630" s="1381"/>
      <c r="V630" s="1382"/>
      <c r="W630" s="1355"/>
      <c r="X630" s="1356"/>
      <c r="Y630" s="1357"/>
      <c r="Z630" s="1377" t="s">
        <v>1327</v>
      </c>
      <c r="AA630" s="1378"/>
      <c r="AB630" s="1379"/>
      <c r="AC630" s="1429"/>
      <c r="AD630" s="1430"/>
      <c r="AE630" s="1431"/>
      <c r="AF630" s="1364"/>
      <c r="AG630" s="1365"/>
      <c r="AH630" s="1365"/>
      <c r="AI630" s="1365"/>
      <c r="AJ630" s="1366"/>
      <c r="AK630" s="1424"/>
      <c r="AL630" s="1425"/>
      <c r="AM630" s="1425"/>
      <c r="AN630" s="1426"/>
      <c r="AO630" s="1420"/>
      <c r="AP630" s="1421"/>
      <c r="AQ630" s="1421"/>
      <c r="AR630" s="1421"/>
      <c r="AS630" s="1422"/>
      <c r="AT630" s="1201" t="str">
        <f t="shared" si="29"/>
        <v/>
      </c>
      <c r="AU630" s="3"/>
      <c r="AV630" s="3"/>
      <c r="AW630" s="3"/>
      <c r="AX630" s="3"/>
      <c r="AY630" s="3"/>
      <c r="AZ630" s="34"/>
      <c r="BA630" s="34"/>
      <c r="BB630" s="34"/>
      <c r="BC630" s="34"/>
      <c r="BD630" s="34"/>
      <c r="BE630" s="34"/>
      <c r="BF630" s="34"/>
      <c r="BG630" s="34"/>
      <c r="BH630" s="34"/>
      <c r="BI630" s="34"/>
      <c r="BJ630" s="34"/>
      <c r="BK630" s="34"/>
      <c r="BL630" s="34"/>
      <c r="BM630" s="34"/>
      <c r="BN630" s="1427">
        <f>SUM(BN626:BR629)</f>
        <v>0</v>
      </c>
      <c r="BO630" s="1590"/>
      <c r="BP630" s="1590"/>
      <c r="BQ630" s="1590"/>
      <c r="BR630" s="1428"/>
      <c r="BS630" s="1411">
        <f>SUM(BS626:BW629)</f>
        <v>0</v>
      </c>
      <c r="BT630" s="1412"/>
      <c r="BU630" s="1412"/>
      <c r="BV630" s="1412"/>
      <c r="BW630" s="1413"/>
      <c r="BX630" s="1411">
        <f>SUM(BX626:CB629)</f>
        <v>2</v>
      </c>
      <c r="BY630" s="1412"/>
      <c r="BZ630" s="1412"/>
      <c r="CA630" s="1412"/>
      <c r="CB630" s="1413"/>
      <c r="CC630" s="1411">
        <f>SUM(CC626:CG629)</f>
        <v>0</v>
      </c>
      <c r="CD630" s="1412"/>
      <c r="CE630" s="1412"/>
      <c r="CF630" s="1412"/>
      <c r="CG630" s="1413"/>
      <c r="CH630" s="1411">
        <f>SUM(CH626:CL629)</f>
        <v>0</v>
      </c>
      <c r="CI630" s="1412"/>
      <c r="CJ630" s="1412"/>
      <c r="CK630" s="1412"/>
      <c r="CL630" s="1413"/>
      <c r="CM630" s="1411">
        <f>SUM(CM626:CQ629)</f>
        <v>0</v>
      </c>
      <c r="CN630" s="1412"/>
      <c r="CO630" s="1412"/>
      <c r="CP630" s="1412"/>
      <c r="CQ630" s="1413"/>
      <c r="CS630" s="897">
        <f>BN630+BS630+BX630+CC630+CH630+CM630</f>
        <v>2</v>
      </c>
      <c r="CT630" s="57" t="s">
        <v>2122</v>
      </c>
      <c r="CU630" s="3"/>
      <c r="CV630" s="3"/>
      <c r="CW630" s="3"/>
      <c r="CX630" s="3"/>
      <c r="CY630" s="3"/>
      <c r="CZ630" s="3"/>
      <c r="DA630" s="3"/>
      <c r="DB630" s="3"/>
      <c r="DC630" s="3"/>
      <c r="DD630" s="3"/>
      <c r="DE630" s="3"/>
      <c r="DF630" s="3"/>
      <c r="DX630" s="1406" t="e">
        <f t="shared" si="23"/>
        <v>#VALUE!</v>
      </c>
      <c r="DY630" s="1406"/>
      <c r="DZ630" s="1406"/>
      <c r="EA630" s="1406"/>
      <c r="EB630" s="1406"/>
      <c r="EC630" s="1406" t="e">
        <f t="shared" si="24"/>
        <v>#VALUE!</v>
      </c>
      <c r="ED630" s="1406"/>
      <c r="EE630" s="1406"/>
      <c r="EF630" s="1406"/>
      <c r="EG630" s="1406"/>
      <c r="EH630" s="1406">
        <f t="shared" si="25"/>
        <v>177.31343283582089</v>
      </c>
      <c r="EI630" s="1406"/>
      <c r="EJ630" s="1406"/>
      <c r="EK630" s="1406"/>
      <c r="EL630" s="1406"/>
      <c r="EM630" s="1406" t="e">
        <f t="shared" si="26"/>
        <v>#VALUE!</v>
      </c>
      <c r="EN630" s="1406"/>
      <c r="EO630" s="1406"/>
      <c r="EP630" s="1406"/>
      <c r="EQ630" s="1406"/>
      <c r="ER630" s="1406" t="e">
        <f t="shared" si="27"/>
        <v>#VALUE!</v>
      </c>
      <c r="ES630" s="1406"/>
      <c r="ET630" s="1406"/>
      <c r="EU630" s="1406"/>
      <c r="EV630" s="1406"/>
      <c r="EW630" s="1406" t="e">
        <f t="shared" si="28"/>
        <v>#VALUE!</v>
      </c>
      <c r="EX630" s="1406"/>
      <c r="EY630" s="1406"/>
      <c r="EZ630" s="1406"/>
      <c r="FA630" s="1406"/>
    </row>
    <row r="631" spans="1:157" ht="12.95" customHeight="1">
      <c r="B631" s="52" t="s">
        <v>470</v>
      </c>
      <c r="C631" s="1349"/>
      <c r="D631" s="1349"/>
      <c r="E631" s="1349"/>
      <c r="F631" s="1349"/>
      <c r="G631" s="1349"/>
      <c r="H631" s="1349"/>
      <c r="I631" s="1349"/>
      <c r="J631" s="1349"/>
      <c r="K631" s="1349"/>
      <c r="L631" s="1349"/>
      <c r="M631" s="1389" t="s">
        <v>1327</v>
      </c>
      <c r="N631" s="1389"/>
      <c r="O631" s="1389"/>
      <c r="P631" s="1389"/>
      <c r="Q631" s="1380"/>
      <c r="R631" s="1381"/>
      <c r="S631" s="1382"/>
      <c r="T631" s="1380"/>
      <c r="U631" s="1381"/>
      <c r="V631" s="1382"/>
      <c r="W631" s="1355"/>
      <c r="X631" s="1356"/>
      <c r="Y631" s="1357"/>
      <c r="Z631" s="1377" t="s">
        <v>1327</v>
      </c>
      <c r="AA631" s="1378"/>
      <c r="AB631" s="1379"/>
      <c r="AC631" s="1429"/>
      <c r="AD631" s="1430"/>
      <c r="AE631" s="1431"/>
      <c r="AF631" s="1364"/>
      <c r="AG631" s="1365"/>
      <c r="AH631" s="1365"/>
      <c r="AI631" s="1365"/>
      <c r="AJ631" s="1366"/>
      <c r="AK631" s="1424"/>
      <c r="AL631" s="1425"/>
      <c r="AM631" s="1425"/>
      <c r="AN631" s="1426"/>
      <c r="AO631" s="1420"/>
      <c r="AP631" s="1421"/>
      <c r="AQ631" s="1421"/>
      <c r="AR631" s="1421"/>
      <c r="AS631" s="1422"/>
      <c r="AT631" s="1201" t="str">
        <f t="shared" si="29"/>
        <v/>
      </c>
      <c r="AU631" s="3"/>
      <c r="AV631" s="3"/>
      <c r="AW631" s="3"/>
      <c r="AX631" s="3"/>
      <c r="AY631" s="3"/>
      <c r="AZ631" s="34"/>
      <c r="BA631" s="34"/>
      <c r="BB631" s="34"/>
      <c r="BC631" s="34"/>
      <c r="BD631" s="34"/>
      <c r="BE631" s="34"/>
      <c r="BF631" s="34"/>
      <c r="BG631" s="34"/>
      <c r="BH631" s="34"/>
      <c r="BI631" s="34"/>
      <c r="BJ631" s="34"/>
      <c r="BK631" s="34"/>
      <c r="BL631" s="34"/>
      <c r="BM631" s="34"/>
      <c r="BR631" s="897">
        <f>BN630*1</f>
        <v>0</v>
      </c>
      <c r="BS631" s="3"/>
      <c r="BT631" s="3"/>
      <c r="BU631" s="3"/>
      <c r="BV631" s="3"/>
      <c r="BW631" s="897">
        <f>BS630*1</f>
        <v>0</v>
      </c>
      <c r="BX631" s="3"/>
      <c r="BY631" s="3"/>
      <c r="BZ631" s="3"/>
      <c r="CA631" s="3"/>
      <c r="CB631" s="897">
        <f>BX630*2</f>
        <v>4</v>
      </c>
      <c r="CC631" s="3"/>
      <c r="CD631" s="3"/>
      <c r="CE631" s="3"/>
      <c r="CF631" s="3"/>
      <c r="CG631" s="897">
        <f>CC630*3</f>
        <v>0</v>
      </c>
      <c r="CH631" s="3"/>
      <c r="CI631" s="3"/>
      <c r="CJ631" s="3"/>
      <c r="CK631" s="3"/>
      <c r="CL631" s="897">
        <f>CH630*4</f>
        <v>0</v>
      </c>
      <c r="CM631" s="3"/>
      <c r="CN631" s="3"/>
      <c r="CO631" s="3"/>
      <c r="CP631" s="3"/>
      <c r="CQ631" s="897">
        <f>CM630*5</f>
        <v>0</v>
      </c>
      <c r="CS631" s="897">
        <f>BR631+BW631+CB631+CG631+CL631+CQ631</f>
        <v>4</v>
      </c>
      <c r="CT631" s="57" t="s">
        <v>2124</v>
      </c>
      <c r="CU631" s="3"/>
      <c r="CV631" s="3"/>
      <c r="CW631" s="3"/>
      <c r="CX631" s="3"/>
      <c r="CY631" s="3"/>
      <c r="CZ631" s="3"/>
      <c r="DA631" s="3"/>
      <c r="DB631" s="3"/>
      <c r="DC631" s="3"/>
      <c r="DD631" s="3"/>
      <c r="DE631" s="3"/>
      <c r="DF631" s="3"/>
      <c r="DX631" s="1406" t="e">
        <f t="shared" si="23"/>
        <v>#VALUE!</v>
      </c>
      <c r="DY631" s="1406"/>
      <c r="DZ631" s="1406"/>
      <c r="EA631" s="1406"/>
      <c r="EB631" s="1406"/>
      <c r="EC631" s="1406" t="e">
        <f t="shared" si="24"/>
        <v>#VALUE!</v>
      </c>
      <c r="ED631" s="1406"/>
      <c r="EE631" s="1406"/>
      <c r="EF631" s="1406"/>
      <c r="EG631" s="1406"/>
      <c r="EH631" s="1406">
        <f t="shared" si="25"/>
        <v>520.76119402985069</v>
      </c>
      <c r="EI631" s="1406"/>
      <c r="EJ631" s="1406"/>
      <c r="EK631" s="1406"/>
      <c r="EL631" s="1406"/>
      <c r="EM631" s="1406" t="e">
        <f t="shared" si="26"/>
        <v>#VALUE!</v>
      </c>
      <c r="EN631" s="1406"/>
      <c r="EO631" s="1406"/>
      <c r="EP631" s="1406"/>
      <c r="EQ631" s="1406"/>
      <c r="ER631" s="1406" t="e">
        <f t="shared" si="27"/>
        <v>#VALUE!</v>
      </c>
      <c r="ES631" s="1406"/>
      <c r="ET631" s="1406"/>
      <c r="EU631" s="1406"/>
      <c r="EV631" s="1406"/>
      <c r="EW631" s="1406" t="e">
        <f t="shared" si="28"/>
        <v>#VALUE!</v>
      </c>
      <c r="EX631" s="1406"/>
      <c r="EY631" s="1406"/>
      <c r="EZ631" s="1406"/>
      <c r="FA631" s="1406"/>
    </row>
    <row r="632" spans="1:157" ht="12.95" customHeight="1">
      <c r="B632" s="52" t="s">
        <v>655</v>
      </c>
      <c r="C632" s="1349"/>
      <c r="D632" s="1349"/>
      <c r="E632" s="1349"/>
      <c r="F632" s="1349"/>
      <c r="G632" s="1349"/>
      <c r="H632" s="1349"/>
      <c r="I632" s="1349"/>
      <c r="J632" s="1349"/>
      <c r="K632" s="1349"/>
      <c r="L632" s="1349"/>
      <c r="M632" s="1389" t="s">
        <v>1327</v>
      </c>
      <c r="N632" s="1389"/>
      <c r="O632" s="1389"/>
      <c r="P632" s="1389"/>
      <c r="Q632" s="1380"/>
      <c r="R632" s="1381"/>
      <c r="S632" s="1382"/>
      <c r="T632" s="1380"/>
      <c r="U632" s="1381"/>
      <c r="V632" s="1382"/>
      <c r="W632" s="1355"/>
      <c r="X632" s="1356"/>
      <c r="Y632" s="1357"/>
      <c r="Z632" s="1377" t="s">
        <v>1327</v>
      </c>
      <c r="AA632" s="1378"/>
      <c r="AB632" s="1379"/>
      <c r="AC632" s="1429"/>
      <c r="AD632" s="1430"/>
      <c r="AE632" s="1431"/>
      <c r="AF632" s="1364"/>
      <c r="AG632" s="1365"/>
      <c r="AH632" s="1365"/>
      <c r="AI632" s="1365"/>
      <c r="AJ632" s="1366"/>
      <c r="AK632" s="1424"/>
      <c r="AL632" s="1425"/>
      <c r="AM632" s="1425"/>
      <c r="AN632" s="1426"/>
      <c r="AO632" s="1420"/>
      <c r="AP632" s="1421"/>
      <c r="AQ632" s="1421"/>
      <c r="AR632" s="1421"/>
      <c r="AS632" s="1422"/>
      <c r="AT632" s="1201" t="str">
        <f t="shared" si="29"/>
        <v/>
      </c>
      <c r="AU632" s="3"/>
      <c r="AV632" s="3"/>
      <c r="AW632" s="3"/>
      <c r="AX632" s="3"/>
      <c r="AY632" s="3"/>
      <c r="AZ632" s="34"/>
      <c r="BA632" s="34"/>
      <c r="BB632" s="34"/>
      <c r="BC632" s="34"/>
      <c r="BD632" s="34"/>
      <c r="BE632" s="34"/>
      <c r="BF632" s="34"/>
      <c r="BG632" s="34"/>
      <c r="BH632" s="34"/>
      <c r="BI632" s="34"/>
      <c r="BJ632" s="34"/>
      <c r="BK632" s="34"/>
      <c r="BL632" s="34"/>
      <c r="BM632" s="34"/>
      <c r="CV632" s="3"/>
      <c r="CW632" s="3"/>
      <c r="CX632" s="3"/>
      <c r="CY632" s="3"/>
      <c r="CZ632" s="3"/>
      <c r="DA632" s="3"/>
      <c r="DB632" s="3"/>
      <c r="DC632" s="3"/>
      <c r="DD632" s="3"/>
      <c r="DE632" s="3"/>
      <c r="DF632" s="3"/>
      <c r="DX632" s="1406" t="e">
        <f t="shared" si="23"/>
        <v>#VALUE!</v>
      </c>
      <c r="DY632" s="1406"/>
      <c r="DZ632" s="1406"/>
      <c r="EA632" s="1406"/>
      <c r="EB632" s="1406"/>
      <c r="EC632" s="1406" t="e">
        <f t="shared" si="24"/>
        <v>#VALUE!</v>
      </c>
      <c r="ED632" s="1406"/>
      <c r="EE632" s="1406"/>
      <c r="EF632" s="1406"/>
      <c r="EG632" s="1406"/>
      <c r="EH632" s="1406">
        <f t="shared" si="25"/>
        <v>18.626865671641792</v>
      </c>
      <c r="EI632" s="1406"/>
      <c r="EJ632" s="1406"/>
      <c r="EK632" s="1406"/>
      <c r="EL632" s="1406"/>
      <c r="EM632" s="1406" t="e">
        <f t="shared" si="26"/>
        <v>#VALUE!</v>
      </c>
      <c r="EN632" s="1406"/>
      <c r="EO632" s="1406"/>
      <c r="EP632" s="1406"/>
      <c r="EQ632" s="1406"/>
      <c r="ER632" s="1406" t="e">
        <f t="shared" si="27"/>
        <v>#VALUE!</v>
      </c>
      <c r="ES632" s="1406"/>
      <c r="ET632" s="1406"/>
      <c r="EU632" s="1406"/>
      <c r="EV632" s="1406"/>
      <c r="EW632" s="1406" t="e">
        <f t="shared" si="28"/>
        <v>#VALUE!</v>
      </c>
      <c r="EX632" s="1406"/>
      <c r="EY632" s="1406"/>
      <c r="EZ632" s="1406"/>
      <c r="FA632" s="1406"/>
    </row>
    <row r="633" spans="1:157" ht="12.95" customHeight="1">
      <c r="B633" s="52" t="s">
        <v>363</v>
      </c>
      <c r="C633" s="1349"/>
      <c r="D633" s="1349"/>
      <c r="E633" s="1349"/>
      <c r="F633" s="1349"/>
      <c r="G633" s="1349"/>
      <c r="H633" s="1349"/>
      <c r="I633" s="1349"/>
      <c r="J633" s="1349"/>
      <c r="K633" s="1349"/>
      <c r="L633" s="1349"/>
      <c r="M633" s="1389" t="s">
        <v>1327</v>
      </c>
      <c r="N633" s="1389"/>
      <c r="O633" s="1389"/>
      <c r="P633" s="1389"/>
      <c r="Q633" s="1380"/>
      <c r="R633" s="1381"/>
      <c r="S633" s="1382"/>
      <c r="T633" s="1380"/>
      <c r="U633" s="1381"/>
      <c r="V633" s="1382"/>
      <c r="W633" s="1355"/>
      <c r="X633" s="1356"/>
      <c r="Y633" s="1357"/>
      <c r="Z633" s="1377" t="s">
        <v>1327</v>
      </c>
      <c r="AA633" s="1378"/>
      <c r="AB633" s="1379"/>
      <c r="AC633" s="1429"/>
      <c r="AD633" s="1430"/>
      <c r="AE633" s="1431"/>
      <c r="AF633" s="1364"/>
      <c r="AG633" s="1365"/>
      <c r="AH633" s="1365"/>
      <c r="AI633" s="1365"/>
      <c r="AJ633" s="1366"/>
      <c r="AK633" s="1424"/>
      <c r="AL633" s="1425"/>
      <c r="AM633" s="1425"/>
      <c r="AN633" s="1426"/>
      <c r="AO633" s="1420"/>
      <c r="AP633" s="1421"/>
      <c r="AQ633" s="1421"/>
      <c r="AR633" s="1421"/>
      <c r="AS633" s="1422"/>
      <c r="AT633" s="1201" t="str">
        <f t="shared" si="29"/>
        <v/>
      </c>
      <c r="AU633" s="3"/>
      <c r="AV633" s="3"/>
      <c r="AW633" s="3"/>
      <c r="AX633" s="3"/>
      <c r="AY633" s="3"/>
      <c r="AZ633" s="3"/>
      <c r="BA633" s="3"/>
      <c r="BB633" s="3"/>
      <c r="BC633" s="3"/>
      <c r="BD633" s="3"/>
      <c r="BE633" s="3"/>
      <c r="BF633" s="3"/>
      <c r="BG633" s="3"/>
      <c r="BH633" s="3"/>
      <c r="BI633" s="3"/>
      <c r="BJ633" s="3"/>
      <c r="BK633" s="3"/>
      <c r="BL633" s="3"/>
      <c r="BM633" s="3"/>
      <c r="BN633" s="34" t="s">
        <v>105</v>
      </c>
      <c r="BO633" s="34"/>
      <c r="BP633" s="34"/>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t="s">
        <v>2132</v>
      </c>
      <c r="CT633" s="3"/>
      <c r="CU633" s="3"/>
      <c r="CV633" s="3"/>
      <c r="CW633" s="3"/>
      <c r="CX633" s="3"/>
      <c r="CY633" s="3"/>
      <c r="CZ633" s="3"/>
      <c r="DA633" s="3"/>
      <c r="DB633" s="3"/>
      <c r="DC633" s="3"/>
      <c r="DD633" s="3"/>
      <c r="DE633" s="3"/>
      <c r="DF633" s="3"/>
      <c r="DX633" s="1406" t="e">
        <f t="shared" si="23"/>
        <v>#VALUE!</v>
      </c>
      <c r="DY633" s="1406"/>
      <c r="DZ633" s="1406"/>
      <c r="EA633" s="1406"/>
      <c r="EB633" s="1406"/>
      <c r="EC633" s="1406" t="e">
        <f t="shared" si="24"/>
        <v>#VALUE!</v>
      </c>
      <c r="ED633" s="1406"/>
      <c r="EE633" s="1406"/>
      <c r="EF633" s="1406"/>
      <c r="EG633" s="1406"/>
      <c r="EH633" s="1406">
        <f t="shared" si="25"/>
        <v>9.3134328358208958</v>
      </c>
      <c r="EI633" s="1406"/>
      <c r="EJ633" s="1406"/>
      <c r="EK633" s="1406"/>
      <c r="EL633" s="1406"/>
      <c r="EM633" s="1406" t="e">
        <f t="shared" si="26"/>
        <v>#VALUE!</v>
      </c>
      <c r="EN633" s="1406"/>
      <c r="EO633" s="1406"/>
      <c r="EP633" s="1406"/>
      <c r="EQ633" s="1406"/>
      <c r="ER633" s="1406" t="e">
        <f t="shared" si="27"/>
        <v>#VALUE!</v>
      </c>
      <c r="ES633" s="1406"/>
      <c r="ET633" s="1406"/>
      <c r="EU633" s="1406"/>
      <c r="EV633" s="1406"/>
      <c r="EW633" s="1406" t="e">
        <f t="shared" si="28"/>
        <v>#VALUE!</v>
      </c>
      <c r="EX633" s="1406"/>
      <c r="EY633" s="1406"/>
      <c r="EZ633" s="1406"/>
      <c r="FA633" s="1406"/>
    </row>
    <row r="634" spans="1:157" ht="12.95" customHeight="1">
      <c r="B634" s="52" t="s">
        <v>364</v>
      </c>
      <c r="C634" s="1349"/>
      <c r="D634" s="1349"/>
      <c r="E634" s="1349"/>
      <c r="F634" s="1349"/>
      <c r="G634" s="1349"/>
      <c r="H634" s="1349"/>
      <c r="I634" s="1349"/>
      <c r="J634" s="1349"/>
      <c r="K634" s="1349"/>
      <c r="L634" s="1349"/>
      <c r="M634" s="1389" t="s">
        <v>1327</v>
      </c>
      <c r="N634" s="1389"/>
      <c r="O634" s="1389"/>
      <c r="P634" s="1389"/>
      <c r="Q634" s="1380"/>
      <c r="R634" s="1381"/>
      <c r="S634" s="1382"/>
      <c r="T634" s="1380"/>
      <c r="U634" s="1381"/>
      <c r="V634" s="1382"/>
      <c r="W634" s="1355"/>
      <c r="X634" s="1356"/>
      <c r="Y634" s="1357"/>
      <c r="Z634" s="1377" t="s">
        <v>1327</v>
      </c>
      <c r="AA634" s="1378"/>
      <c r="AB634" s="1379"/>
      <c r="AC634" s="1429"/>
      <c r="AD634" s="1430"/>
      <c r="AE634" s="1431"/>
      <c r="AF634" s="1364"/>
      <c r="AG634" s="1365"/>
      <c r="AH634" s="1365"/>
      <c r="AI634" s="1365"/>
      <c r="AJ634" s="1366"/>
      <c r="AK634" s="1424"/>
      <c r="AL634" s="1425"/>
      <c r="AM634" s="1425"/>
      <c r="AN634" s="1426"/>
      <c r="AO634" s="1420"/>
      <c r="AP634" s="1421"/>
      <c r="AQ634" s="1421"/>
      <c r="AR634" s="1421"/>
      <c r="AS634" s="1422"/>
      <c r="AT634" s="1201" t="str">
        <f t="shared" si="29"/>
        <v/>
      </c>
      <c r="AU634" s="3"/>
      <c r="AV634" s="3"/>
      <c r="AW634" s="3"/>
      <c r="AX634" s="3"/>
      <c r="AY634" s="3"/>
      <c r="AZ634" s="3"/>
      <c r="BA634" s="3"/>
      <c r="BB634" s="3"/>
      <c r="BC634" s="3"/>
      <c r="BD634" s="3"/>
      <c r="BE634" s="3"/>
      <c r="BF634" s="3"/>
      <c r="BG634" s="3"/>
      <c r="BH634" s="3"/>
      <c r="BI634" s="3"/>
      <c r="BJ634" s="3"/>
      <c r="BK634" s="3"/>
      <c r="BL634" s="3"/>
      <c r="BM634" s="3"/>
      <c r="BN634" s="1408">
        <f t="shared" ref="BN634:BN643" si="30">IF(J772="SRO/Studio",O772,0)</f>
        <v>0</v>
      </c>
      <c r="BO634" s="1409"/>
      <c r="BP634" s="1409"/>
      <c r="BQ634" s="1409"/>
      <c r="BR634" s="1410"/>
      <c r="BS634" s="1417">
        <f t="shared" ref="BS634:BS643" si="31">IF(J772="1 Bedroom",O772,0)</f>
        <v>0</v>
      </c>
      <c r="BT634" s="1417"/>
      <c r="BU634" s="1417"/>
      <c r="BV634" s="1417"/>
      <c r="BW634" s="1417"/>
      <c r="BX634" s="1417">
        <f t="shared" ref="BX634:BX643" si="32">IF(J772="2 Bedrooms",O772,0)</f>
        <v>0</v>
      </c>
      <c r="BY634" s="1417"/>
      <c r="BZ634" s="1417"/>
      <c r="CA634" s="1417"/>
      <c r="CB634" s="1417"/>
      <c r="CC634" s="1417">
        <f t="shared" ref="CC634:CC643" si="33">IF(J772="3 Bedrooms",O772,0)</f>
        <v>0</v>
      </c>
      <c r="CD634" s="1417"/>
      <c r="CE634" s="1417"/>
      <c r="CF634" s="1417"/>
      <c r="CG634" s="1417"/>
      <c r="CH634" s="1417">
        <f t="shared" ref="CH634:CH643" si="34">IF(J772="4 Bedrooms",O772,0)</f>
        <v>0</v>
      </c>
      <c r="CI634" s="1417"/>
      <c r="CJ634" s="1417"/>
      <c r="CK634" s="1417"/>
      <c r="CL634" s="1417"/>
      <c r="CM634" s="1417">
        <f t="shared" ref="CM634:CM643" si="35">IF(J772="5 Bedrooms",O772,0)</f>
        <v>0</v>
      </c>
      <c r="CN634" s="1417"/>
      <c r="CO634" s="1417"/>
      <c r="CP634" s="1417"/>
      <c r="CQ634" s="1417"/>
      <c r="CR634" s="6"/>
      <c r="CS634" s="1408">
        <f>IF(AND(BN634&gt;=1,AH772&gt;=0.1,AH772&lt;=1),O772,0)</f>
        <v>0</v>
      </c>
      <c r="CT634" s="1409"/>
      <c r="CU634" s="1409"/>
      <c r="CV634" s="1409"/>
      <c r="CW634" s="1410"/>
      <c r="CX634" s="1408">
        <f>IF(AND(BS634&gt;=1,AH772&gt;=0.1,AH772&lt;=1),O772,0)</f>
        <v>0</v>
      </c>
      <c r="CY634" s="1409"/>
      <c r="CZ634" s="1409"/>
      <c r="DA634" s="1409"/>
      <c r="DB634" s="1410"/>
      <c r="DC634" s="1408">
        <f>IF(AND(BX634&gt;=1,AH772&gt;=0.1,AH772&lt;=1),O772,0)</f>
        <v>0</v>
      </c>
      <c r="DD634" s="1409"/>
      <c r="DE634" s="1409"/>
      <c r="DF634" s="1409"/>
      <c r="DG634" s="1410"/>
      <c r="DH634" s="1408">
        <f>IF(AND(CC634&gt;=1,AH772&gt;=0.1,AH772&lt;=1),O772,0)</f>
        <v>0</v>
      </c>
      <c r="DI634" s="1409"/>
      <c r="DJ634" s="1409"/>
      <c r="DK634" s="1409"/>
      <c r="DL634" s="1410"/>
      <c r="DM634" s="1408">
        <f>IF(AND(CH634&gt;=1,AH772&gt;=0.1,AH772&lt;=1),O772,0)</f>
        <v>0</v>
      </c>
      <c r="DN634" s="1409"/>
      <c r="DO634" s="1409"/>
      <c r="DP634" s="1409"/>
      <c r="DQ634" s="1410"/>
      <c r="DR634" s="1408">
        <f>IF(AND(CM634&gt;=1,AH772&gt;=0.1,AH772&lt;=1),O772,0)</f>
        <v>0</v>
      </c>
      <c r="DS634" s="1409"/>
      <c r="DT634" s="1409"/>
      <c r="DU634" s="1409"/>
      <c r="DV634" s="1410"/>
      <c r="DX634" s="1406" t="e">
        <f t="shared" si="23"/>
        <v>#VALUE!</v>
      </c>
      <c r="DY634" s="1406"/>
      <c r="DZ634" s="1406"/>
      <c r="EA634" s="1406"/>
      <c r="EB634" s="1406"/>
      <c r="EC634" s="1406" t="e">
        <f t="shared" si="24"/>
        <v>#VALUE!</v>
      </c>
      <c r="ED634" s="1406"/>
      <c r="EE634" s="1406"/>
      <c r="EF634" s="1406"/>
      <c r="EG634" s="1406"/>
      <c r="EH634" s="1406">
        <f t="shared" si="25"/>
        <v>145.07462686567163</v>
      </c>
      <c r="EI634" s="1406"/>
      <c r="EJ634" s="1406"/>
      <c r="EK634" s="1406"/>
      <c r="EL634" s="1406"/>
      <c r="EM634" s="1406" t="e">
        <f t="shared" si="26"/>
        <v>#VALUE!</v>
      </c>
      <c r="EN634" s="1406"/>
      <c r="EO634" s="1406"/>
      <c r="EP634" s="1406"/>
      <c r="EQ634" s="1406"/>
      <c r="ER634" s="1406" t="e">
        <f t="shared" si="27"/>
        <v>#VALUE!</v>
      </c>
      <c r="ES634" s="1406"/>
      <c r="ET634" s="1406"/>
      <c r="EU634" s="1406"/>
      <c r="EV634" s="1406"/>
      <c r="EW634" s="1406" t="e">
        <f t="shared" si="28"/>
        <v>#VALUE!</v>
      </c>
      <c r="EX634" s="1406"/>
      <c r="EY634" s="1406"/>
      <c r="EZ634" s="1406"/>
      <c r="FA634" s="1406"/>
    </row>
    <row r="635" spans="1:157" ht="12.95" customHeight="1">
      <c r="B635" s="1577" t="s">
        <v>129</v>
      </c>
      <c r="C635" s="1578"/>
      <c r="D635" s="1578"/>
      <c r="E635" s="1578"/>
      <c r="F635" s="1578"/>
      <c r="G635" s="1578"/>
      <c r="H635" s="1578"/>
      <c r="I635" s="1578"/>
      <c r="J635" s="1578"/>
      <c r="K635" s="1578"/>
      <c r="L635" s="1578"/>
      <c r="M635" s="1578"/>
      <c r="N635" s="1578"/>
      <c r="O635" s="1578"/>
      <c r="P635" s="1578"/>
      <c r="Q635" s="1578"/>
      <c r="R635" s="1578"/>
      <c r="S635" s="1578"/>
      <c r="T635" s="1578"/>
      <c r="U635" s="1578"/>
      <c r="V635" s="1578"/>
      <c r="W635" s="1578"/>
      <c r="X635" s="1578"/>
      <c r="Y635" s="1578"/>
      <c r="Z635" s="1578"/>
      <c r="AA635" s="1578"/>
      <c r="AB635" s="1578"/>
      <c r="AC635" s="1578"/>
      <c r="AD635" s="1578"/>
      <c r="AE635" s="1578"/>
      <c r="AF635" s="1578"/>
      <c r="AG635" s="1578"/>
      <c r="AH635" s="1578"/>
      <c r="AI635" s="1578"/>
      <c r="AJ635" s="1578"/>
      <c r="AK635" s="1578"/>
      <c r="AL635" s="1578"/>
      <c r="AM635" s="1578"/>
      <c r="AN635" s="1579"/>
      <c r="AO635" s="1587">
        <f>SUM(AO623:AR634)</f>
        <v>28316552</v>
      </c>
      <c r="AP635" s="1588"/>
      <c r="AQ635" s="1588"/>
      <c r="AR635" s="1588"/>
      <c r="AS635" s="1589"/>
      <c r="AZ635" s="3"/>
      <c r="BA635" s="3"/>
      <c r="BB635" s="3"/>
      <c r="BC635" s="3"/>
      <c r="BD635" s="3"/>
      <c r="BE635" s="3"/>
      <c r="BF635" s="3"/>
      <c r="BG635" s="3"/>
      <c r="BH635" s="3"/>
      <c r="BI635" s="3"/>
      <c r="BJ635" s="3"/>
      <c r="BK635" s="3"/>
      <c r="BL635" s="3"/>
      <c r="BM635" s="3"/>
      <c r="BN635" s="1408">
        <f t="shared" si="30"/>
        <v>0</v>
      </c>
      <c r="BO635" s="1409"/>
      <c r="BP635" s="1409"/>
      <c r="BQ635" s="1409"/>
      <c r="BR635" s="1410"/>
      <c r="BS635" s="1417">
        <f t="shared" si="31"/>
        <v>0</v>
      </c>
      <c r="BT635" s="1417"/>
      <c r="BU635" s="1417"/>
      <c r="BV635" s="1417"/>
      <c r="BW635" s="1417"/>
      <c r="BX635" s="1417">
        <f t="shared" si="32"/>
        <v>0</v>
      </c>
      <c r="BY635" s="1417"/>
      <c r="BZ635" s="1417"/>
      <c r="CA635" s="1417"/>
      <c r="CB635" s="1417"/>
      <c r="CC635" s="1417">
        <f t="shared" si="33"/>
        <v>0</v>
      </c>
      <c r="CD635" s="1417"/>
      <c r="CE635" s="1417"/>
      <c r="CF635" s="1417"/>
      <c r="CG635" s="1417"/>
      <c r="CH635" s="1417">
        <f t="shared" si="34"/>
        <v>0</v>
      </c>
      <c r="CI635" s="1417"/>
      <c r="CJ635" s="1417"/>
      <c r="CK635" s="1417"/>
      <c r="CL635" s="1417"/>
      <c r="CM635" s="1417">
        <f t="shared" si="35"/>
        <v>0</v>
      </c>
      <c r="CN635" s="1417"/>
      <c r="CO635" s="1417"/>
      <c r="CP635" s="1417"/>
      <c r="CQ635" s="1417"/>
      <c r="CR635" s="6"/>
      <c r="CS635" s="1408">
        <f t="shared" ref="CS635:CS643" si="36">IF(AND(BN635&gt;=1,AH773&gt;=0.1,AH773&lt;=1),O773,0)</f>
        <v>0</v>
      </c>
      <c r="CT635" s="1409"/>
      <c r="CU635" s="1409"/>
      <c r="CV635" s="1409"/>
      <c r="CW635" s="1410"/>
      <c r="CX635" s="1408">
        <f t="shared" ref="CX635:CX643" si="37">IF(AND(BS635&gt;=1,AH773&gt;=0.1,AH773&lt;=1),O773,0)</f>
        <v>0</v>
      </c>
      <c r="CY635" s="1409"/>
      <c r="CZ635" s="1409"/>
      <c r="DA635" s="1409"/>
      <c r="DB635" s="1410"/>
      <c r="DC635" s="1408">
        <f t="shared" ref="DC635:DC643" si="38">IF(AND(BX635&gt;=1,AH773&gt;=0.1,AH773&lt;=1),O773,0)</f>
        <v>0</v>
      </c>
      <c r="DD635" s="1409"/>
      <c r="DE635" s="1409"/>
      <c r="DF635" s="1409"/>
      <c r="DG635" s="1410"/>
      <c r="DH635" s="1408">
        <f t="shared" ref="DH635:DH643" si="39">IF(AND(CC635&gt;=1,AH773&gt;=0.1,AH773&lt;=1),O773,0)</f>
        <v>0</v>
      </c>
      <c r="DI635" s="1409"/>
      <c r="DJ635" s="1409"/>
      <c r="DK635" s="1409"/>
      <c r="DL635" s="1410"/>
      <c r="DM635" s="1408">
        <f t="shared" ref="DM635:DM643" si="40">IF(AND(CH635&gt;=1,AH773&gt;=0.1,AH773&lt;=1),O773,0)</f>
        <v>0</v>
      </c>
      <c r="DN635" s="1409"/>
      <c r="DO635" s="1409"/>
      <c r="DP635" s="1409"/>
      <c r="DQ635" s="1410"/>
      <c r="DR635" s="1408">
        <f t="shared" ref="DR635:DR643" si="41">IF(AND(CM635&gt;=1,AH773&gt;=0.1,AH773&lt;=1),O773,0)</f>
        <v>0</v>
      </c>
      <c r="DS635" s="1409"/>
      <c r="DT635" s="1409"/>
      <c r="DU635" s="1409"/>
      <c r="DV635" s="1410"/>
      <c r="DX635" s="1406" t="e">
        <f t="shared" si="23"/>
        <v>#VALUE!</v>
      </c>
      <c r="DY635" s="1406"/>
      <c r="DZ635" s="1406"/>
      <c r="EA635" s="1406"/>
      <c r="EB635" s="1406"/>
      <c r="EC635" s="1406" t="e">
        <f t="shared" si="24"/>
        <v>#VALUE!</v>
      </c>
      <c r="ED635" s="1406"/>
      <c r="EE635" s="1406"/>
      <c r="EF635" s="1406"/>
      <c r="EG635" s="1406"/>
      <c r="EH635" s="1406">
        <f t="shared" si="25"/>
        <v>389.73134328358208</v>
      </c>
      <c r="EI635" s="1406"/>
      <c r="EJ635" s="1406"/>
      <c r="EK635" s="1406"/>
      <c r="EL635" s="1406"/>
      <c r="EM635" s="1406" t="e">
        <f t="shared" si="26"/>
        <v>#VALUE!</v>
      </c>
      <c r="EN635" s="1406"/>
      <c r="EO635" s="1406"/>
      <c r="EP635" s="1406"/>
      <c r="EQ635" s="1406"/>
      <c r="ER635" s="1406" t="e">
        <f t="shared" si="27"/>
        <v>#VALUE!</v>
      </c>
      <c r="ES635" s="1406"/>
      <c r="ET635" s="1406"/>
      <c r="EU635" s="1406"/>
      <c r="EV635" s="1406"/>
      <c r="EW635" s="1406" t="e">
        <f t="shared" si="28"/>
        <v>#VALUE!</v>
      </c>
      <c r="EX635" s="1406"/>
      <c r="EY635" s="1406"/>
      <c r="EZ635" s="1406"/>
      <c r="FA635" s="1406"/>
    </row>
    <row r="636" spans="1:157" ht="12.95" customHeight="1">
      <c r="B636" s="1577" t="s">
        <v>268</v>
      </c>
      <c r="C636" s="1578"/>
      <c r="D636" s="1578"/>
      <c r="E636" s="1578"/>
      <c r="F636" s="1578"/>
      <c r="G636" s="1578"/>
      <c r="H636" s="1578"/>
      <c r="I636" s="1578"/>
      <c r="J636" s="1578"/>
      <c r="K636" s="1578"/>
      <c r="L636" s="1578"/>
      <c r="M636" s="1578"/>
      <c r="N636" s="1578"/>
      <c r="O636" s="1578"/>
      <c r="P636" s="1578"/>
      <c r="Q636" s="1578"/>
      <c r="R636" s="1578"/>
      <c r="S636" s="1578"/>
      <c r="T636" s="1578"/>
      <c r="U636" s="1578"/>
      <c r="V636" s="1578"/>
      <c r="W636" s="1578"/>
      <c r="X636" s="1578"/>
      <c r="Y636" s="1578"/>
      <c r="Z636" s="1578"/>
      <c r="AA636" s="1578"/>
      <c r="AB636" s="1578"/>
      <c r="AC636" s="1578"/>
      <c r="AD636" s="1578"/>
      <c r="AE636" s="1578"/>
      <c r="AF636" s="1578"/>
      <c r="AG636" s="1578"/>
      <c r="AH636" s="1578"/>
      <c r="AI636" s="1578"/>
      <c r="AJ636" s="1578"/>
      <c r="AK636" s="1578"/>
      <c r="AL636" s="1578"/>
      <c r="AM636" s="1578"/>
      <c r="AN636" s="1579"/>
      <c r="AO636" s="1420">
        <v>38923341</v>
      </c>
      <c r="AP636" s="1421"/>
      <c r="AQ636" s="1421"/>
      <c r="AR636" s="1421"/>
      <c r="AS636" s="1422"/>
      <c r="AZ636" s="34"/>
      <c r="BA636" s="34"/>
      <c r="BB636" s="34"/>
      <c r="BC636" s="34"/>
      <c r="BD636" s="34"/>
      <c r="BE636" s="34"/>
      <c r="BF636" s="34"/>
      <c r="BG636" s="34"/>
      <c r="BH636" s="34"/>
      <c r="BI636" s="34"/>
      <c r="BJ636" s="34"/>
      <c r="BK636" s="34"/>
      <c r="BL636" s="34"/>
      <c r="BM636" s="34"/>
      <c r="BN636" s="1408">
        <f t="shared" si="30"/>
        <v>0</v>
      </c>
      <c r="BO636" s="1409"/>
      <c r="BP636" s="1409"/>
      <c r="BQ636" s="1409"/>
      <c r="BR636" s="1410"/>
      <c r="BS636" s="1417">
        <f t="shared" si="31"/>
        <v>0</v>
      </c>
      <c r="BT636" s="1417"/>
      <c r="BU636" s="1417"/>
      <c r="BV636" s="1417"/>
      <c r="BW636" s="1417"/>
      <c r="BX636" s="1417">
        <f t="shared" si="32"/>
        <v>0</v>
      </c>
      <c r="BY636" s="1417"/>
      <c r="BZ636" s="1417"/>
      <c r="CA636" s="1417"/>
      <c r="CB636" s="1417"/>
      <c r="CC636" s="1417">
        <f t="shared" si="33"/>
        <v>0</v>
      </c>
      <c r="CD636" s="1417"/>
      <c r="CE636" s="1417"/>
      <c r="CF636" s="1417"/>
      <c r="CG636" s="1417"/>
      <c r="CH636" s="1417">
        <f t="shared" si="34"/>
        <v>0</v>
      </c>
      <c r="CI636" s="1417"/>
      <c r="CJ636" s="1417"/>
      <c r="CK636" s="1417"/>
      <c r="CL636" s="1417"/>
      <c r="CM636" s="1417">
        <f t="shared" si="35"/>
        <v>0</v>
      </c>
      <c r="CN636" s="1417"/>
      <c r="CO636" s="1417"/>
      <c r="CP636" s="1417"/>
      <c r="CQ636" s="1417"/>
      <c r="CR636" s="6"/>
      <c r="CS636" s="1408">
        <f t="shared" si="36"/>
        <v>0</v>
      </c>
      <c r="CT636" s="1409"/>
      <c r="CU636" s="1409"/>
      <c r="CV636" s="1409"/>
      <c r="CW636" s="1410"/>
      <c r="CX636" s="1408">
        <f t="shared" si="37"/>
        <v>0</v>
      </c>
      <c r="CY636" s="1409"/>
      <c r="CZ636" s="1409"/>
      <c r="DA636" s="1409"/>
      <c r="DB636" s="1410"/>
      <c r="DC636" s="1408">
        <f t="shared" si="38"/>
        <v>0</v>
      </c>
      <c r="DD636" s="1409"/>
      <c r="DE636" s="1409"/>
      <c r="DF636" s="1409"/>
      <c r="DG636" s="1410"/>
      <c r="DH636" s="1408">
        <f t="shared" si="39"/>
        <v>0</v>
      </c>
      <c r="DI636" s="1409"/>
      <c r="DJ636" s="1409"/>
      <c r="DK636" s="1409"/>
      <c r="DL636" s="1410"/>
      <c r="DM636" s="1408">
        <f t="shared" si="40"/>
        <v>0</v>
      </c>
      <c r="DN636" s="1409"/>
      <c r="DO636" s="1409"/>
      <c r="DP636" s="1409"/>
      <c r="DQ636" s="1410"/>
      <c r="DR636" s="1408">
        <f t="shared" si="41"/>
        <v>0</v>
      </c>
      <c r="DS636" s="1409"/>
      <c r="DT636" s="1409"/>
      <c r="DU636" s="1409"/>
      <c r="DV636" s="1410"/>
      <c r="DX636" s="1406" t="e">
        <f t="shared" si="23"/>
        <v>#VALUE!</v>
      </c>
      <c r="DY636" s="1406"/>
      <c r="DZ636" s="1406"/>
      <c r="EA636" s="1406"/>
      <c r="EB636" s="1406"/>
      <c r="EC636" s="1406" t="e">
        <f t="shared" si="24"/>
        <v>#VALUE!</v>
      </c>
      <c r="ED636" s="1406"/>
      <c r="EE636" s="1406"/>
      <c r="EF636" s="1406"/>
      <c r="EG636" s="1406"/>
      <c r="EH636" s="1406" t="e">
        <f t="shared" si="25"/>
        <v>#VALUE!</v>
      </c>
      <c r="EI636" s="1406"/>
      <c r="EJ636" s="1406"/>
      <c r="EK636" s="1406"/>
      <c r="EL636" s="1406"/>
      <c r="EM636" s="1406">
        <f t="shared" si="26"/>
        <v>34.285714285714285</v>
      </c>
      <c r="EN636" s="1406"/>
      <c r="EO636" s="1406"/>
      <c r="EP636" s="1406"/>
      <c r="EQ636" s="1406"/>
      <c r="ER636" s="1406" t="e">
        <f t="shared" si="27"/>
        <v>#VALUE!</v>
      </c>
      <c r="ES636" s="1406"/>
      <c r="ET636" s="1406"/>
      <c r="EU636" s="1406"/>
      <c r="EV636" s="1406"/>
      <c r="EW636" s="1406" t="e">
        <f t="shared" si="28"/>
        <v>#VALUE!</v>
      </c>
      <c r="EX636" s="1406"/>
      <c r="EY636" s="1406"/>
      <c r="EZ636" s="1406"/>
      <c r="FA636" s="1406"/>
    </row>
    <row r="637" spans="1:157" ht="12.95" customHeight="1">
      <c r="B637" s="1735" t="s">
        <v>269</v>
      </c>
      <c r="C637" s="1736"/>
      <c r="D637" s="1736"/>
      <c r="E637" s="1736"/>
      <c r="F637" s="1736"/>
      <c r="G637" s="1736"/>
      <c r="H637" s="1736"/>
      <c r="I637" s="1736"/>
      <c r="J637" s="1736"/>
      <c r="K637" s="1736"/>
      <c r="L637" s="1736"/>
      <c r="M637" s="1736"/>
      <c r="N637" s="1736"/>
      <c r="O637" s="1736"/>
      <c r="P637" s="1736"/>
      <c r="Q637" s="1736"/>
      <c r="R637" s="1736"/>
      <c r="S637" s="1736"/>
      <c r="T637" s="1736"/>
      <c r="U637" s="1736"/>
      <c r="V637" s="1736"/>
      <c r="W637" s="1736"/>
      <c r="X637" s="1736"/>
      <c r="Y637" s="1736"/>
      <c r="Z637" s="1736"/>
      <c r="AA637" s="1736"/>
      <c r="AB637" s="1736"/>
      <c r="AC637" s="1736"/>
      <c r="AD637" s="1736"/>
      <c r="AE637" s="1736"/>
      <c r="AF637" s="1736"/>
      <c r="AG637" s="1736"/>
      <c r="AH637" s="1736"/>
      <c r="AI637" s="1736"/>
      <c r="AJ637" s="1736"/>
      <c r="AK637" s="1736"/>
      <c r="AL637" s="1736"/>
      <c r="AM637" s="1736"/>
      <c r="AN637" s="1737"/>
      <c r="AO637" s="1587">
        <f>AO635+AO636</f>
        <v>67239893</v>
      </c>
      <c r="AP637" s="1588"/>
      <c r="AQ637" s="1588"/>
      <c r="AR637" s="1588"/>
      <c r="AS637" s="1589"/>
      <c r="AZ637" s="34"/>
      <c r="BA637" s="34"/>
      <c r="BB637" s="34"/>
      <c r="BC637" s="34"/>
      <c r="BD637" s="34"/>
      <c r="BE637" s="34"/>
      <c r="BF637" s="34"/>
      <c r="BG637" s="34"/>
      <c r="BH637" s="34"/>
      <c r="BI637" s="34"/>
      <c r="BJ637" s="34"/>
      <c r="BK637" s="34"/>
      <c r="BL637" s="34"/>
      <c r="BM637" s="34"/>
      <c r="BN637" s="1408">
        <f t="shared" si="30"/>
        <v>0</v>
      </c>
      <c r="BO637" s="1409"/>
      <c r="BP637" s="1409"/>
      <c r="BQ637" s="1409"/>
      <c r="BR637" s="1410"/>
      <c r="BS637" s="1417">
        <f t="shared" si="31"/>
        <v>0</v>
      </c>
      <c r="BT637" s="1417"/>
      <c r="BU637" s="1417"/>
      <c r="BV637" s="1417"/>
      <c r="BW637" s="1417"/>
      <c r="BX637" s="1417">
        <f t="shared" si="32"/>
        <v>0</v>
      </c>
      <c r="BY637" s="1417"/>
      <c r="BZ637" s="1417"/>
      <c r="CA637" s="1417"/>
      <c r="CB637" s="1417"/>
      <c r="CC637" s="1417">
        <f t="shared" si="33"/>
        <v>0</v>
      </c>
      <c r="CD637" s="1417"/>
      <c r="CE637" s="1417"/>
      <c r="CF637" s="1417"/>
      <c r="CG637" s="1417"/>
      <c r="CH637" s="1417">
        <f t="shared" si="34"/>
        <v>0</v>
      </c>
      <c r="CI637" s="1417"/>
      <c r="CJ637" s="1417"/>
      <c r="CK637" s="1417"/>
      <c r="CL637" s="1417"/>
      <c r="CM637" s="1417">
        <f t="shared" si="35"/>
        <v>0</v>
      </c>
      <c r="CN637" s="1417"/>
      <c r="CO637" s="1417"/>
      <c r="CP637" s="1417"/>
      <c r="CQ637" s="1417"/>
      <c r="CR637" s="6"/>
      <c r="CS637" s="1408">
        <f t="shared" si="36"/>
        <v>0</v>
      </c>
      <c r="CT637" s="1409"/>
      <c r="CU637" s="1409"/>
      <c r="CV637" s="1409"/>
      <c r="CW637" s="1410"/>
      <c r="CX637" s="1408">
        <f t="shared" si="37"/>
        <v>0</v>
      </c>
      <c r="CY637" s="1409"/>
      <c r="CZ637" s="1409"/>
      <c r="DA637" s="1409"/>
      <c r="DB637" s="1410"/>
      <c r="DC637" s="1408">
        <f t="shared" si="38"/>
        <v>0</v>
      </c>
      <c r="DD637" s="1409"/>
      <c r="DE637" s="1409"/>
      <c r="DF637" s="1409"/>
      <c r="DG637" s="1410"/>
      <c r="DH637" s="1408">
        <f t="shared" si="39"/>
        <v>0</v>
      </c>
      <c r="DI637" s="1409"/>
      <c r="DJ637" s="1409"/>
      <c r="DK637" s="1409"/>
      <c r="DL637" s="1410"/>
      <c r="DM637" s="1408">
        <f t="shared" si="40"/>
        <v>0</v>
      </c>
      <c r="DN637" s="1409"/>
      <c r="DO637" s="1409"/>
      <c r="DP637" s="1409"/>
      <c r="DQ637" s="1410"/>
      <c r="DR637" s="1408">
        <f t="shared" si="41"/>
        <v>0</v>
      </c>
      <c r="DS637" s="1409"/>
      <c r="DT637" s="1409"/>
      <c r="DU637" s="1409"/>
      <c r="DV637" s="1410"/>
      <c r="DX637" s="1406" t="e">
        <f t="shared" si="23"/>
        <v>#VALUE!</v>
      </c>
      <c r="DY637" s="1406"/>
      <c r="DZ637" s="1406"/>
      <c r="EA637" s="1406"/>
      <c r="EB637" s="1406"/>
      <c r="EC637" s="1406" t="e">
        <f t="shared" si="24"/>
        <v>#VALUE!</v>
      </c>
      <c r="ED637" s="1406"/>
      <c r="EE637" s="1406"/>
      <c r="EF637" s="1406"/>
      <c r="EG637" s="1406"/>
      <c r="EH637" s="1406" t="e">
        <f t="shared" si="25"/>
        <v>#VALUE!</v>
      </c>
      <c r="EI637" s="1406"/>
      <c r="EJ637" s="1406"/>
      <c r="EK637" s="1406"/>
      <c r="EL637" s="1406"/>
      <c r="EM637" s="1406">
        <f t="shared" si="26"/>
        <v>34.285714285714285</v>
      </c>
      <c r="EN637" s="1406"/>
      <c r="EO637" s="1406"/>
      <c r="EP637" s="1406"/>
      <c r="EQ637" s="1406"/>
      <c r="ER637" s="1406" t="e">
        <f t="shared" si="27"/>
        <v>#VALUE!</v>
      </c>
      <c r="ES637" s="1406"/>
      <c r="ET637" s="1406"/>
      <c r="EU637" s="1406"/>
      <c r="EV637" s="1406"/>
      <c r="EW637" s="1406" t="e">
        <f t="shared" si="28"/>
        <v>#VALUE!</v>
      </c>
      <c r="EX637" s="1406"/>
      <c r="EY637" s="1406"/>
      <c r="EZ637" s="1406"/>
      <c r="FA637" s="1406"/>
    </row>
    <row r="638" spans="1:157" ht="12.95" customHeight="1">
      <c r="B638" s="547"/>
      <c r="K638" s="56"/>
      <c r="L638" s="27"/>
      <c r="M638" s="27"/>
      <c r="N638" s="27"/>
      <c r="O638" s="27"/>
      <c r="P638" s="27"/>
      <c r="Q638" s="27"/>
      <c r="R638" s="27"/>
      <c r="AC638" s="56"/>
      <c r="AD638" s="27"/>
      <c r="AE638" s="27"/>
      <c r="AF638" s="27"/>
      <c r="AG638" s="27"/>
      <c r="AH638" s="27"/>
      <c r="AI638" s="27"/>
      <c r="AJ638" s="27"/>
      <c r="AZ638" s="34"/>
      <c r="BA638" s="34"/>
      <c r="BB638" s="34"/>
      <c r="BC638" s="34"/>
      <c r="BD638" s="34"/>
      <c r="BE638" s="34"/>
      <c r="BF638" s="34"/>
      <c r="BG638" s="34"/>
      <c r="BH638" s="34"/>
      <c r="BI638" s="34"/>
      <c r="BJ638" s="34"/>
      <c r="BK638" s="34"/>
      <c r="BL638" s="34"/>
      <c r="BM638" s="34"/>
      <c r="BN638" s="1408">
        <f t="shared" si="30"/>
        <v>0</v>
      </c>
      <c r="BO638" s="1409"/>
      <c r="BP638" s="1409"/>
      <c r="BQ638" s="1409"/>
      <c r="BR638" s="1410"/>
      <c r="BS638" s="1417">
        <f t="shared" si="31"/>
        <v>0</v>
      </c>
      <c r="BT638" s="1417"/>
      <c r="BU638" s="1417"/>
      <c r="BV638" s="1417"/>
      <c r="BW638" s="1417"/>
      <c r="BX638" s="1417">
        <f t="shared" si="32"/>
        <v>0</v>
      </c>
      <c r="BY638" s="1417"/>
      <c r="BZ638" s="1417"/>
      <c r="CA638" s="1417"/>
      <c r="CB638" s="1417"/>
      <c r="CC638" s="1417">
        <f t="shared" si="33"/>
        <v>0</v>
      </c>
      <c r="CD638" s="1417"/>
      <c r="CE638" s="1417"/>
      <c r="CF638" s="1417"/>
      <c r="CG638" s="1417"/>
      <c r="CH638" s="1417">
        <f t="shared" si="34"/>
        <v>0</v>
      </c>
      <c r="CI638" s="1417"/>
      <c r="CJ638" s="1417"/>
      <c r="CK638" s="1417"/>
      <c r="CL638" s="1417"/>
      <c r="CM638" s="1417">
        <f t="shared" si="35"/>
        <v>0</v>
      </c>
      <c r="CN638" s="1417"/>
      <c r="CO638" s="1417"/>
      <c r="CP638" s="1417"/>
      <c r="CQ638" s="1417"/>
      <c r="CR638" s="6"/>
      <c r="CS638" s="1408">
        <f t="shared" si="36"/>
        <v>0</v>
      </c>
      <c r="CT638" s="1409"/>
      <c r="CU638" s="1409"/>
      <c r="CV638" s="1409"/>
      <c r="CW638" s="1410"/>
      <c r="CX638" s="1408">
        <f t="shared" si="37"/>
        <v>0</v>
      </c>
      <c r="CY638" s="1409"/>
      <c r="CZ638" s="1409"/>
      <c r="DA638" s="1409"/>
      <c r="DB638" s="1410"/>
      <c r="DC638" s="1408">
        <f t="shared" si="38"/>
        <v>0</v>
      </c>
      <c r="DD638" s="1409"/>
      <c r="DE638" s="1409"/>
      <c r="DF638" s="1409"/>
      <c r="DG638" s="1410"/>
      <c r="DH638" s="1408">
        <f t="shared" si="39"/>
        <v>0</v>
      </c>
      <c r="DI638" s="1409"/>
      <c r="DJ638" s="1409"/>
      <c r="DK638" s="1409"/>
      <c r="DL638" s="1410"/>
      <c r="DM638" s="1408">
        <f t="shared" si="40"/>
        <v>0</v>
      </c>
      <c r="DN638" s="1409"/>
      <c r="DO638" s="1409"/>
      <c r="DP638" s="1409"/>
      <c r="DQ638" s="1410"/>
      <c r="DR638" s="1408">
        <f t="shared" si="41"/>
        <v>0</v>
      </c>
      <c r="DS638" s="1409"/>
      <c r="DT638" s="1409"/>
      <c r="DU638" s="1409"/>
      <c r="DV638" s="1410"/>
      <c r="DX638" s="1406" t="e">
        <f t="shared" si="23"/>
        <v>#VALUE!</v>
      </c>
      <c r="DY638" s="1406"/>
      <c r="DZ638" s="1406"/>
      <c r="EA638" s="1406"/>
      <c r="EB638" s="1406"/>
      <c r="EC638" s="1406" t="e">
        <f t="shared" si="24"/>
        <v>#VALUE!</v>
      </c>
      <c r="ED638" s="1406"/>
      <c r="EE638" s="1406"/>
      <c r="EF638" s="1406"/>
      <c r="EG638" s="1406"/>
      <c r="EH638" s="1406" t="e">
        <f t="shared" si="25"/>
        <v>#VALUE!</v>
      </c>
      <c r="EI638" s="1406"/>
      <c r="EJ638" s="1406"/>
      <c r="EK638" s="1406"/>
      <c r="EL638" s="1406"/>
      <c r="EM638" s="1406">
        <f t="shared" si="26"/>
        <v>385.97619047619048</v>
      </c>
      <c r="EN638" s="1406"/>
      <c r="EO638" s="1406"/>
      <c r="EP638" s="1406"/>
      <c r="EQ638" s="1406"/>
      <c r="ER638" s="1406" t="e">
        <f t="shared" si="27"/>
        <v>#VALUE!</v>
      </c>
      <c r="ES638" s="1406"/>
      <c r="ET638" s="1406"/>
      <c r="EU638" s="1406"/>
      <c r="EV638" s="1406"/>
      <c r="EW638" s="1406" t="e">
        <f t="shared" si="28"/>
        <v>#VALUE!</v>
      </c>
      <c r="EX638" s="1406"/>
      <c r="EY638" s="1406"/>
      <c r="EZ638" s="1406"/>
      <c r="FA638" s="1406"/>
    </row>
    <row r="639" spans="1:157" ht="12.95" customHeight="1">
      <c r="A639" s="55" t="s">
        <v>113</v>
      </c>
      <c r="B639" t="s">
        <v>472</v>
      </c>
      <c r="G639" s="1351" t="str">
        <f>C623</f>
        <v>Citibank, N.A.</v>
      </c>
      <c r="H639" s="1351"/>
      <c r="I639" s="1351"/>
      <c r="J639" s="1351"/>
      <c r="K639" s="1351"/>
      <c r="L639" s="1351"/>
      <c r="M639" s="1351"/>
      <c r="N639" s="1351"/>
      <c r="O639" s="1351"/>
      <c r="P639" s="1351"/>
      <c r="Q639" s="1351"/>
      <c r="R639" s="1351"/>
      <c r="S639" s="8"/>
      <c r="T639" s="55" t="s">
        <v>114</v>
      </c>
      <c r="U639" t="s">
        <v>472</v>
      </c>
      <c r="Z639" s="1351" t="str">
        <f>C624</f>
        <v>NOI During Construction</v>
      </c>
      <c r="AA639" s="1351"/>
      <c r="AB639" s="1351"/>
      <c r="AC639" s="1351"/>
      <c r="AD639" s="1351"/>
      <c r="AE639" s="1351"/>
      <c r="AF639" s="1351"/>
      <c r="AG639" s="1351"/>
      <c r="AH639" s="1351"/>
      <c r="AI639" s="1351"/>
      <c r="AJ639" s="1351"/>
      <c r="AK639" s="1351"/>
      <c r="AZ639" s="34"/>
      <c r="BA639" s="34"/>
      <c r="BB639" s="34"/>
      <c r="BC639" s="34"/>
      <c r="BD639" s="34"/>
      <c r="BE639" s="34"/>
      <c r="BF639" s="34"/>
      <c r="BG639" s="34"/>
      <c r="BH639" s="34"/>
      <c r="BI639" s="34"/>
      <c r="BJ639" s="34"/>
      <c r="BK639" s="34"/>
      <c r="BL639" s="34"/>
      <c r="BM639" s="34"/>
      <c r="BN639" s="1408">
        <f t="shared" si="30"/>
        <v>0</v>
      </c>
      <c r="BO639" s="1409"/>
      <c r="BP639" s="1409"/>
      <c r="BQ639" s="1409"/>
      <c r="BR639" s="1410"/>
      <c r="BS639" s="1417">
        <f t="shared" si="31"/>
        <v>0</v>
      </c>
      <c r="BT639" s="1417"/>
      <c r="BU639" s="1417"/>
      <c r="BV639" s="1417"/>
      <c r="BW639" s="1417"/>
      <c r="BX639" s="1417">
        <f t="shared" si="32"/>
        <v>0</v>
      </c>
      <c r="BY639" s="1417"/>
      <c r="BZ639" s="1417"/>
      <c r="CA639" s="1417"/>
      <c r="CB639" s="1417"/>
      <c r="CC639" s="1417">
        <f t="shared" si="33"/>
        <v>0</v>
      </c>
      <c r="CD639" s="1417"/>
      <c r="CE639" s="1417"/>
      <c r="CF639" s="1417"/>
      <c r="CG639" s="1417"/>
      <c r="CH639" s="1417">
        <f t="shared" si="34"/>
        <v>0</v>
      </c>
      <c r="CI639" s="1417"/>
      <c r="CJ639" s="1417"/>
      <c r="CK639" s="1417"/>
      <c r="CL639" s="1417"/>
      <c r="CM639" s="1417">
        <f t="shared" si="35"/>
        <v>0</v>
      </c>
      <c r="CN639" s="1417"/>
      <c r="CO639" s="1417"/>
      <c r="CP639" s="1417"/>
      <c r="CQ639" s="1417"/>
      <c r="CR639" s="6"/>
      <c r="CS639" s="1408">
        <f t="shared" si="36"/>
        <v>0</v>
      </c>
      <c r="CT639" s="1409"/>
      <c r="CU639" s="1409"/>
      <c r="CV639" s="1409"/>
      <c r="CW639" s="1410"/>
      <c r="CX639" s="1408">
        <f t="shared" si="37"/>
        <v>0</v>
      </c>
      <c r="CY639" s="1409"/>
      <c r="CZ639" s="1409"/>
      <c r="DA639" s="1409"/>
      <c r="DB639" s="1410"/>
      <c r="DC639" s="1408">
        <f t="shared" si="38"/>
        <v>0</v>
      </c>
      <c r="DD639" s="1409"/>
      <c r="DE639" s="1409"/>
      <c r="DF639" s="1409"/>
      <c r="DG639" s="1410"/>
      <c r="DH639" s="1408">
        <f t="shared" si="39"/>
        <v>0</v>
      </c>
      <c r="DI639" s="1409"/>
      <c r="DJ639" s="1409"/>
      <c r="DK639" s="1409"/>
      <c r="DL639" s="1410"/>
      <c r="DM639" s="1408">
        <f t="shared" si="40"/>
        <v>0</v>
      </c>
      <c r="DN639" s="1409"/>
      <c r="DO639" s="1409"/>
      <c r="DP639" s="1409"/>
      <c r="DQ639" s="1410"/>
      <c r="DR639" s="1408">
        <f t="shared" si="41"/>
        <v>0</v>
      </c>
      <c r="DS639" s="1409"/>
      <c r="DT639" s="1409"/>
      <c r="DU639" s="1409"/>
      <c r="DV639" s="1410"/>
      <c r="DX639" s="1406" t="e">
        <f t="shared" si="23"/>
        <v>#VALUE!</v>
      </c>
      <c r="DY639" s="1406"/>
      <c r="DZ639" s="1406"/>
      <c r="EA639" s="1406"/>
      <c r="EB639" s="1406"/>
      <c r="EC639" s="1406" t="e">
        <f t="shared" si="24"/>
        <v>#VALUE!</v>
      </c>
      <c r="ED639" s="1406"/>
      <c r="EE639" s="1406"/>
      <c r="EF639" s="1406"/>
      <c r="EG639" s="1406"/>
      <c r="EH639" s="1406" t="e">
        <f t="shared" si="25"/>
        <v>#VALUE!</v>
      </c>
      <c r="EI639" s="1406"/>
      <c r="EJ639" s="1406"/>
      <c r="EK639" s="1406"/>
      <c r="EL639" s="1406"/>
      <c r="EM639" s="1406">
        <f t="shared" si="26"/>
        <v>1055.952380952381</v>
      </c>
      <c r="EN639" s="1406"/>
      <c r="EO639" s="1406"/>
      <c r="EP639" s="1406"/>
      <c r="EQ639" s="1406"/>
      <c r="ER639" s="1406" t="e">
        <f t="shared" si="27"/>
        <v>#VALUE!</v>
      </c>
      <c r="ES639" s="1406"/>
      <c r="ET639" s="1406"/>
      <c r="EU639" s="1406"/>
      <c r="EV639" s="1406"/>
      <c r="EW639" s="1406" t="e">
        <f t="shared" si="28"/>
        <v>#VALUE!</v>
      </c>
      <c r="EX639" s="1406"/>
      <c r="EY639" s="1406"/>
      <c r="EZ639" s="1406"/>
      <c r="FA639" s="1406"/>
    </row>
    <row r="640" spans="1:157" ht="12.95" customHeight="1">
      <c r="A640" s="22"/>
      <c r="B640" t="s">
        <v>86</v>
      </c>
      <c r="G640" s="1352" t="s">
        <v>2701</v>
      </c>
      <c r="H640" s="1352"/>
      <c r="I640" s="1352"/>
      <c r="J640" s="1352"/>
      <c r="K640" s="1352"/>
      <c r="L640" s="1352"/>
      <c r="M640" s="1352"/>
      <c r="N640" s="1352"/>
      <c r="O640" s="1352"/>
      <c r="P640" s="1352"/>
      <c r="Q640" s="1352"/>
      <c r="R640" s="1352"/>
      <c r="S640" s="8"/>
      <c r="T640" s="22"/>
      <c r="U640" t="s">
        <v>86</v>
      </c>
      <c r="Z640" s="1598" t="s">
        <v>2638</v>
      </c>
      <c r="AA640" s="1352"/>
      <c r="AB640" s="1352"/>
      <c r="AC640" s="1352"/>
      <c r="AD640" s="1352"/>
      <c r="AE640" s="1352"/>
      <c r="AF640" s="1352"/>
      <c r="AG640" s="1352"/>
      <c r="AH640" s="1352"/>
      <c r="AI640" s="1352"/>
      <c r="AJ640" s="1352"/>
      <c r="AK640" s="1352"/>
      <c r="AZ640" s="34"/>
      <c r="BA640" s="34"/>
      <c r="BB640" s="34"/>
      <c r="BC640" s="34"/>
      <c r="BD640" s="34"/>
      <c r="BE640" s="34"/>
      <c r="BF640" s="34"/>
      <c r="BG640" s="34"/>
      <c r="BH640" s="34"/>
      <c r="BI640" s="34"/>
      <c r="BJ640" s="34"/>
      <c r="BK640" s="34"/>
      <c r="BL640" s="34"/>
      <c r="BM640" s="34"/>
      <c r="BN640" s="1408">
        <f t="shared" si="30"/>
        <v>0</v>
      </c>
      <c r="BO640" s="1409"/>
      <c r="BP640" s="1409"/>
      <c r="BQ640" s="1409"/>
      <c r="BR640" s="1410"/>
      <c r="BS640" s="1417">
        <f t="shared" si="31"/>
        <v>0</v>
      </c>
      <c r="BT640" s="1417"/>
      <c r="BU640" s="1417"/>
      <c r="BV640" s="1417"/>
      <c r="BW640" s="1417"/>
      <c r="BX640" s="1417">
        <f t="shared" si="32"/>
        <v>0</v>
      </c>
      <c r="BY640" s="1417"/>
      <c r="BZ640" s="1417"/>
      <c r="CA640" s="1417"/>
      <c r="CB640" s="1417"/>
      <c r="CC640" s="1417">
        <f t="shared" si="33"/>
        <v>0</v>
      </c>
      <c r="CD640" s="1417"/>
      <c r="CE640" s="1417"/>
      <c r="CF640" s="1417"/>
      <c r="CG640" s="1417"/>
      <c r="CH640" s="1417">
        <f t="shared" si="34"/>
        <v>0</v>
      </c>
      <c r="CI640" s="1417"/>
      <c r="CJ640" s="1417"/>
      <c r="CK640" s="1417"/>
      <c r="CL640" s="1417"/>
      <c r="CM640" s="1417">
        <f t="shared" si="35"/>
        <v>0</v>
      </c>
      <c r="CN640" s="1417"/>
      <c r="CO640" s="1417"/>
      <c r="CP640" s="1417"/>
      <c r="CQ640" s="1417"/>
      <c r="CR640" s="6"/>
      <c r="CS640" s="1408">
        <f t="shared" si="36"/>
        <v>0</v>
      </c>
      <c r="CT640" s="1409"/>
      <c r="CU640" s="1409"/>
      <c r="CV640" s="1409"/>
      <c r="CW640" s="1410"/>
      <c r="CX640" s="1408">
        <f t="shared" si="37"/>
        <v>0</v>
      </c>
      <c r="CY640" s="1409"/>
      <c r="CZ640" s="1409"/>
      <c r="DA640" s="1409"/>
      <c r="DB640" s="1410"/>
      <c r="DC640" s="1408">
        <f t="shared" si="38"/>
        <v>0</v>
      </c>
      <c r="DD640" s="1409"/>
      <c r="DE640" s="1409"/>
      <c r="DF640" s="1409"/>
      <c r="DG640" s="1410"/>
      <c r="DH640" s="1408">
        <f t="shared" si="39"/>
        <v>0</v>
      </c>
      <c r="DI640" s="1409"/>
      <c r="DJ640" s="1409"/>
      <c r="DK640" s="1409"/>
      <c r="DL640" s="1410"/>
      <c r="DM640" s="1408">
        <f t="shared" si="40"/>
        <v>0</v>
      </c>
      <c r="DN640" s="1409"/>
      <c r="DO640" s="1409"/>
      <c r="DP640" s="1409"/>
      <c r="DQ640" s="1410"/>
      <c r="DR640" s="1408">
        <f t="shared" si="41"/>
        <v>0</v>
      </c>
      <c r="DS640" s="1409"/>
      <c r="DT640" s="1409"/>
      <c r="DU640" s="1409"/>
      <c r="DV640" s="1410"/>
      <c r="DX640" s="1406" t="e">
        <f t="shared" si="23"/>
        <v>#VALUE!</v>
      </c>
      <c r="DY640" s="1406"/>
      <c r="DZ640" s="1406"/>
      <c r="EA640" s="1406"/>
      <c r="EB640" s="1406"/>
      <c r="EC640" s="1406" t="e">
        <f t="shared" si="24"/>
        <v>#VALUE!</v>
      </c>
      <c r="ED640" s="1406"/>
      <c r="EE640" s="1406"/>
      <c r="EF640" s="1406"/>
      <c r="EG640" s="1406"/>
      <c r="EH640" s="1406" t="e">
        <f t="shared" si="25"/>
        <v>#VALUE!</v>
      </c>
      <c r="EI640" s="1406"/>
      <c r="EJ640" s="1406"/>
      <c r="EK640" s="1406"/>
      <c r="EL640" s="1406"/>
      <c r="EM640" s="1406" t="e">
        <f t="shared" si="26"/>
        <v>#VALUE!</v>
      </c>
      <c r="EN640" s="1406"/>
      <c r="EO640" s="1406"/>
      <c r="EP640" s="1406"/>
      <c r="EQ640" s="1406"/>
      <c r="ER640" s="1406" t="e">
        <f t="shared" si="27"/>
        <v>#VALUE!</v>
      </c>
      <c r="ES640" s="1406"/>
      <c r="ET640" s="1406"/>
      <c r="EU640" s="1406"/>
      <c r="EV640" s="1406"/>
      <c r="EW640" s="1406" t="e">
        <f t="shared" si="28"/>
        <v>#VALUE!</v>
      </c>
      <c r="EX640" s="1406"/>
      <c r="EY640" s="1406"/>
      <c r="EZ640" s="1406"/>
      <c r="FA640" s="1406"/>
    </row>
    <row r="641" spans="1:157" ht="12.95" customHeight="1">
      <c r="A641" s="22"/>
      <c r="B641" t="s">
        <v>589</v>
      </c>
      <c r="G641" s="1352" t="s">
        <v>2702</v>
      </c>
      <c r="H641" s="1352"/>
      <c r="I641" s="1352"/>
      <c r="J641" s="1352"/>
      <c r="K641" s="1352"/>
      <c r="L641" s="1352"/>
      <c r="M641" s="1352"/>
      <c r="N641" s="1352"/>
      <c r="O641" s="1352"/>
      <c r="P641" s="1352"/>
      <c r="Q641" s="1352"/>
      <c r="R641" s="1352"/>
      <c r="T641" s="22"/>
      <c r="U641" t="s">
        <v>589</v>
      </c>
      <c r="Z641" s="1627" t="s">
        <v>2628</v>
      </c>
      <c r="AA641" s="1359"/>
      <c r="AB641" s="1359"/>
      <c r="AC641" s="1359"/>
      <c r="AD641" s="1359"/>
      <c r="AE641" s="1359"/>
      <c r="AF641" s="1359"/>
      <c r="AG641" s="1359"/>
      <c r="AH641" s="1359"/>
      <c r="AI641" s="1359"/>
      <c r="AJ641" s="1359"/>
      <c r="AK641" s="1359"/>
      <c r="AZ641" s="34"/>
      <c r="BA641" s="34"/>
      <c r="BB641" s="34"/>
      <c r="BC641" s="34"/>
      <c r="BD641" s="34"/>
      <c r="BE641" s="34"/>
      <c r="BF641" s="34"/>
      <c r="BG641" s="34"/>
      <c r="BH641" s="34"/>
      <c r="BI641" s="34"/>
      <c r="BJ641" s="34"/>
      <c r="BK641" s="34"/>
      <c r="BL641" s="34"/>
      <c r="BM641" s="34"/>
      <c r="BN641" s="1408">
        <f t="shared" si="30"/>
        <v>0</v>
      </c>
      <c r="BO641" s="1409"/>
      <c r="BP641" s="1409"/>
      <c r="BQ641" s="1409"/>
      <c r="BR641" s="1410"/>
      <c r="BS641" s="1417">
        <f t="shared" si="31"/>
        <v>0</v>
      </c>
      <c r="BT641" s="1417"/>
      <c r="BU641" s="1417"/>
      <c r="BV641" s="1417"/>
      <c r="BW641" s="1417"/>
      <c r="BX641" s="1417">
        <f t="shared" si="32"/>
        <v>0</v>
      </c>
      <c r="BY641" s="1417"/>
      <c r="BZ641" s="1417"/>
      <c r="CA641" s="1417"/>
      <c r="CB641" s="1417"/>
      <c r="CC641" s="1417">
        <f t="shared" si="33"/>
        <v>0</v>
      </c>
      <c r="CD641" s="1417"/>
      <c r="CE641" s="1417"/>
      <c r="CF641" s="1417"/>
      <c r="CG641" s="1417"/>
      <c r="CH641" s="1417">
        <f t="shared" si="34"/>
        <v>0</v>
      </c>
      <c r="CI641" s="1417"/>
      <c r="CJ641" s="1417"/>
      <c r="CK641" s="1417"/>
      <c r="CL641" s="1417"/>
      <c r="CM641" s="1417">
        <f t="shared" si="35"/>
        <v>0</v>
      </c>
      <c r="CN641" s="1417"/>
      <c r="CO641" s="1417"/>
      <c r="CP641" s="1417"/>
      <c r="CQ641" s="1417"/>
      <c r="CR641" s="6"/>
      <c r="CS641" s="1408">
        <f t="shared" si="36"/>
        <v>0</v>
      </c>
      <c r="CT641" s="1409"/>
      <c r="CU641" s="1409"/>
      <c r="CV641" s="1409"/>
      <c r="CW641" s="1410"/>
      <c r="CX641" s="1408">
        <f t="shared" si="37"/>
        <v>0</v>
      </c>
      <c r="CY641" s="1409"/>
      <c r="CZ641" s="1409"/>
      <c r="DA641" s="1409"/>
      <c r="DB641" s="1410"/>
      <c r="DC641" s="1408">
        <f t="shared" si="38"/>
        <v>0</v>
      </c>
      <c r="DD641" s="1409"/>
      <c r="DE641" s="1409"/>
      <c r="DF641" s="1409"/>
      <c r="DG641" s="1410"/>
      <c r="DH641" s="1408">
        <f t="shared" si="39"/>
        <v>0</v>
      </c>
      <c r="DI641" s="1409"/>
      <c r="DJ641" s="1409"/>
      <c r="DK641" s="1409"/>
      <c r="DL641" s="1410"/>
      <c r="DM641" s="1408">
        <f t="shared" si="40"/>
        <v>0</v>
      </c>
      <c r="DN641" s="1409"/>
      <c r="DO641" s="1409"/>
      <c r="DP641" s="1409"/>
      <c r="DQ641" s="1410"/>
      <c r="DR641" s="1408">
        <f t="shared" si="41"/>
        <v>0</v>
      </c>
      <c r="DS641" s="1409"/>
      <c r="DT641" s="1409"/>
      <c r="DU641" s="1409"/>
      <c r="DV641" s="1410"/>
      <c r="DX641" s="1406" t="e">
        <f t="shared" si="23"/>
        <v>#VALUE!</v>
      </c>
      <c r="DY641" s="1406"/>
      <c r="DZ641" s="1406"/>
      <c r="EA641" s="1406"/>
      <c r="EB641" s="1406"/>
      <c r="EC641" s="1406" t="e">
        <f t="shared" si="24"/>
        <v>#VALUE!</v>
      </c>
      <c r="ED641" s="1406"/>
      <c r="EE641" s="1406"/>
      <c r="EF641" s="1406"/>
      <c r="EG641" s="1406"/>
      <c r="EH641" s="1406" t="e">
        <f t="shared" si="25"/>
        <v>#VALUE!</v>
      </c>
      <c r="EI641" s="1406"/>
      <c r="EJ641" s="1406"/>
      <c r="EK641" s="1406"/>
      <c r="EL641" s="1406"/>
      <c r="EM641" s="1406" t="e">
        <f t="shared" si="26"/>
        <v>#VALUE!</v>
      </c>
      <c r="EN641" s="1406"/>
      <c r="EO641" s="1406"/>
      <c r="EP641" s="1406"/>
      <c r="EQ641" s="1406"/>
      <c r="ER641" s="1406" t="e">
        <f t="shared" si="27"/>
        <v>#VALUE!</v>
      </c>
      <c r="ES641" s="1406"/>
      <c r="ET641" s="1406"/>
      <c r="EU641" s="1406"/>
      <c r="EV641" s="1406"/>
      <c r="EW641" s="1406" t="e">
        <f t="shared" si="28"/>
        <v>#VALUE!</v>
      </c>
      <c r="EX641" s="1406"/>
      <c r="EY641" s="1406"/>
      <c r="EZ641" s="1406"/>
      <c r="FA641" s="1406"/>
    </row>
    <row r="642" spans="1:157" ht="12.95" customHeight="1">
      <c r="A642" s="22"/>
      <c r="B642" t="s">
        <v>17</v>
      </c>
      <c r="G642" s="1352" t="s">
        <v>2703</v>
      </c>
      <c r="H642" s="1352"/>
      <c r="I642" s="1352"/>
      <c r="J642" s="1352"/>
      <c r="K642" s="1352"/>
      <c r="L642" s="1352"/>
      <c r="M642" s="1352"/>
      <c r="N642" s="1352"/>
      <c r="O642" s="1352"/>
      <c r="P642" s="1352"/>
      <c r="Q642" s="1352"/>
      <c r="R642" s="1352"/>
      <c r="S642" s="8"/>
      <c r="T642" s="22"/>
      <c r="U642" t="s">
        <v>17</v>
      </c>
      <c r="Z642" s="1627" t="s">
        <v>2654</v>
      </c>
      <c r="AA642" s="1359"/>
      <c r="AB642" s="1359"/>
      <c r="AC642" s="1359"/>
      <c r="AD642" s="1359"/>
      <c r="AE642" s="1359"/>
      <c r="AF642" s="1359"/>
      <c r="AG642" s="1359"/>
      <c r="AH642" s="1359"/>
      <c r="AI642" s="1359"/>
      <c r="AJ642" s="1359"/>
      <c r="AK642" s="1359"/>
      <c r="AZ642" s="34"/>
      <c r="BA642" s="34"/>
      <c r="BB642" s="34"/>
      <c r="BC642" s="34"/>
      <c r="BD642" s="34"/>
      <c r="BE642" s="34"/>
      <c r="BF642" s="34"/>
      <c r="BG642" s="34"/>
      <c r="BH642" s="34"/>
      <c r="BI642" s="34"/>
      <c r="BJ642" s="34"/>
      <c r="BK642" s="34"/>
      <c r="BL642" s="34"/>
      <c r="BM642" s="34"/>
      <c r="BN642" s="1408">
        <f t="shared" si="30"/>
        <v>0</v>
      </c>
      <c r="BO642" s="1409"/>
      <c r="BP642" s="1409"/>
      <c r="BQ642" s="1409"/>
      <c r="BR642" s="1410"/>
      <c r="BS642" s="1417">
        <f t="shared" si="31"/>
        <v>0</v>
      </c>
      <c r="BT642" s="1417"/>
      <c r="BU642" s="1417"/>
      <c r="BV642" s="1417"/>
      <c r="BW642" s="1417"/>
      <c r="BX642" s="1417">
        <f t="shared" si="32"/>
        <v>0</v>
      </c>
      <c r="BY642" s="1417"/>
      <c r="BZ642" s="1417"/>
      <c r="CA642" s="1417"/>
      <c r="CB642" s="1417"/>
      <c r="CC642" s="1417">
        <f t="shared" si="33"/>
        <v>0</v>
      </c>
      <c r="CD642" s="1417"/>
      <c r="CE642" s="1417"/>
      <c r="CF642" s="1417"/>
      <c r="CG642" s="1417"/>
      <c r="CH642" s="1417">
        <f t="shared" si="34"/>
        <v>0</v>
      </c>
      <c r="CI642" s="1417"/>
      <c r="CJ642" s="1417"/>
      <c r="CK642" s="1417"/>
      <c r="CL642" s="1417"/>
      <c r="CM642" s="1417">
        <f t="shared" si="35"/>
        <v>0</v>
      </c>
      <c r="CN642" s="1417"/>
      <c r="CO642" s="1417"/>
      <c r="CP642" s="1417"/>
      <c r="CQ642" s="1417"/>
      <c r="CR642" s="6"/>
      <c r="CS642" s="1408">
        <f t="shared" si="36"/>
        <v>0</v>
      </c>
      <c r="CT642" s="1409"/>
      <c r="CU642" s="1409"/>
      <c r="CV642" s="1409"/>
      <c r="CW642" s="1410"/>
      <c r="CX642" s="1408">
        <f t="shared" si="37"/>
        <v>0</v>
      </c>
      <c r="CY642" s="1409"/>
      <c r="CZ642" s="1409"/>
      <c r="DA642" s="1409"/>
      <c r="DB642" s="1410"/>
      <c r="DC642" s="1408">
        <f t="shared" si="38"/>
        <v>0</v>
      </c>
      <c r="DD642" s="1409"/>
      <c r="DE642" s="1409"/>
      <c r="DF642" s="1409"/>
      <c r="DG642" s="1410"/>
      <c r="DH642" s="1408">
        <f t="shared" si="39"/>
        <v>0</v>
      </c>
      <c r="DI642" s="1409"/>
      <c r="DJ642" s="1409"/>
      <c r="DK642" s="1409"/>
      <c r="DL642" s="1410"/>
      <c r="DM642" s="1408">
        <f t="shared" si="40"/>
        <v>0</v>
      </c>
      <c r="DN642" s="1409"/>
      <c r="DO642" s="1409"/>
      <c r="DP642" s="1409"/>
      <c r="DQ642" s="1410"/>
      <c r="DR642" s="1408">
        <f t="shared" si="41"/>
        <v>0</v>
      </c>
      <c r="DS642" s="1409"/>
      <c r="DT642" s="1409"/>
      <c r="DU642" s="1409"/>
      <c r="DV642" s="1410"/>
      <c r="DX642" s="1406" t="e">
        <f t="shared" si="23"/>
        <v>#VALUE!</v>
      </c>
      <c r="DY642" s="1406"/>
      <c r="DZ642" s="1406"/>
      <c r="EA642" s="1406"/>
      <c r="EB642" s="1406"/>
      <c r="EC642" s="1406" t="e">
        <f t="shared" si="24"/>
        <v>#VALUE!</v>
      </c>
      <c r="ED642" s="1406"/>
      <c r="EE642" s="1406"/>
      <c r="EF642" s="1406"/>
      <c r="EG642" s="1406"/>
      <c r="EH642" s="1406" t="e">
        <f t="shared" si="25"/>
        <v>#VALUE!</v>
      </c>
      <c r="EI642" s="1406"/>
      <c r="EJ642" s="1406"/>
      <c r="EK642" s="1406"/>
      <c r="EL642" s="1406"/>
      <c r="EM642" s="1406" t="e">
        <f t="shared" si="26"/>
        <v>#VALUE!</v>
      </c>
      <c r="EN642" s="1406"/>
      <c r="EO642" s="1406"/>
      <c r="EP642" s="1406"/>
      <c r="EQ642" s="1406"/>
      <c r="ER642" s="1406" t="e">
        <f t="shared" si="27"/>
        <v>#VALUE!</v>
      </c>
      <c r="ES642" s="1406"/>
      <c r="ET642" s="1406"/>
      <c r="EU642" s="1406"/>
      <c r="EV642" s="1406"/>
      <c r="EW642" s="1406" t="e">
        <f t="shared" si="28"/>
        <v>#VALUE!</v>
      </c>
      <c r="EX642" s="1406"/>
      <c r="EY642" s="1406"/>
      <c r="EZ642" s="1406"/>
      <c r="FA642" s="1406"/>
    </row>
    <row r="643" spans="1:157" ht="12.95" customHeight="1">
      <c r="A643" s="22"/>
      <c r="B643" t="s">
        <v>317</v>
      </c>
      <c r="G643" s="1354">
        <v>8055570933</v>
      </c>
      <c r="H643" s="1354"/>
      <c r="I643" s="1354"/>
      <c r="J643" s="1354"/>
      <c r="K643" s="1354"/>
      <c r="L643" s="1354"/>
      <c r="O643" s="33" t="s">
        <v>207</v>
      </c>
      <c r="P643" s="1350"/>
      <c r="Q643" s="1350"/>
      <c r="R643" s="1350"/>
      <c r="S643" s="10"/>
      <c r="T643" s="22"/>
      <c r="U643" t="s">
        <v>317</v>
      </c>
      <c r="Z643" s="1354">
        <v>9167736060</v>
      </c>
      <c r="AA643" s="1354"/>
      <c r="AB643" s="1354"/>
      <c r="AC643" s="1354"/>
      <c r="AD643" s="1354"/>
      <c r="AE643" s="1354"/>
      <c r="AH643" s="33" t="s">
        <v>207</v>
      </c>
      <c r="AI643" s="1350"/>
      <c r="AJ643" s="1350"/>
      <c r="AK643" s="1350"/>
      <c r="AZ643" s="34"/>
      <c r="BA643" s="34"/>
      <c r="BB643" s="34"/>
      <c r="BC643" s="34"/>
      <c r="BD643" s="34"/>
      <c r="BE643" s="34"/>
      <c r="BF643" s="34"/>
      <c r="BG643" s="34"/>
      <c r="BH643" s="34"/>
      <c r="BI643" s="34"/>
      <c r="BJ643" s="34"/>
      <c r="BK643" s="34"/>
      <c r="BL643" s="34"/>
      <c r="BM643" s="34"/>
      <c r="BN643" s="1408">
        <f t="shared" si="30"/>
        <v>0</v>
      </c>
      <c r="BO643" s="1409"/>
      <c r="BP643" s="1409"/>
      <c r="BQ643" s="1409"/>
      <c r="BR643" s="1410"/>
      <c r="BS643" s="1417">
        <f t="shared" si="31"/>
        <v>0</v>
      </c>
      <c r="BT643" s="1417"/>
      <c r="BU643" s="1417"/>
      <c r="BV643" s="1417"/>
      <c r="BW643" s="1417"/>
      <c r="BX643" s="1417">
        <f t="shared" si="32"/>
        <v>0</v>
      </c>
      <c r="BY643" s="1417"/>
      <c r="BZ643" s="1417"/>
      <c r="CA643" s="1417"/>
      <c r="CB643" s="1417"/>
      <c r="CC643" s="1417">
        <f t="shared" si="33"/>
        <v>0</v>
      </c>
      <c r="CD643" s="1417"/>
      <c r="CE643" s="1417"/>
      <c r="CF643" s="1417"/>
      <c r="CG643" s="1417"/>
      <c r="CH643" s="1417">
        <f t="shared" si="34"/>
        <v>0</v>
      </c>
      <c r="CI643" s="1417"/>
      <c r="CJ643" s="1417"/>
      <c r="CK643" s="1417"/>
      <c r="CL643" s="1417"/>
      <c r="CM643" s="1417">
        <f t="shared" si="35"/>
        <v>0</v>
      </c>
      <c r="CN643" s="1417"/>
      <c r="CO643" s="1417"/>
      <c r="CP643" s="1417"/>
      <c r="CQ643" s="1417"/>
      <c r="CR643" s="6"/>
      <c r="CS643" s="1408">
        <f t="shared" si="36"/>
        <v>0</v>
      </c>
      <c r="CT643" s="1409"/>
      <c r="CU643" s="1409"/>
      <c r="CV643" s="1409"/>
      <c r="CW643" s="1410"/>
      <c r="CX643" s="1408">
        <f t="shared" si="37"/>
        <v>0</v>
      </c>
      <c r="CY643" s="1409"/>
      <c r="CZ643" s="1409"/>
      <c r="DA643" s="1409"/>
      <c r="DB643" s="1410"/>
      <c r="DC643" s="1408">
        <f t="shared" si="38"/>
        <v>0</v>
      </c>
      <c r="DD643" s="1409"/>
      <c r="DE643" s="1409"/>
      <c r="DF643" s="1409"/>
      <c r="DG643" s="1410"/>
      <c r="DH643" s="1408">
        <f t="shared" si="39"/>
        <v>0</v>
      </c>
      <c r="DI643" s="1409"/>
      <c r="DJ643" s="1409"/>
      <c r="DK643" s="1409"/>
      <c r="DL643" s="1410"/>
      <c r="DM643" s="1408">
        <f t="shared" si="40"/>
        <v>0</v>
      </c>
      <c r="DN643" s="1409"/>
      <c r="DO643" s="1409"/>
      <c r="DP643" s="1409"/>
      <c r="DQ643" s="1410"/>
      <c r="DR643" s="1408">
        <f t="shared" si="41"/>
        <v>0</v>
      </c>
      <c r="DS643" s="1409"/>
      <c r="DT643" s="1409"/>
      <c r="DU643" s="1409"/>
      <c r="DV643" s="1410"/>
      <c r="DX643" s="1406" t="e">
        <f t="shared" si="23"/>
        <v>#VALUE!</v>
      </c>
      <c r="DY643" s="1406"/>
      <c r="DZ643" s="1406"/>
      <c r="EA643" s="1406"/>
      <c r="EB643" s="1406"/>
      <c r="EC643" s="1406" t="e">
        <f t="shared" si="24"/>
        <v>#VALUE!</v>
      </c>
      <c r="ED643" s="1406"/>
      <c r="EE643" s="1406"/>
      <c r="EF643" s="1406"/>
      <c r="EG643" s="1406"/>
      <c r="EH643" s="1406" t="e">
        <f t="shared" si="25"/>
        <v>#VALUE!</v>
      </c>
      <c r="EI643" s="1406"/>
      <c r="EJ643" s="1406"/>
      <c r="EK643" s="1406"/>
      <c r="EL643" s="1406"/>
      <c r="EM643" s="1406" t="e">
        <f t="shared" si="26"/>
        <v>#VALUE!</v>
      </c>
      <c r="EN643" s="1406"/>
      <c r="EO643" s="1406"/>
      <c r="EP643" s="1406"/>
      <c r="EQ643" s="1406"/>
      <c r="ER643" s="1406" t="e">
        <f t="shared" si="27"/>
        <v>#VALUE!</v>
      </c>
      <c r="ES643" s="1406"/>
      <c r="ET643" s="1406"/>
      <c r="EU643" s="1406"/>
      <c r="EV643" s="1406"/>
      <c r="EW643" s="1406" t="e">
        <f t="shared" si="28"/>
        <v>#VALUE!</v>
      </c>
      <c r="EX643" s="1406"/>
      <c r="EY643" s="1406"/>
      <c r="EZ643" s="1406"/>
      <c r="FA643" s="1406"/>
    </row>
    <row r="644" spans="1:157" ht="12.95" customHeight="1">
      <c r="A644" s="22"/>
      <c r="B644" t="s">
        <v>18</v>
      </c>
      <c r="H644" s="1352" t="s">
        <v>2706</v>
      </c>
      <c r="I644" s="1352"/>
      <c r="J644" s="1352"/>
      <c r="K644" s="1352"/>
      <c r="L644" s="1352"/>
      <c r="M644" s="1352"/>
      <c r="N644" s="1352"/>
      <c r="O644" s="1352"/>
      <c r="P644" s="1352"/>
      <c r="Q644" s="1352"/>
      <c r="R644" s="1352"/>
      <c r="S644" s="8"/>
      <c r="T644" s="22"/>
      <c r="U644" t="s">
        <v>18</v>
      </c>
      <c r="AA644" s="1598" t="s">
        <v>2718</v>
      </c>
      <c r="AB644" s="1352"/>
      <c r="AC644" s="1352"/>
      <c r="AD644" s="1352"/>
      <c r="AE644" s="1352"/>
      <c r="AF644" s="1352"/>
      <c r="AG644" s="1352"/>
      <c r="AH644" s="1352"/>
      <c r="AI644" s="1352"/>
      <c r="AJ644" s="1352"/>
      <c r="AK644" s="1352"/>
      <c r="AZ644" s="34"/>
      <c r="BA644" s="34"/>
      <c r="BB644" s="34"/>
      <c r="BC644" s="34"/>
      <c r="BD644" s="34"/>
      <c r="BE644" s="34"/>
      <c r="BF644" s="34"/>
      <c r="BG644" s="34"/>
      <c r="BH644" s="34"/>
      <c r="BI644" s="34"/>
      <c r="BJ644" s="34"/>
      <c r="BK644" s="34"/>
      <c r="BL644" s="34"/>
      <c r="BM644" s="34"/>
      <c r="BN644" s="1427">
        <f>SUM(BN634:BR643)</f>
        <v>0</v>
      </c>
      <c r="BO644" s="1590"/>
      <c r="BP644" s="1590"/>
      <c r="BQ644" s="1590"/>
      <c r="BR644" s="1428"/>
      <c r="BS644" s="1411">
        <f>SUM(BS634:BW643)</f>
        <v>0</v>
      </c>
      <c r="BT644" s="1412"/>
      <c r="BU644" s="1412"/>
      <c r="BV644" s="1412"/>
      <c r="BW644" s="1413"/>
      <c r="BX644" s="1411">
        <f>SUM(BX634:CB643)</f>
        <v>0</v>
      </c>
      <c r="BY644" s="1412"/>
      <c r="BZ644" s="1412"/>
      <c r="CA644" s="1412"/>
      <c r="CB644" s="1413"/>
      <c r="CC644" s="1411">
        <f>SUM(CC634:CG643)</f>
        <v>0</v>
      </c>
      <c r="CD644" s="1412"/>
      <c r="CE644" s="1412"/>
      <c r="CF644" s="1412"/>
      <c r="CG644" s="1413"/>
      <c r="CH644" s="1411">
        <f>SUM(CH634:CL643)</f>
        <v>0</v>
      </c>
      <c r="CI644" s="1412"/>
      <c r="CJ644" s="1412"/>
      <c r="CK644" s="1412"/>
      <c r="CL644" s="1413"/>
      <c r="CM644" s="1411">
        <f>SUM(CM634:CQ643)</f>
        <v>0</v>
      </c>
      <c r="CN644" s="1412"/>
      <c r="CO644" s="1412"/>
      <c r="CP644" s="1412"/>
      <c r="CQ644" s="1413"/>
      <c r="CR644" s="1049"/>
      <c r="CS644" s="1407">
        <f>SUM(CS634:CW643)</f>
        <v>0</v>
      </c>
      <c r="CT644" s="1407"/>
      <c r="CU644" s="1407"/>
      <c r="CV644" s="1407"/>
      <c r="CW644" s="1407"/>
      <c r="CX644" s="1407">
        <f>SUM(CX634:DB643)</f>
        <v>0</v>
      </c>
      <c r="CY644" s="1407"/>
      <c r="CZ644" s="1407"/>
      <c r="DA644" s="1407"/>
      <c r="DB644" s="1407"/>
      <c r="DC644" s="1407">
        <f>SUM(DC634:DG643)</f>
        <v>0</v>
      </c>
      <c r="DD644" s="1407"/>
      <c r="DE644" s="1407"/>
      <c r="DF644" s="1407"/>
      <c r="DG644" s="1407"/>
      <c r="DH644" s="1407">
        <f>SUM(DH634:DL643)</f>
        <v>0</v>
      </c>
      <c r="DI644" s="1407"/>
      <c r="DJ644" s="1407"/>
      <c r="DK644" s="1407"/>
      <c r="DL644" s="1407"/>
      <c r="DM644" s="1407">
        <f>SUM(DM634:DQ643)</f>
        <v>0</v>
      </c>
      <c r="DN644" s="1407"/>
      <c r="DO644" s="1407"/>
      <c r="DP644" s="1407"/>
      <c r="DQ644" s="1407"/>
      <c r="DR644" s="1407">
        <f>SUM(DR634:DV643)</f>
        <v>0</v>
      </c>
      <c r="DS644" s="1407"/>
      <c r="DT644" s="1407"/>
      <c r="DU644" s="1407"/>
      <c r="DV644" s="1407"/>
      <c r="DX644" s="1406" t="e">
        <f t="shared" si="23"/>
        <v>#VALUE!</v>
      </c>
      <c r="DY644" s="1406"/>
      <c r="DZ644" s="1406"/>
      <c r="EA644" s="1406"/>
      <c r="EB644" s="1406"/>
      <c r="EC644" s="1406" t="e">
        <f t="shared" si="24"/>
        <v>#VALUE!</v>
      </c>
      <c r="ED644" s="1406"/>
      <c r="EE644" s="1406"/>
      <c r="EF644" s="1406"/>
      <c r="EG644" s="1406"/>
      <c r="EH644" s="1406" t="e">
        <f t="shared" si="25"/>
        <v>#VALUE!</v>
      </c>
      <c r="EI644" s="1406"/>
      <c r="EJ644" s="1406"/>
      <c r="EK644" s="1406"/>
      <c r="EL644" s="1406"/>
      <c r="EM644" s="1406" t="e">
        <f t="shared" si="26"/>
        <v>#VALUE!</v>
      </c>
      <c r="EN644" s="1406"/>
      <c r="EO644" s="1406"/>
      <c r="EP644" s="1406"/>
      <c r="EQ644" s="1406"/>
      <c r="ER644" s="1406" t="e">
        <f t="shared" si="27"/>
        <v>#VALUE!</v>
      </c>
      <c r="ES644" s="1406"/>
      <c r="ET644" s="1406"/>
      <c r="EU644" s="1406"/>
      <c r="EV644" s="1406"/>
      <c r="EW644" s="1406" t="e">
        <f t="shared" si="28"/>
        <v>#VALUE!</v>
      </c>
      <c r="EX644" s="1406"/>
      <c r="EY644" s="1406"/>
      <c r="EZ644" s="1406"/>
      <c r="FA644" s="1406"/>
    </row>
    <row r="645" spans="1:157" ht="12.95" customHeight="1">
      <c r="A645" s="22"/>
      <c r="B645" t="s">
        <v>20</v>
      </c>
      <c r="N645" s="1353" t="s">
        <v>554</v>
      </c>
      <c r="O645" s="1353"/>
      <c r="T645" s="22"/>
      <c r="U645" t="s">
        <v>20</v>
      </c>
      <c r="AG645" s="1353" t="s">
        <v>554</v>
      </c>
      <c r="AH645" s="1353"/>
      <c r="AZ645" s="34"/>
      <c r="BA645" s="34"/>
      <c r="BB645" s="34"/>
      <c r="BC645" s="34"/>
      <c r="BD645" s="34"/>
      <c r="BE645" s="34"/>
      <c r="BF645" s="34"/>
      <c r="BG645" s="34"/>
      <c r="BH645" s="34"/>
      <c r="BI645" s="34"/>
      <c r="BJ645" s="34"/>
      <c r="BK645" s="34"/>
      <c r="BL645" s="34"/>
      <c r="BM645" s="34"/>
      <c r="BR645" s="897">
        <f>BN644*1</f>
        <v>0</v>
      </c>
      <c r="BS645" s="3"/>
      <c r="BT645" s="3"/>
      <c r="BU645" s="3"/>
      <c r="BV645" s="3"/>
      <c r="BW645" s="897">
        <f>BS644*1</f>
        <v>0</v>
      </c>
      <c r="BX645" s="3"/>
      <c r="BY645" s="3"/>
      <c r="BZ645" s="3"/>
      <c r="CA645" s="3"/>
      <c r="CB645" s="897">
        <f>BX644*2</f>
        <v>0</v>
      </c>
      <c r="CC645" s="3"/>
      <c r="CD645" s="3"/>
      <c r="CE645" s="3"/>
      <c r="CF645" s="3"/>
      <c r="CG645" s="897">
        <f>CC644*3</f>
        <v>0</v>
      </c>
      <c r="CH645" s="3"/>
      <c r="CI645" s="3"/>
      <c r="CJ645" s="3"/>
      <c r="CK645" s="3"/>
      <c r="CL645" s="897">
        <f>CH644*4</f>
        <v>0</v>
      </c>
      <c r="CM645" s="3"/>
      <c r="CN645" s="3"/>
      <c r="CO645" s="3"/>
      <c r="CP645" s="3"/>
      <c r="CQ645" s="897">
        <f>CM644*5</f>
        <v>0</v>
      </c>
      <c r="CR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X645" s="1406" t="e">
        <f t="shared" si="23"/>
        <v>#VALUE!</v>
      </c>
      <c r="DY645" s="1406"/>
      <c r="DZ645" s="1406"/>
      <c r="EA645" s="1406"/>
      <c r="EB645" s="1406"/>
      <c r="EC645" s="1406" t="e">
        <f t="shared" si="24"/>
        <v>#VALUE!</v>
      </c>
      <c r="ED645" s="1406"/>
      <c r="EE645" s="1406"/>
      <c r="EF645" s="1406"/>
      <c r="EG645" s="1406"/>
      <c r="EH645" s="1406" t="e">
        <f t="shared" si="25"/>
        <v>#VALUE!</v>
      </c>
      <c r="EI645" s="1406"/>
      <c r="EJ645" s="1406"/>
      <c r="EK645" s="1406"/>
      <c r="EL645" s="1406"/>
      <c r="EM645" s="1406" t="e">
        <f t="shared" si="26"/>
        <v>#VALUE!</v>
      </c>
      <c r="EN645" s="1406"/>
      <c r="EO645" s="1406"/>
      <c r="EP645" s="1406"/>
      <c r="EQ645" s="1406"/>
      <c r="ER645" s="1406" t="e">
        <f t="shared" si="27"/>
        <v>#VALUE!</v>
      </c>
      <c r="ES645" s="1406"/>
      <c r="ET645" s="1406"/>
      <c r="EU645" s="1406"/>
      <c r="EV645" s="1406"/>
      <c r="EW645" s="1406" t="e">
        <f t="shared" si="28"/>
        <v>#VALUE!</v>
      </c>
      <c r="EX645" s="1406"/>
      <c r="EY645" s="1406"/>
      <c r="EZ645" s="1406"/>
      <c r="FA645" s="1406"/>
    </row>
    <row r="646" spans="1:157" ht="12.95" customHeight="1">
      <c r="A646" s="22"/>
      <c r="T646" s="22"/>
      <c r="AZ646" s="34"/>
      <c r="BA646" s="34"/>
      <c r="BB646" s="34"/>
      <c r="BC646" s="34"/>
      <c r="BD646" s="34"/>
      <c r="BE646" s="34"/>
      <c r="BF646" s="34"/>
      <c r="BG646" s="34"/>
      <c r="BH646" s="34"/>
      <c r="BI646" s="34"/>
      <c r="BJ646" s="34"/>
      <c r="BK646" s="34"/>
      <c r="BL646" s="34"/>
      <c r="BM646" s="34"/>
      <c r="CR646" s="3"/>
      <c r="CS646" s="897">
        <f>BN644+BS644+BX644+CC644+CH644+CM644</f>
        <v>0</v>
      </c>
      <c r="CT646" s="57" t="s">
        <v>2121</v>
      </c>
      <c r="CU646" s="3"/>
      <c r="CV646" s="3"/>
      <c r="CW646" s="3"/>
      <c r="CX646" s="3"/>
      <c r="CY646" s="3"/>
      <c r="CZ646" s="3"/>
      <c r="DA646" s="3"/>
      <c r="DB646" s="3"/>
      <c r="DC646" s="3"/>
      <c r="DD646" s="3"/>
      <c r="DE646" s="3"/>
      <c r="DF646" s="3"/>
      <c r="DQ646" s="56" t="s">
        <v>2133</v>
      </c>
      <c r="DR646" s="1406">
        <f>SUM(CS644:DV644)</f>
        <v>0</v>
      </c>
      <c r="DS646" s="1406"/>
      <c r="DT646" s="1406"/>
      <c r="DU646" s="1406"/>
      <c r="DV646" s="1406"/>
      <c r="DX646" s="1406" t="e">
        <f t="shared" si="23"/>
        <v>#VALUE!</v>
      </c>
      <c r="DY646" s="1406"/>
      <c r="DZ646" s="1406"/>
      <c r="EA646" s="1406"/>
      <c r="EB646" s="1406"/>
      <c r="EC646" s="1406" t="e">
        <f t="shared" si="24"/>
        <v>#VALUE!</v>
      </c>
      <c r="ED646" s="1406"/>
      <c r="EE646" s="1406"/>
      <c r="EF646" s="1406"/>
      <c r="EG646" s="1406"/>
      <c r="EH646" s="1406" t="e">
        <f t="shared" si="25"/>
        <v>#VALUE!</v>
      </c>
      <c r="EI646" s="1406"/>
      <c r="EJ646" s="1406"/>
      <c r="EK646" s="1406"/>
      <c r="EL646" s="1406"/>
      <c r="EM646" s="1406" t="e">
        <f t="shared" si="26"/>
        <v>#VALUE!</v>
      </c>
      <c r="EN646" s="1406"/>
      <c r="EO646" s="1406"/>
      <c r="EP646" s="1406"/>
      <c r="EQ646" s="1406"/>
      <c r="ER646" s="1406" t="e">
        <f t="shared" si="27"/>
        <v>#VALUE!</v>
      </c>
      <c r="ES646" s="1406"/>
      <c r="ET646" s="1406"/>
      <c r="EU646" s="1406"/>
      <c r="EV646" s="1406"/>
      <c r="EW646" s="1406" t="e">
        <f t="shared" si="28"/>
        <v>#VALUE!</v>
      </c>
      <c r="EX646" s="1406"/>
      <c r="EY646" s="1406"/>
      <c r="EZ646" s="1406"/>
      <c r="FA646" s="1406"/>
    </row>
    <row r="647" spans="1:157" ht="12.95" customHeight="1">
      <c r="A647" s="55" t="s">
        <v>120</v>
      </c>
      <c r="B647" t="s">
        <v>472</v>
      </c>
      <c r="G647" s="1351" t="str">
        <f>C625</f>
        <v>USA Multi-Family Development, Inc.</v>
      </c>
      <c r="H647" s="1351"/>
      <c r="I647" s="1351"/>
      <c r="J647" s="1351"/>
      <c r="K647" s="1351"/>
      <c r="L647" s="1351"/>
      <c r="M647" s="1351"/>
      <c r="N647" s="1351"/>
      <c r="O647" s="1351"/>
      <c r="P647" s="1351"/>
      <c r="Q647" s="1351"/>
      <c r="R647" s="1351"/>
      <c r="T647" s="55" t="s">
        <v>590</v>
      </c>
      <c r="U647" t="s">
        <v>472</v>
      </c>
      <c r="Z647" s="1351">
        <f>C626</f>
        <v>0</v>
      </c>
      <c r="AA647" s="1351"/>
      <c r="AB647" s="1351"/>
      <c r="AC647" s="1351"/>
      <c r="AD647" s="1351"/>
      <c r="AE647" s="1351"/>
      <c r="AF647" s="1351"/>
      <c r="AG647" s="1351"/>
      <c r="AH647" s="1351"/>
      <c r="AI647" s="1351"/>
      <c r="AJ647" s="1351"/>
      <c r="AK647" s="1351"/>
      <c r="AZ647" s="34"/>
      <c r="BA647" s="34"/>
      <c r="BB647" s="34"/>
      <c r="BC647" s="34"/>
      <c r="BD647" s="34"/>
      <c r="BE647" s="34"/>
      <c r="BF647" s="34"/>
      <c r="BG647" s="34"/>
      <c r="BH647" s="34"/>
      <c r="BI647" s="34"/>
      <c r="BJ647" s="34"/>
      <c r="BK647" s="34"/>
      <c r="BL647" s="34"/>
      <c r="BM647" s="34"/>
      <c r="CR647" s="3"/>
      <c r="CS647" s="897">
        <f>BR645+BW645+CB645+CG645+CL645+CQ645</f>
        <v>0</v>
      </c>
      <c r="CT647" s="57" t="s">
        <v>1809</v>
      </c>
      <c r="CU647" s="3"/>
      <c r="CV647" s="3"/>
      <c r="CW647" s="3"/>
      <c r="CX647" s="3"/>
      <c r="CY647" s="3"/>
      <c r="CZ647" s="3"/>
      <c r="DA647" s="3"/>
      <c r="DB647" s="3"/>
      <c r="DC647" s="3"/>
      <c r="DD647" s="3"/>
      <c r="DE647" s="3"/>
      <c r="DF647" s="3"/>
      <c r="DX647" s="1406" t="e">
        <f t="shared" si="23"/>
        <v>#VALUE!</v>
      </c>
      <c r="DY647" s="1406"/>
      <c r="DZ647" s="1406"/>
      <c r="EA647" s="1406"/>
      <c r="EB647" s="1406"/>
      <c r="EC647" s="1406" t="e">
        <f t="shared" si="24"/>
        <v>#VALUE!</v>
      </c>
      <c r="ED647" s="1406"/>
      <c r="EE647" s="1406"/>
      <c r="EF647" s="1406"/>
      <c r="EG647" s="1406"/>
      <c r="EH647" s="1406" t="e">
        <f t="shared" si="25"/>
        <v>#VALUE!</v>
      </c>
      <c r="EI647" s="1406"/>
      <c r="EJ647" s="1406"/>
      <c r="EK647" s="1406"/>
      <c r="EL647" s="1406"/>
      <c r="EM647" s="1406" t="e">
        <f t="shared" si="26"/>
        <v>#VALUE!</v>
      </c>
      <c r="EN647" s="1406"/>
      <c r="EO647" s="1406"/>
      <c r="EP647" s="1406"/>
      <c r="EQ647" s="1406"/>
      <c r="ER647" s="1406" t="e">
        <f t="shared" si="27"/>
        <v>#VALUE!</v>
      </c>
      <c r="ES647" s="1406"/>
      <c r="ET647" s="1406"/>
      <c r="EU647" s="1406"/>
      <c r="EV647" s="1406"/>
      <c r="EW647" s="1406" t="e">
        <f t="shared" si="28"/>
        <v>#VALUE!</v>
      </c>
      <c r="EX647" s="1406"/>
      <c r="EY647" s="1406"/>
      <c r="EZ647" s="1406"/>
      <c r="FA647" s="1406"/>
    </row>
    <row r="648" spans="1:157" ht="12.95" customHeight="1">
      <c r="A648" s="22"/>
      <c r="B648" t="s">
        <v>86</v>
      </c>
      <c r="G648" s="1352" t="s">
        <v>2638</v>
      </c>
      <c r="H648" s="1352"/>
      <c r="I648" s="1352"/>
      <c r="J648" s="1352"/>
      <c r="K648" s="1352"/>
      <c r="L648" s="1352"/>
      <c r="M648" s="1352"/>
      <c r="N648" s="1352"/>
      <c r="O648" s="1352"/>
      <c r="P648" s="1352"/>
      <c r="Q648" s="1352"/>
      <c r="R648" s="1352"/>
      <c r="T648" s="22"/>
      <c r="U648" t="s">
        <v>86</v>
      </c>
      <c r="Z648" s="1352"/>
      <c r="AA648" s="1352"/>
      <c r="AB648" s="1352"/>
      <c r="AC648" s="1352"/>
      <c r="AD648" s="1352"/>
      <c r="AE648" s="1352"/>
      <c r="AF648" s="1352"/>
      <c r="AG648" s="1352"/>
      <c r="AH648" s="1352"/>
      <c r="AI648" s="1352"/>
      <c r="AJ648" s="1352"/>
      <c r="AK648" s="1352"/>
      <c r="AZ648" s="34"/>
      <c r="BA648" s="34"/>
      <c r="BB648" s="34"/>
      <c r="BC648" s="34"/>
      <c r="BD648" s="34"/>
      <c r="BE648" s="34"/>
      <c r="BF648" s="34"/>
      <c r="BG648" s="34"/>
      <c r="BH648" s="34"/>
      <c r="BI648" s="34"/>
      <c r="BJ648" s="34"/>
      <c r="BK648" s="34"/>
      <c r="BL648" s="34"/>
      <c r="BM648" s="34"/>
      <c r="BN648" s="34" t="s">
        <v>106</v>
      </c>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V648" s="3"/>
      <c r="CW648" s="3"/>
      <c r="CX648" s="3"/>
      <c r="CY648" s="3"/>
      <c r="CZ648" s="3"/>
      <c r="DA648" s="3"/>
      <c r="DB648" s="3"/>
      <c r="DC648" s="3"/>
      <c r="DD648" s="3"/>
      <c r="DE648" s="3"/>
      <c r="DF648" s="3"/>
      <c r="DX648" s="1406" t="e">
        <f t="shared" si="23"/>
        <v>#VALUE!</v>
      </c>
      <c r="DY648" s="1406"/>
      <c r="DZ648" s="1406"/>
      <c r="EA648" s="1406"/>
      <c r="EB648" s="1406"/>
      <c r="EC648" s="1406" t="e">
        <f t="shared" si="24"/>
        <v>#VALUE!</v>
      </c>
      <c r="ED648" s="1406"/>
      <c r="EE648" s="1406"/>
      <c r="EF648" s="1406"/>
      <c r="EG648" s="1406"/>
      <c r="EH648" s="1406" t="e">
        <f t="shared" si="25"/>
        <v>#VALUE!</v>
      </c>
      <c r="EI648" s="1406"/>
      <c r="EJ648" s="1406"/>
      <c r="EK648" s="1406"/>
      <c r="EL648" s="1406"/>
      <c r="EM648" s="1406" t="e">
        <f t="shared" si="26"/>
        <v>#VALUE!</v>
      </c>
      <c r="EN648" s="1406"/>
      <c r="EO648" s="1406"/>
      <c r="EP648" s="1406"/>
      <c r="EQ648" s="1406"/>
      <c r="ER648" s="1406" t="e">
        <f t="shared" si="27"/>
        <v>#VALUE!</v>
      </c>
      <c r="ES648" s="1406"/>
      <c r="ET648" s="1406"/>
      <c r="EU648" s="1406"/>
      <c r="EV648" s="1406"/>
      <c r="EW648" s="1406" t="e">
        <f t="shared" si="28"/>
        <v>#VALUE!</v>
      </c>
      <c r="EX648" s="1406"/>
      <c r="EY648" s="1406"/>
      <c r="EZ648" s="1406"/>
      <c r="FA648" s="1406"/>
    </row>
    <row r="649" spans="1:157" ht="12.95" customHeight="1">
      <c r="A649" s="22"/>
      <c r="B649" t="s">
        <v>589</v>
      </c>
      <c r="G649" s="1359" t="s">
        <v>2628</v>
      </c>
      <c r="H649" s="1359"/>
      <c r="I649" s="1359"/>
      <c r="J649" s="1359"/>
      <c r="K649" s="1359"/>
      <c r="L649" s="1359"/>
      <c r="M649" s="1359"/>
      <c r="N649" s="1359"/>
      <c r="O649" s="1359"/>
      <c r="P649" s="1359"/>
      <c r="Q649" s="1359"/>
      <c r="R649" s="1359"/>
      <c r="T649" s="22"/>
      <c r="U649" t="s">
        <v>589</v>
      </c>
      <c r="Z649" s="1359"/>
      <c r="AA649" s="1359"/>
      <c r="AB649" s="1359"/>
      <c r="AC649" s="1359"/>
      <c r="AD649" s="1359"/>
      <c r="AE649" s="1359"/>
      <c r="AF649" s="1359"/>
      <c r="AG649" s="1359"/>
      <c r="AH649" s="1359"/>
      <c r="AI649" s="1359"/>
      <c r="AJ649" s="1359"/>
      <c r="AK649" s="1359"/>
      <c r="AZ649" s="34"/>
      <c r="BA649" s="34"/>
      <c r="BB649" s="34"/>
      <c r="BC649" s="34"/>
      <c r="BD649" s="34"/>
      <c r="BE649" s="34"/>
      <c r="BF649" s="34"/>
      <c r="BG649" s="34"/>
      <c r="BH649" s="34"/>
      <c r="BI649" s="34"/>
      <c r="BJ649" s="34"/>
      <c r="BK649" s="34"/>
      <c r="BL649" s="34"/>
      <c r="BM649" s="34"/>
      <c r="BN649" s="1411">
        <f>BN621+BN630+BN644</f>
        <v>0</v>
      </c>
      <c r="BO649" s="1412"/>
      <c r="BP649" s="1412"/>
      <c r="BQ649" s="1412"/>
      <c r="BR649" s="1413"/>
      <c r="BS649" s="1411">
        <f>BS621+BS630+BS644</f>
        <v>57</v>
      </c>
      <c r="BT649" s="1412"/>
      <c r="BU649" s="1412"/>
      <c r="BV649" s="1412"/>
      <c r="BW649" s="1413"/>
      <c r="BX649" s="1411">
        <f>BX621+BX630+BX644</f>
        <v>69</v>
      </c>
      <c r="BY649" s="1412"/>
      <c r="BZ649" s="1412"/>
      <c r="CA649" s="1412"/>
      <c r="CB649" s="1413"/>
      <c r="CC649" s="1411">
        <f>CC621+CC630+CC644</f>
        <v>42</v>
      </c>
      <c r="CD649" s="1412"/>
      <c r="CE649" s="1412"/>
      <c r="CF649" s="1412"/>
      <c r="CG649" s="1413"/>
      <c r="CH649" s="1411">
        <f>CH621+CH630+CH644</f>
        <v>0</v>
      </c>
      <c r="CI649" s="1412"/>
      <c r="CJ649" s="1412"/>
      <c r="CK649" s="1412"/>
      <c r="CL649" s="1413"/>
      <c r="CM649" s="1414">
        <f>CM644+CM630+CM621</f>
        <v>0</v>
      </c>
      <c r="CN649" s="1415"/>
      <c r="CO649" s="1415"/>
      <c r="CP649" s="1415"/>
      <c r="CQ649" s="1416"/>
      <c r="CR649" s="3"/>
      <c r="CS649" s="897">
        <f>CS623+CS647</f>
        <v>317</v>
      </c>
      <c r="CT649" s="57" t="s">
        <v>2126</v>
      </c>
      <c r="CU649" s="3"/>
      <c r="CV649" s="3"/>
      <c r="CW649" s="3"/>
      <c r="CX649" s="3"/>
      <c r="CY649" s="3"/>
      <c r="CZ649" s="3"/>
      <c r="DA649" s="3"/>
      <c r="DB649" s="3"/>
      <c r="DC649" s="3"/>
      <c r="DD649" s="3"/>
      <c r="DE649" s="3"/>
      <c r="DF649" s="3"/>
      <c r="DX649" s="1406">
        <f>SUMIF(DX624:EB648,"&gt;0")</f>
        <v>0</v>
      </c>
      <c r="DY649" s="1406"/>
      <c r="DZ649" s="1406"/>
      <c r="EA649" s="1406"/>
      <c r="EB649" s="1406"/>
      <c r="EC649" s="1406">
        <f>SUMIF(EC624:EG648,"&gt;0")</f>
        <v>1087.6666666666665</v>
      </c>
      <c r="ED649" s="1406"/>
      <c r="EE649" s="1406"/>
      <c r="EF649" s="1406"/>
      <c r="EG649" s="1406"/>
      <c r="EH649" s="1406">
        <f>SUMIF(EH624:EL648,"&gt;0")</f>
        <v>1298.0746268656717</v>
      </c>
      <c r="EI649" s="1406"/>
      <c r="EJ649" s="1406"/>
      <c r="EK649" s="1406"/>
      <c r="EL649" s="1406"/>
      <c r="EM649" s="1406">
        <f>SUMIF(EM624:EQ648,"&gt;0")</f>
        <v>1510.5</v>
      </c>
      <c r="EN649" s="1406"/>
      <c r="EO649" s="1406"/>
      <c r="EP649" s="1406"/>
      <c r="EQ649" s="1406"/>
      <c r="ER649" s="1406">
        <f>SUMIF(ER624:EV648,"&gt;0")</f>
        <v>0</v>
      </c>
      <c r="ES649" s="1406"/>
      <c r="ET649" s="1406"/>
      <c r="EU649" s="1406"/>
      <c r="EV649" s="1406"/>
      <c r="EW649" s="1406">
        <f>SUMIF(EW624:FA648,"&gt;0")</f>
        <v>0</v>
      </c>
      <c r="EX649" s="1406"/>
      <c r="EY649" s="1406"/>
      <c r="EZ649" s="1406"/>
      <c r="FA649" s="1406"/>
    </row>
    <row r="650" spans="1:157" ht="12.95" customHeight="1">
      <c r="A650" s="22"/>
      <c r="B650" t="s">
        <v>17</v>
      </c>
      <c r="G650" s="1359" t="s">
        <v>2654</v>
      </c>
      <c r="H650" s="1359"/>
      <c r="I650" s="1359"/>
      <c r="J650" s="1359"/>
      <c r="K650" s="1359"/>
      <c r="L650" s="1359"/>
      <c r="M650" s="1359"/>
      <c r="N650" s="1359"/>
      <c r="O650" s="1359"/>
      <c r="P650" s="1359"/>
      <c r="Q650" s="1359"/>
      <c r="R650" s="1359"/>
      <c r="T650" s="22"/>
      <c r="U650" t="s">
        <v>17</v>
      </c>
      <c r="Z650" s="1359"/>
      <c r="AA650" s="1359"/>
      <c r="AB650" s="1359"/>
      <c r="AC650" s="1359"/>
      <c r="AD650" s="1359"/>
      <c r="AE650" s="1359"/>
      <c r="AF650" s="1359"/>
      <c r="AG650" s="1359"/>
      <c r="AH650" s="1359"/>
      <c r="AI650" s="1359"/>
      <c r="AJ650" s="1359"/>
      <c r="AK650" s="1359"/>
      <c r="AZ650" s="34"/>
      <c r="BA650" s="34"/>
      <c r="BB650" s="34"/>
      <c r="BC650" s="34"/>
      <c r="BD650" s="34"/>
      <c r="BE650" s="34"/>
      <c r="BF650" s="34"/>
      <c r="BG650" s="34"/>
      <c r="BH650" s="34"/>
      <c r="BI650" s="34"/>
      <c r="BJ650" s="34"/>
      <c r="BK650" s="34"/>
      <c r="BL650" s="34"/>
      <c r="BM650" s="34"/>
      <c r="BN650" s="34"/>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row>
    <row r="651" spans="1:157" ht="12.95" customHeight="1">
      <c r="A651" s="22"/>
      <c r="B651" t="s">
        <v>317</v>
      </c>
      <c r="G651" s="1354">
        <v>9167736060</v>
      </c>
      <c r="H651" s="1354"/>
      <c r="I651" s="1354"/>
      <c r="J651" s="1354"/>
      <c r="K651" s="1354"/>
      <c r="L651" s="1354"/>
      <c r="O651" s="33" t="s">
        <v>207</v>
      </c>
      <c r="P651" s="1350"/>
      <c r="Q651" s="1350"/>
      <c r="R651" s="1350"/>
      <c r="T651" s="22"/>
      <c r="U651" t="s">
        <v>317</v>
      </c>
      <c r="Z651" s="1354"/>
      <c r="AA651" s="1354"/>
      <c r="AB651" s="1354"/>
      <c r="AC651" s="1354"/>
      <c r="AD651" s="1354"/>
      <c r="AE651" s="1354"/>
      <c r="AH651" s="33" t="s">
        <v>207</v>
      </c>
      <c r="AI651" s="1350"/>
      <c r="AJ651" s="1350"/>
      <c r="AK651" s="1350"/>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row>
    <row r="652" spans="1:157" ht="12.95" customHeight="1">
      <c r="A652" s="22"/>
      <c r="B652" t="s">
        <v>18</v>
      </c>
      <c r="H652" s="1598" t="s">
        <v>1921</v>
      </c>
      <c r="I652" s="1352"/>
      <c r="J652" s="1352"/>
      <c r="K652" s="1352"/>
      <c r="L652" s="1352"/>
      <c r="M652" s="1352"/>
      <c r="N652" s="1352"/>
      <c r="O652" s="1352"/>
      <c r="P652" s="1352"/>
      <c r="Q652" s="1352"/>
      <c r="R652" s="1352"/>
      <c r="T652" s="22"/>
      <c r="U652" t="s">
        <v>18</v>
      </c>
      <c r="AA652" s="1352"/>
      <c r="AB652" s="1352"/>
      <c r="AC652" s="1352"/>
      <c r="AD652" s="1352"/>
      <c r="AE652" s="1352"/>
      <c r="AF652" s="1352"/>
      <c r="AG652" s="1352"/>
      <c r="AH652" s="1352"/>
      <c r="AI652" s="1352"/>
      <c r="AJ652" s="1352"/>
      <c r="AK652" s="1352"/>
      <c r="AZ652" s="3"/>
      <c r="BA652" s="3"/>
      <c r="BB652" s="3"/>
      <c r="BC652" s="3"/>
      <c r="BD652" s="3"/>
      <c r="BE652" s="3"/>
      <c r="BF652" s="3"/>
      <c r="BG652" s="3"/>
      <c r="BH652" s="3"/>
      <c r="BI652" s="3"/>
      <c r="BJ652" s="3"/>
      <c r="BK652" s="3"/>
      <c r="BL652" s="3"/>
      <c r="BM652" s="3"/>
      <c r="BN652" s="3"/>
      <c r="BO652" s="3"/>
      <c r="BP652" s="207" t="s">
        <v>2312</v>
      </c>
      <c r="BQ652" s="208"/>
      <c r="BR652" s="208"/>
      <c r="BS652" s="208"/>
      <c r="BT652" s="208"/>
      <c r="BU652" s="208"/>
      <c r="BV652" s="208"/>
      <c r="BW652" s="3"/>
      <c r="BX652" s="207" t="s">
        <v>2315</v>
      </c>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row>
    <row r="653" spans="1:157" ht="12.95" customHeight="1">
      <c r="A653" s="22"/>
      <c r="B653" t="s">
        <v>20</v>
      </c>
      <c r="N653" s="1353" t="s">
        <v>554</v>
      </c>
      <c r="O653" s="1353"/>
      <c r="T653" s="22"/>
      <c r="U653" t="s">
        <v>20</v>
      </c>
      <c r="AG653" s="1353" t="s">
        <v>678</v>
      </c>
      <c r="AH653" s="1353"/>
      <c r="AZ653" s="3"/>
      <c r="BA653" s="3"/>
      <c r="BB653" s="3"/>
      <c r="BC653" s="3"/>
      <c r="BD653" s="3"/>
      <c r="BE653" s="3"/>
      <c r="BF653" s="3"/>
      <c r="BG653" s="3"/>
      <c r="BH653" s="3"/>
      <c r="BI653" s="3"/>
      <c r="BJ653" s="3"/>
      <c r="BK653" s="3"/>
      <c r="BL653" s="3"/>
      <c r="BM653" s="3"/>
      <c r="BN653" s="3"/>
      <c r="BO653" s="3"/>
      <c r="BP653" s="308" t="s">
        <v>656</v>
      </c>
      <c r="BQ653" s="208"/>
      <c r="BR653" s="208"/>
      <c r="BS653" s="208"/>
      <c r="BT653" s="208"/>
      <c r="BU653" s="208"/>
      <c r="BV653" s="208"/>
      <c r="BW653" s="3"/>
      <c r="BX653" s="308" t="s">
        <v>2316</v>
      </c>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row>
    <row r="654" spans="1:157" ht="12.95" customHeight="1">
      <c r="A654" s="22"/>
      <c r="T654" s="22"/>
      <c r="AZ654" s="3"/>
      <c r="BA654" s="3"/>
      <c r="BB654" s="3"/>
      <c r="BC654" s="3"/>
      <c r="BD654" s="3"/>
      <c r="BE654" s="3"/>
      <c r="BF654" s="3"/>
      <c r="BG654" s="3"/>
      <c r="BH654" s="3"/>
      <c r="BI654" s="3"/>
      <c r="BJ654" s="3"/>
      <c r="BK654" s="3"/>
      <c r="BL654" s="3"/>
      <c r="BM654" s="3"/>
      <c r="BN654" s="3"/>
      <c r="BO654" s="3"/>
      <c r="BP654" s="306"/>
      <c r="BQ654" s="209"/>
      <c r="BR654" s="307"/>
      <c r="BS654" s="307"/>
      <c r="BT654" s="307"/>
      <c r="BU654" s="307"/>
      <c r="BV654" s="307"/>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row>
    <row r="655" spans="1:157" ht="12.95" customHeight="1" thickBot="1">
      <c r="A655" s="55" t="s">
        <v>787</v>
      </c>
      <c r="B655" t="s">
        <v>472</v>
      </c>
      <c r="G655" s="1351">
        <f>C627</f>
        <v>0</v>
      </c>
      <c r="H655" s="1351"/>
      <c r="I655" s="1351"/>
      <c r="J655" s="1351"/>
      <c r="K655" s="1351"/>
      <c r="L655" s="1351"/>
      <c r="M655" s="1351"/>
      <c r="N655" s="1351"/>
      <c r="O655" s="1351"/>
      <c r="P655" s="1351"/>
      <c r="Q655" s="1351"/>
      <c r="R655" s="1351"/>
      <c r="T655" s="55" t="s">
        <v>593</v>
      </c>
      <c r="U655" t="s">
        <v>472</v>
      </c>
      <c r="Z655" s="1351">
        <f>C628</f>
        <v>0</v>
      </c>
      <c r="AA655" s="1351"/>
      <c r="AB655" s="1351"/>
      <c r="AC655" s="1351"/>
      <c r="AD655" s="1351"/>
      <c r="AE655" s="1351"/>
      <c r="AF655" s="1351"/>
      <c r="AG655" s="1351"/>
      <c r="AH655" s="1351"/>
      <c r="AI655" s="1351"/>
      <c r="AJ655" s="1351"/>
      <c r="AK655" s="1351"/>
      <c r="AZ655" s="3"/>
      <c r="BA655" s="166" t="s">
        <v>658</v>
      </c>
      <c r="BB655" s="3"/>
      <c r="BC655" s="3"/>
      <c r="BD655" s="3"/>
      <c r="BE655" s="3"/>
      <c r="BF655" s="218"/>
      <c r="BG655" s="219" t="s">
        <v>928</v>
      </c>
      <c r="BH655" s="218"/>
      <c r="BI655" s="218"/>
      <c r="BJ655" s="3"/>
      <c r="BK655" s="3"/>
      <c r="BL655" s="3"/>
      <c r="BM655" s="3"/>
      <c r="BN655" s="3"/>
      <c r="BO655" s="3"/>
      <c r="BP655" s="376" t="s">
        <v>657</v>
      </c>
      <c r="BQ655" s="377" t="s">
        <v>325</v>
      </c>
      <c r="BR655" s="377" t="s">
        <v>326</v>
      </c>
      <c r="BS655" s="377" t="s">
        <v>164</v>
      </c>
      <c r="BT655" s="377" t="s">
        <v>165</v>
      </c>
      <c r="BU655" s="377" t="s">
        <v>166</v>
      </c>
      <c r="BV655" s="377" t="s">
        <v>30</v>
      </c>
      <c r="BW655" s="3"/>
      <c r="BX655" s="377" t="s">
        <v>325</v>
      </c>
      <c r="BY655" s="377" t="s">
        <v>326</v>
      </c>
      <c r="BZ655" s="377" t="s">
        <v>164</v>
      </c>
      <c r="CA655" s="377" t="s">
        <v>165</v>
      </c>
      <c r="CB655" s="377" t="s">
        <v>166</v>
      </c>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row>
    <row r="656" spans="1:157" ht="12.95" customHeight="1">
      <c r="A656" s="22"/>
      <c r="B656" t="s">
        <v>86</v>
      </c>
      <c r="G656" s="1352"/>
      <c r="H656" s="1352"/>
      <c r="I656" s="1352"/>
      <c r="J656" s="1352"/>
      <c r="K656" s="1352"/>
      <c r="L656" s="1352"/>
      <c r="M656" s="1352"/>
      <c r="N656" s="1352"/>
      <c r="O656" s="1352"/>
      <c r="P656" s="1352"/>
      <c r="Q656" s="1352"/>
      <c r="R656" s="1352"/>
      <c r="T656" s="22"/>
      <c r="U656" t="s">
        <v>86</v>
      </c>
      <c r="Z656" s="1352"/>
      <c r="AA656" s="1352"/>
      <c r="AB656" s="1352"/>
      <c r="AC656" s="1352"/>
      <c r="AD656" s="1352"/>
      <c r="AE656" s="1352"/>
      <c r="AF656" s="1352"/>
      <c r="AG656" s="1352"/>
      <c r="AH656" s="1352"/>
      <c r="AI656" s="1352"/>
      <c r="AJ656" s="1352"/>
      <c r="AK656" s="1352"/>
      <c r="AZ656" s="3"/>
      <c r="BA656" s="118">
        <f t="shared" ref="BA656:BA680" si="42">IF($G714=0,"N/A",VLOOKUP($T$189,TC_Rent,(MATCH($B714,bedrooms,FALSE))))</f>
        <v>1900</v>
      </c>
      <c r="BB656" s="3"/>
      <c r="BC656" s="3"/>
      <c r="BD656" s="3"/>
      <c r="BE656" s="3"/>
      <c r="BF656" s="218"/>
      <c r="BG656" s="313" t="s">
        <v>929</v>
      </c>
      <c r="BH656" s="318" t="s">
        <v>930</v>
      </c>
      <c r="BI656" s="317" t="s">
        <v>931</v>
      </c>
      <c r="BJ656" s="3"/>
      <c r="BK656" s="3"/>
      <c r="BL656" s="3"/>
      <c r="BM656" s="3"/>
      <c r="BN656" s="3"/>
      <c r="BO656" s="3"/>
      <c r="BP656" s="378" t="s">
        <v>485</v>
      </c>
      <c r="BQ656" s="492">
        <v>2500</v>
      </c>
      <c r="BR656" s="493">
        <v>2678</v>
      </c>
      <c r="BS656" s="494">
        <v>3214</v>
      </c>
      <c r="BT656" s="493">
        <v>3712</v>
      </c>
      <c r="BU656" s="494">
        <v>4142</v>
      </c>
      <c r="BV656" s="495">
        <v>4570</v>
      </c>
      <c r="BW656" s="3"/>
      <c r="BX656" s="897">
        <v>1538</v>
      </c>
      <c r="BY656" s="897">
        <v>1854</v>
      </c>
      <c r="BZ656" s="897">
        <v>2274</v>
      </c>
      <c r="CA656" s="897">
        <v>3006</v>
      </c>
      <c r="CB656" s="897">
        <v>3578</v>
      </c>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row>
    <row r="657" spans="1:108" ht="12.95" customHeight="1">
      <c r="A657" s="22"/>
      <c r="B657" t="s">
        <v>589</v>
      </c>
      <c r="G657" s="1352"/>
      <c r="H657" s="1352"/>
      <c r="I657" s="1352"/>
      <c r="J657" s="1352"/>
      <c r="K657" s="1352"/>
      <c r="L657" s="1352"/>
      <c r="M657" s="1352"/>
      <c r="N657" s="1352"/>
      <c r="O657" s="1352"/>
      <c r="P657" s="1352"/>
      <c r="Q657" s="1352"/>
      <c r="R657" s="1352"/>
      <c r="T657" s="22"/>
      <c r="U657" t="s">
        <v>589</v>
      </c>
      <c r="Z657" s="1359"/>
      <c r="AA657" s="1359"/>
      <c r="AB657" s="1359"/>
      <c r="AC657" s="1359"/>
      <c r="AD657" s="1359"/>
      <c r="AE657" s="1359"/>
      <c r="AF657" s="1359"/>
      <c r="AG657" s="1359"/>
      <c r="AH657" s="1359"/>
      <c r="AI657" s="1359"/>
      <c r="AJ657" s="1359"/>
      <c r="AK657" s="1359"/>
      <c r="AZ657" s="3"/>
      <c r="BA657" s="118">
        <f t="shared" si="42"/>
        <v>1900</v>
      </c>
      <c r="BB657" s="3"/>
      <c r="BC657" s="3"/>
      <c r="BD657" s="3"/>
      <c r="BE657" s="3"/>
      <c r="BF657" s="218"/>
      <c r="BG657" s="315">
        <f t="shared" ref="BG657:BG681" si="43">G714</f>
        <v>3</v>
      </c>
      <c r="BH657" s="319">
        <f>BG657/$BG$682</f>
        <v>1.8072289156626505E-2</v>
      </c>
      <c r="BI657" s="320">
        <f t="shared" ref="BI657:BI681" si="44">IF(BH657=0," ",BH657*AC714)</f>
        <v>5.4216867469879517E-3</v>
      </c>
      <c r="BJ657" s="3"/>
      <c r="BK657" s="3"/>
      <c r="BL657" s="3"/>
      <c r="BM657" s="3"/>
      <c r="BN657" s="3"/>
      <c r="BO657" s="3"/>
      <c r="BP657" s="379" t="s">
        <v>486</v>
      </c>
      <c r="BQ657" s="496">
        <v>1590</v>
      </c>
      <c r="BR657" s="497">
        <v>1702</v>
      </c>
      <c r="BS657" s="496">
        <v>2044</v>
      </c>
      <c r="BT657" s="497">
        <v>2360</v>
      </c>
      <c r="BU657" s="497">
        <v>2634</v>
      </c>
      <c r="BV657" s="498">
        <v>2906</v>
      </c>
      <c r="BW657" s="3"/>
      <c r="BX657" s="897">
        <v>725</v>
      </c>
      <c r="BY657" s="897">
        <v>822</v>
      </c>
      <c r="BZ657" s="897">
        <v>1073</v>
      </c>
      <c r="CA657" s="897">
        <v>1524</v>
      </c>
      <c r="CB657" s="897">
        <v>1705</v>
      </c>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row>
    <row r="658" spans="1:108" ht="12.95" customHeight="1">
      <c r="A658" s="22"/>
      <c r="B658" t="s">
        <v>17</v>
      </c>
      <c r="G658" s="1352"/>
      <c r="H658" s="1352"/>
      <c r="I658" s="1352"/>
      <c r="J658" s="1352"/>
      <c r="K658" s="1352"/>
      <c r="L658" s="1352"/>
      <c r="M658" s="1352"/>
      <c r="N658" s="1352"/>
      <c r="O658" s="1352"/>
      <c r="P658" s="1352"/>
      <c r="Q658" s="1352"/>
      <c r="R658" s="1352"/>
      <c r="T658" s="22"/>
      <c r="U658" t="s">
        <v>17</v>
      </c>
      <c r="Z658" s="1359"/>
      <c r="AA658" s="1359"/>
      <c r="AB658" s="1359"/>
      <c r="AC658" s="1359"/>
      <c r="AD658" s="1359"/>
      <c r="AE658" s="1359"/>
      <c r="AF658" s="1359"/>
      <c r="AG658" s="1359"/>
      <c r="AH658" s="1359"/>
      <c r="AI658" s="1359"/>
      <c r="AJ658" s="1359"/>
      <c r="AK658" s="1359"/>
      <c r="AZ658" s="3"/>
      <c r="BA658" s="118">
        <f t="shared" si="42"/>
        <v>1900</v>
      </c>
      <c r="BB658" s="3"/>
      <c r="BC658" s="3"/>
      <c r="BD658" s="3"/>
      <c r="BE658" s="3"/>
      <c r="BF658" s="218"/>
      <c r="BG658" s="316">
        <f t="shared" si="43"/>
        <v>3</v>
      </c>
      <c r="BH658" s="319">
        <f t="shared" ref="BH658:BH681" si="45">BG658/$BG$682</f>
        <v>1.8072289156626505E-2</v>
      </c>
      <c r="BI658" s="320">
        <f t="shared" si="44"/>
        <v>5.4216867469879517E-3</v>
      </c>
      <c r="BJ658" s="3"/>
      <c r="BK658" s="3"/>
      <c r="BL658" s="3"/>
      <c r="BM658" s="3"/>
      <c r="BN658" s="3"/>
      <c r="BO658" s="3"/>
      <c r="BP658" s="379" t="s">
        <v>487</v>
      </c>
      <c r="BQ658" s="499">
        <v>1516</v>
      </c>
      <c r="BR658" s="500">
        <v>1624</v>
      </c>
      <c r="BS658" s="499">
        <v>1950</v>
      </c>
      <c r="BT658" s="500">
        <v>2252</v>
      </c>
      <c r="BU658" s="500">
        <v>2512</v>
      </c>
      <c r="BV658" s="501">
        <v>2772</v>
      </c>
      <c r="BW658" s="3"/>
      <c r="BX658" s="897">
        <v>920</v>
      </c>
      <c r="BY658" s="897">
        <v>926</v>
      </c>
      <c r="BZ658" s="897">
        <v>1148</v>
      </c>
      <c r="CA658" s="897">
        <v>1631</v>
      </c>
      <c r="CB658" s="897">
        <v>1965</v>
      </c>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row>
    <row r="659" spans="1:108" ht="12.95" customHeight="1">
      <c r="A659" s="22"/>
      <c r="B659" t="s">
        <v>317</v>
      </c>
      <c r="G659" s="1354"/>
      <c r="H659" s="1354"/>
      <c r="I659" s="1354"/>
      <c r="J659" s="1354"/>
      <c r="K659" s="1354"/>
      <c r="L659" s="1354"/>
      <c r="O659" s="33" t="s">
        <v>207</v>
      </c>
      <c r="P659" s="1350"/>
      <c r="Q659" s="1350"/>
      <c r="R659" s="1350"/>
      <c r="T659" s="22"/>
      <c r="U659" t="s">
        <v>317</v>
      </c>
      <c r="Z659" s="1354"/>
      <c r="AA659" s="1354"/>
      <c r="AB659" s="1354"/>
      <c r="AC659" s="1354"/>
      <c r="AD659" s="1354"/>
      <c r="AE659" s="1354"/>
      <c r="AH659" s="33" t="s">
        <v>207</v>
      </c>
      <c r="AI659" s="1350"/>
      <c r="AJ659" s="1350"/>
      <c r="AK659" s="1350"/>
      <c r="AZ659" s="3"/>
      <c r="BA659" s="118">
        <f t="shared" si="42"/>
        <v>1900</v>
      </c>
      <c r="BB659" s="3"/>
      <c r="BC659" s="3"/>
      <c r="BD659" s="3"/>
      <c r="BE659" s="3"/>
      <c r="BF659" s="218"/>
      <c r="BG659" s="316">
        <f t="shared" si="43"/>
        <v>17</v>
      </c>
      <c r="BH659" s="319">
        <f t="shared" si="45"/>
        <v>0.10240963855421686</v>
      </c>
      <c r="BI659" s="320">
        <f t="shared" si="44"/>
        <v>5.1204819277108432E-2</v>
      </c>
      <c r="BJ659" s="3"/>
      <c r="BK659" s="3"/>
      <c r="BL659" s="3"/>
      <c r="BM659" s="3"/>
      <c r="BN659" s="3"/>
      <c r="BO659" s="3"/>
      <c r="BP659" s="379" t="s">
        <v>488</v>
      </c>
      <c r="BQ659" s="499">
        <v>1364</v>
      </c>
      <c r="BR659" s="500">
        <v>1462</v>
      </c>
      <c r="BS659" s="499">
        <v>1754</v>
      </c>
      <c r="BT659" s="500">
        <v>2026</v>
      </c>
      <c r="BU659" s="500">
        <v>2260</v>
      </c>
      <c r="BV659" s="501">
        <v>2492</v>
      </c>
      <c r="BW659" s="3"/>
      <c r="BX659" s="897">
        <v>826</v>
      </c>
      <c r="BY659" s="897">
        <v>895</v>
      </c>
      <c r="BZ659" s="897">
        <v>1177</v>
      </c>
      <c r="CA659" s="897">
        <v>1662</v>
      </c>
      <c r="CB659" s="897">
        <v>2015</v>
      </c>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row>
    <row r="660" spans="1:108" ht="12.95" customHeight="1">
      <c r="A660" s="22"/>
      <c r="B660" t="s">
        <v>18</v>
      </c>
      <c r="H660" s="1352"/>
      <c r="I660" s="1352"/>
      <c r="J660" s="1352"/>
      <c r="K660" s="1352"/>
      <c r="L660" s="1352"/>
      <c r="M660" s="1352"/>
      <c r="N660" s="1352"/>
      <c r="O660" s="1352"/>
      <c r="P660" s="1352"/>
      <c r="Q660" s="1352"/>
      <c r="R660" s="1352"/>
      <c r="T660" s="22"/>
      <c r="U660" t="s">
        <v>18</v>
      </c>
      <c r="AA660" s="1352"/>
      <c r="AB660" s="1352"/>
      <c r="AC660" s="1352"/>
      <c r="AD660" s="1352"/>
      <c r="AE660" s="1352"/>
      <c r="AF660" s="1352"/>
      <c r="AG660" s="1352"/>
      <c r="AH660" s="1352"/>
      <c r="AI660" s="1352"/>
      <c r="AJ660" s="1352"/>
      <c r="AK660" s="1352"/>
      <c r="AZ660" s="3"/>
      <c r="BA660" s="118">
        <f t="shared" si="42"/>
        <v>2280</v>
      </c>
      <c r="BB660" s="3"/>
      <c r="BC660" s="3"/>
      <c r="BD660" s="3"/>
      <c r="BE660" s="3"/>
      <c r="BF660" s="218"/>
      <c r="BG660" s="316">
        <f t="shared" si="43"/>
        <v>34</v>
      </c>
      <c r="BH660" s="319">
        <f t="shared" si="45"/>
        <v>0.20481927710843373</v>
      </c>
      <c r="BI660" s="320">
        <f t="shared" si="44"/>
        <v>0.1433734939759036</v>
      </c>
      <c r="BJ660" s="3"/>
      <c r="BK660" s="3"/>
      <c r="BL660" s="3"/>
      <c r="BM660" s="3"/>
      <c r="BN660" s="3"/>
      <c r="BO660" s="3"/>
      <c r="BP660" s="379" t="s">
        <v>489</v>
      </c>
      <c r="BQ660" s="499">
        <v>1574</v>
      </c>
      <c r="BR660" s="500">
        <v>1686</v>
      </c>
      <c r="BS660" s="499">
        <v>2024</v>
      </c>
      <c r="BT660" s="500">
        <v>2340</v>
      </c>
      <c r="BU660" s="500">
        <v>2610</v>
      </c>
      <c r="BV660" s="501">
        <v>2880</v>
      </c>
      <c r="BW660" s="3"/>
      <c r="BX660" s="897">
        <v>739</v>
      </c>
      <c r="BY660" s="897">
        <v>857</v>
      </c>
      <c r="BZ660" s="897">
        <v>1094</v>
      </c>
      <c r="CA660" s="897">
        <v>1554</v>
      </c>
      <c r="CB660" s="897">
        <v>1785</v>
      </c>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row>
    <row r="661" spans="1:108" ht="12.95" customHeight="1">
      <c r="A661" s="22"/>
      <c r="B661" t="s">
        <v>20</v>
      </c>
      <c r="N661" s="1353" t="s">
        <v>678</v>
      </c>
      <c r="O661" s="1353"/>
      <c r="T661" s="22"/>
      <c r="U661" t="s">
        <v>20</v>
      </c>
      <c r="AG661" s="1353" t="s">
        <v>678</v>
      </c>
      <c r="AH661" s="1353"/>
      <c r="AZ661" s="3"/>
      <c r="BA661" s="118">
        <f t="shared" si="42"/>
        <v>2280</v>
      </c>
      <c r="BB661" s="3"/>
      <c r="BC661" s="3"/>
      <c r="BD661" s="3"/>
      <c r="BE661" s="3"/>
      <c r="BF661" s="218"/>
      <c r="BG661" s="316">
        <f t="shared" si="43"/>
        <v>2</v>
      </c>
      <c r="BH661" s="319">
        <f t="shared" si="45"/>
        <v>1.2048192771084338E-2</v>
      </c>
      <c r="BI661" s="320">
        <f t="shared" si="44"/>
        <v>3.6144578313253013E-3</v>
      </c>
      <c r="BJ661" s="3"/>
      <c r="BK661" s="3"/>
      <c r="BL661" s="3"/>
      <c r="BM661" s="3"/>
      <c r="BN661" s="3"/>
      <c r="BO661" s="3"/>
      <c r="BP661" s="379" t="s">
        <v>490</v>
      </c>
      <c r="BQ661" s="499">
        <v>1364</v>
      </c>
      <c r="BR661" s="500">
        <v>1462</v>
      </c>
      <c r="BS661" s="499">
        <v>1754</v>
      </c>
      <c r="BT661" s="500">
        <v>2026</v>
      </c>
      <c r="BU661" s="500">
        <v>2260</v>
      </c>
      <c r="BV661" s="501">
        <v>2492</v>
      </c>
      <c r="BW661" s="3"/>
      <c r="BX661" s="897">
        <v>713</v>
      </c>
      <c r="BY661" s="897">
        <v>717</v>
      </c>
      <c r="BZ661" s="897">
        <v>944</v>
      </c>
      <c r="CA661" s="897">
        <v>1341</v>
      </c>
      <c r="CB661" s="897">
        <v>1506</v>
      </c>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row>
    <row r="662" spans="1:108" ht="12.95" customHeight="1">
      <c r="A662" s="22"/>
      <c r="T662" s="22"/>
      <c r="AZ662" s="3"/>
      <c r="BA662" s="118">
        <f t="shared" si="42"/>
        <v>2280</v>
      </c>
      <c r="BB662" s="3"/>
      <c r="BC662" s="3"/>
      <c r="BD662" s="3"/>
      <c r="BE662" s="3"/>
      <c r="BF662" s="218"/>
      <c r="BG662" s="316">
        <f t="shared" si="43"/>
        <v>2</v>
      </c>
      <c r="BH662" s="319">
        <f t="shared" si="45"/>
        <v>1.2048192771084338E-2</v>
      </c>
      <c r="BI662" s="320">
        <f t="shared" si="44"/>
        <v>3.6144578313253013E-3</v>
      </c>
      <c r="BJ662" s="3"/>
      <c r="BK662" s="3"/>
      <c r="BL662" s="3"/>
      <c r="BM662" s="3"/>
      <c r="BN662" s="3"/>
      <c r="BO662" s="3"/>
      <c r="BP662" s="379" t="s">
        <v>491</v>
      </c>
      <c r="BQ662" s="499">
        <v>2500</v>
      </c>
      <c r="BR662" s="500">
        <v>2678</v>
      </c>
      <c r="BS662" s="499">
        <v>3214</v>
      </c>
      <c r="BT662" s="500">
        <v>3712</v>
      </c>
      <c r="BU662" s="500">
        <v>4142</v>
      </c>
      <c r="BV662" s="501">
        <v>4570</v>
      </c>
      <c r="BW662" s="3"/>
      <c r="BX662" s="897">
        <v>1538</v>
      </c>
      <c r="BY662" s="897">
        <v>1854</v>
      </c>
      <c r="BZ662" s="897">
        <v>2274</v>
      </c>
      <c r="CA662" s="897">
        <v>3006</v>
      </c>
      <c r="CB662" s="897">
        <v>3578</v>
      </c>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row>
    <row r="663" spans="1:108" ht="12.95" customHeight="1">
      <c r="A663" s="55" t="s">
        <v>464</v>
      </c>
      <c r="B663" t="s">
        <v>472</v>
      </c>
      <c r="G663" s="1351">
        <f>C629</f>
        <v>0</v>
      </c>
      <c r="H663" s="1351"/>
      <c r="I663" s="1351"/>
      <c r="J663" s="1351"/>
      <c r="K663" s="1351"/>
      <c r="L663" s="1351"/>
      <c r="M663" s="1351"/>
      <c r="N663" s="1351"/>
      <c r="O663" s="1351"/>
      <c r="P663" s="1351"/>
      <c r="Q663" s="1351"/>
      <c r="R663" s="1351"/>
      <c r="T663" s="55" t="s">
        <v>465</v>
      </c>
      <c r="U663" t="s">
        <v>472</v>
      </c>
      <c r="Z663" s="1351">
        <f>C630</f>
        <v>0</v>
      </c>
      <c r="AA663" s="1351"/>
      <c r="AB663" s="1351"/>
      <c r="AC663" s="1351"/>
      <c r="AD663" s="1351"/>
      <c r="AE663" s="1351"/>
      <c r="AF663" s="1351"/>
      <c r="AG663" s="1351"/>
      <c r="AH663" s="1351"/>
      <c r="AI663" s="1351"/>
      <c r="AJ663" s="1351"/>
      <c r="AK663" s="1351"/>
      <c r="AZ663" s="3"/>
      <c r="BA663" s="118">
        <f t="shared" si="42"/>
        <v>2280</v>
      </c>
      <c r="BB663" s="3"/>
      <c r="BC663" s="3"/>
      <c r="BD663" s="3"/>
      <c r="BE663" s="3"/>
      <c r="BF663" s="218"/>
      <c r="BG663" s="316">
        <f t="shared" si="43"/>
        <v>11</v>
      </c>
      <c r="BH663" s="319">
        <f t="shared" si="45"/>
        <v>6.6265060240963861E-2</v>
      </c>
      <c r="BI663" s="320">
        <f t="shared" si="44"/>
        <v>3.313253012048193E-2</v>
      </c>
      <c r="BJ663" s="3"/>
      <c r="BK663" s="3"/>
      <c r="BL663" s="3"/>
      <c r="BM663" s="3"/>
      <c r="BN663" s="3"/>
      <c r="BO663" s="3"/>
      <c r="BP663" s="379" t="s">
        <v>492</v>
      </c>
      <c r="BQ663" s="499">
        <v>1364</v>
      </c>
      <c r="BR663" s="500">
        <v>1462</v>
      </c>
      <c r="BS663" s="499">
        <v>1754</v>
      </c>
      <c r="BT663" s="500">
        <v>2026</v>
      </c>
      <c r="BU663" s="500">
        <v>2260</v>
      </c>
      <c r="BV663" s="501">
        <v>2492</v>
      </c>
      <c r="BW663" s="3"/>
      <c r="BX663" s="897">
        <v>651</v>
      </c>
      <c r="BY663" s="897">
        <v>831</v>
      </c>
      <c r="BZ663" s="897">
        <v>980</v>
      </c>
      <c r="CA663" s="897">
        <v>1355</v>
      </c>
      <c r="CB663" s="897">
        <v>1677</v>
      </c>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row>
    <row r="664" spans="1:108" ht="12.95" customHeight="1">
      <c r="A664" s="22"/>
      <c r="B664" t="s">
        <v>86</v>
      </c>
      <c r="G664" s="1352"/>
      <c r="H664" s="1352"/>
      <c r="I664" s="1352"/>
      <c r="J664" s="1352"/>
      <c r="K664" s="1352"/>
      <c r="L664" s="1352"/>
      <c r="M664" s="1352"/>
      <c r="N664" s="1352"/>
      <c r="O664" s="1352"/>
      <c r="P664" s="1352"/>
      <c r="Q664" s="1352"/>
      <c r="R664" s="1352"/>
      <c r="T664" s="22"/>
      <c r="U664" t="s">
        <v>86</v>
      </c>
      <c r="Z664" s="1352"/>
      <c r="AA664" s="1352"/>
      <c r="AB664" s="1352"/>
      <c r="AC664" s="1352"/>
      <c r="AD664" s="1352"/>
      <c r="AE664" s="1352"/>
      <c r="AF664" s="1352"/>
      <c r="AG664" s="1352"/>
      <c r="AH664" s="1352"/>
      <c r="AI664" s="1352"/>
      <c r="AJ664" s="1352"/>
      <c r="AK664" s="1352"/>
      <c r="AZ664" s="3"/>
      <c r="BA664" s="118">
        <f t="shared" si="42"/>
        <v>2280</v>
      </c>
      <c r="BB664" s="3"/>
      <c r="BC664" s="3"/>
      <c r="BD664" s="3"/>
      <c r="BE664" s="3"/>
      <c r="BF664" s="218"/>
      <c r="BG664" s="316">
        <f t="shared" si="43"/>
        <v>23</v>
      </c>
      <c r="BH664" s="319">
        <f t="shared" si="45"/>
        <v>0.13855421686746988</v>
      </c>
      <c r="BI664" s="320">
        <f t="shared" si="44"/>
        <v>9.6987951807228912E-2</v>
      </c>
      <c r="BJ664" s="3"/>
      <c r="BK664" s="3"/>
      <c r="BL664" s="3"/>
      <c r="BM664" s="3"/>
      <c r="BN664" s="3"/>
      <c r="BO664" s="3"/>
      <c r="BP664" s="379" t="s">
        <v>493</v>
      </c>
      <c r="BQ664" s="499">
        <v>1774</v>
      </c>
      <c r="BR664" s="500">
        <v>1900</v>
      </c>
      <c r="BS664" s="499">
        <v>2280</v>
      </c>
      <c r="BT664" s="500">
        <v>2634</v>
      </c>
      <c r="BU664" s="500">
        <v>2940</v>
      </c>
      <c r="BV664" s="501">
        <v>3242</v>
      </c>
      <c r="BW664" s="3"/>
      <c r="BX664" s="897">
        <v>1108</v>
      </c>
      <c r="BY664" s="897">
        <v>1228</v>
      </c>
      <c r="BZ664" s="897">
        <v>1543</v>
      </c>
      <c r="CA664" s="897">
        <v>2192</v>
      </c>
      <c r="CB664" s="897">
        <v>2625</v>
      </c>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row>
    <row r="665" spans="1:108" ht="12.95" customHeight="1">
      <c r="A665" s="22"/>
      <c r="B665" t="s">
        <v>589</v>
      </c>
      <c r="G665" s="1352"/>
      <c r="H665" s="1352"/>
      <c r="I665" s="1352"/>
      <c r="J665" s="1352"/>
      <c r="K665" s="1352"/>
      <c r="L665" s="1352"/>
      <c r="M665" s="1352"/>
      <c r="N665" s="1352"/>
      <c r="O665" s="1352"/>
      <c r="P665" s="1352"/>
      <c r="Q665" s="1352"/>
      <c r="R665" s="1352"/>
      <c r="T665" s="22"/>
      <c r="U665" t="s">
        <v>589</v>
      </c>
      <c r="Z665" s="1359"/>
      <c r="AA665" s="1359"/>
      <c r="AB665" s="1359"/>
      <c r="AC665" s="1359"/>
      <c r="AD665" s="1359"/>
      <c r="AE665" s="1359"/>
      <c r="AF665" s="1359"/>
      <c r="AG665" s="1359"/>
      <c r="AH665" s="1359"/>
      <c r="AI665" s="1359"/>
      <c r="AJ665" s="1359"/>
      <c r="AK665" s="1359"/>
      <c r="AZ665" s="3"/>
      <c r="BA665" s="118">
        <f t="shared" si="42"/>
        <v>2280</v>
      </c>
      <c r="BB665" s="3"/>
      <c r="BC665" s="3"/>
      <c r="BD665" s="3"/>
      <c r="BE665" s="3"/>
      <c r="BF665" s="218"/>
      <c r="BG665" s="316">
        <f t="shared" si="43"/>
        <v>2</v>
      </c>
      <c r="BH665" s="319">
        <f t="shared" si="45"/>
        <v>1.2048192771084338E-2</v>
      </c>
      <c r="BI665" s="320">
        <f t="shared" si="44"/>
        <v>3.6144578313253013E-3</v>
      </c>
      <c r="BJ665" s="3"/>
      <c r="BK665" s="3"/>
      <c r="BL665" s="3"/>
      <c r="BM665" s="3"/>
      <c r="BN665" s="3"/>
      <c r="BO665" s="3"/>
      <c r="BP665" s="379" t="s">
        <v>494</v>
      </c>
      <c r="BQ665" s="499">
        <v>1364</v>
      </c>
      <c r="BR665" s="500">
        <v>1462</v>
      </c>
      <c r="BS665" s="499">
        <v>1754</v>
      </c>
      <c r="BT665" s="500">
        <v>2026</v>
      </c>
      <c r="BU665" s="500">
        <v>2260</v>
      </c>
      <c r="BV665" s="501">
        <v>2492</v>
      </c>
      <c r="BW665" s="3"/>
      <c r="BX665" s="897">
        <v>899</v>
      </c>
      <c r="BY665" s="897">
        <v>904</v>
      </c>
      <c r="BZ665" s="897">
        <v>1137</v>
      </c>
      <c r="CA665" s="897">
        <v>1607</v>
      </c>
      <c r="CB665" s="897">
        <v>1847</v>
      </c>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row>
    <row r="666" spans="1:108" ht="12.95" customHeight="1">
      <c r="A666" s="22"/>
      <c r="B666" t="s">
        <v>17</v>
      </c>
      <c r="G666" s="1352"/>
      <c r="H666" s="1352"/>
      <c r="I666" s="1352"/>
      <c r="J666" s="1352"/>
      <c r="K666" s="1352"/>
      <c r="L666" s="1352"/>
      <c r="M666" s="1352"/>
      <c r="N666" s="1352"/>
      <c r="O666" s="1352"/>
      <c r="P666" s="1352"/>
      <c r="Q666" s="1352"/>
      <c r="R666" s="1352"/>
      <c r="T666" s="22"/>
      <c r="U666" t="s">
        <v>17</v>
      </c>
      <c r="Z666" s="1359"/>
      <c r="AA666" s="1359"/>
      <c r="AB666" s="1359"/>
      <c r="AC666" s="1359"/>
      <c r="AD666" s="1359"/>
      <c r="AE666" s="1359"/>
      <c r="AF666" s="1359"/>
      <c r="AG666" s="1359"/>
      <c r="AH666" s="1359"/>
      <c r="AI666" s="1359"/>
      <c r="AJ666" s="1359"/>
      <c r="AK666" s="1359"/>
      <c r="AZ666" s="3"/>
      <c r="BA666" s="118">
        <f t="shared" si="42"/>
        <v>2280</v>
      </c>
      <c r="BB666" s="3"/>
      <c r="BC666" s="3"/>
      <c r="BD666" s="3"/>
      <c r="BE666" s="3"/>
      <c r="BF666" s="218"/>
      <c r="BG666" s="316">
        <f t="shared" si="43"/>
        <v>1</v>
      </c>
      <c r="BH666" s="319">
        <f t="shared" si="45"/>
        <v>6.024096385542169E-3</v>
      </c>
      <c r="BI666" s="320">
        <f t="shared" si="44"/>
        <v>1.8072289156626507E-3</v>
      </c>
      <c r="BJ666" s="3"/>
      <c r="BK666" s="3"/>
      <c r="BL666" s="3"/>
      <c r="BM666" s="3"/>
      <c r="BN666" s="3"/>
      <c r="BO666" s="3"/>
      <c r="BP666" s="379" t="s">
        <v>495</v>
      </c>
      <c r="BQ666" s="499">
        <v>1364</v>
      </c>
      <c r="BR666" s="500">
        <v>1462</v>
      </c>
      <c r="BS666" s="499">
        <v>1754</v>
      </c>
      <c r="BT666" s="500">
        <v>2026</v>
      </c>
      <c r="BU666" s="500">
        <v>2260</v>
      </c>
      <c r="BV666" s="501">
        <v>2492</v>
      </c>
      <c r="BW666" s="3"/>
      <c r="BX666" s="897">
        <v>627</v>
      </c>
      <c r="BY666" s="897">
        <v>717</v>
      </c>
      <c r="BZ666" s="897">
        <v>944</v>
      </c>
      <c r="CA666" s="897">
        <v>1167</v>
      </c>
      <c r="CB666" s="897">
        <v>1280</v>
      </c>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row>
    <row r="667" spans="1:108" ht="12.95" customHeight="1">
      <c r="A667" s="22"/>
      <c r="B667" t="s">
        <v>317</v>
      </c>
      <c r="G667" s="1354"/>
      <c r="H667" s="1354"/>
      <c r="I667" s="1354"/>
      <c r="J667" s="1354"/>
      <c r="K667" s="1354"/>
      <c r="L667" s="1354"/>
      <c r="O667" s="33" t="s">
        <v>207</v>
      </c>
      <c r="P667" s="1350"/>
      <c r="Q667" s="1350"/>
      <c r="R667" s="1350"/>
      <c r="T667" s="22"/>
      <c r="U667" t="s">
        <v>317</v>
      </c>
      <c r="Z667" s="1354"/>
      <c r="AA667" s="1354"/>
      <c r="AB667" s="1354"/>
      <c r="AC667" s="1354"/>
      <c r="AD667" s="1354"/>
      <c r="AE667" s="1354"/>
      <c r="AH667" s="33" t="s">
        <v>207</v>
      </c>
      <c r="AI667" s="1350"/>
      <c r="AJ667" s="1350"/>
      <c r="AK667" s="1350"/>
      <c r="AZ667" s="3"/>
      <c r="BA667" s="118">
        <f t="shared" si="42"/>
        <v>2280</v>
      </c>
      <c r="BB667" s="3"/>
      <c r="BC667" s="3"/>
      <c r="BD667" s="3"/>
      <c r="BE667" s="3"/>
      <c r="BF667" s="218"/>
      <c r="BG667" s="316">
        <f t="shared" si="43"/>
        <v>9</v>
      </c>
      <c r="BH667" s="319">
        <f t="shared" si="45"/>
        <v>5.4216867469879519E-2</v>
      </c>
      <c r="BI667" s="320">
        <f t="shared" si="44"/>
        <v>2.710843373493976E-2</v>
      </c>
      <c r="BJ667" s="3"/>
      <c r="BK667" s="3"/>
      <c r="BL667" s="3"/>
      <c r="BM667" s="3"/>
      <c r="BN667" s="3"/>
      <c r="BO667" s="3"/>
      <c r="BP667" s="379" t="s">
        <v>496</v>
      </c>
      <c r="BQ667" s="499">
        <v>1364</v>
      </c>
      <c r="BR667" s="500">
        <v>1462</v>
      </c>
      <c r="BS667" s="499">
        <v>1754</v>
      </c>
      <c r="BT667" s="500">
        <v>2026</v>
      </c>
      <c r="BU667" s="500">
        <v>2260</v>
      </c>
      <c r="BV667" s="501">
        <v>2492</v>
      </c>
      <c r="BW667" s="3"/>
      <c r="BX667" s="897">
        <v>741</v>
      </c>
      <c r="BY667" s="897">
        <v>862</v>
      </c>
      <c r="BZ667" s="897">
        <v>1112</v>
      </c>
      <c r="CA667" s="897">
        <v>1580</v>
      </c>
      <c r="CB667" s="897">
        <v>1903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row>
    <row r="668" spans="1:108" ht="12.95" customHeight="1">
      <c r="A668" s="22"/>
      <c r="B668" t="s">
        <v>18</v>
      </c>
      <c r="H668" s="1352"/>
      <c r="I668" s="1352"/>
      <c r="J668" s="1352"/>
      <c r="K668" s="1352"/>
      <c r="L668" s="1352"/>
      <c r="M668" s="1352"/>
      <c r="N668" s="1352"/>
      <c r="O668" s="1352"/>
      <c r="P668" s="1352"/>
      <c r="Q668" s="1352"/>
      <c r="R668" s="1352"/>
      <c r="T668" s="22"/>
      <c r="U668" t="s">
        <v>18</v>
      </c>
      <c r="AA668" s="1352"/>
      <c r="AB668" s="1352"/>
      <c r="AC668" s="1352"/>
      <c r="AD668" s="1352"/>
      <c r="AE668" s="1352"/>
      <c r="AF668" s="1352"/>
      <c r="AG668" s="1352"/>
      <c r="AH668" s="1352"/>
      <c r="AI668" s="1352"/>
      <c r="AJ668" s="1352"/>
      <c r="AK668" s="1352"/>
      <c r="AZ668" s="3"/>
      <c r="BA668" s="118">
        <f t="shared" si="42"/>
        <v>2634</v>
      </c>
      <c r="BB668" s="3"/>
      <c r="BC668" s="3"/>
      <c r="BD668" s="3"/>
      <c r="BE668" s="3"/>
      <c r="BF668" s="218"/>
      <c r="BG668" s="316">
        <f t="shared" si="43"/>
        <v>17</v>
      </c>
      <c r="BH668" s="319">
        <f t="shared" si="45"/>
        <v>0.10240963855421686</v>
      </c>
      <c r="BI668" s="320">
        <f t="shared" si="44"/>
        <v>7.1686746987951799E-2</v>
      </c>
      <c r="BJ668" s="3"/>
      <c r="BK668" s="3"/>
      <c r="BL668" s="3"/>
      <c r="BM668" s="3"/>
      <c r="BN668" s="3"/>
      <c r="BO668" s="3"/>
      <c r="BP668" s="379" t="s">
        <v>497</v>
      </c>
      <c r="BQ668" s="499">
        <v>1364</v>
      </c>
      <c r="BR668" s="500">
        <v>1462</v>
      </c>
      <c r="BS668" s="499">
        <v>1754</v>
      </c>
      <c r="BT668" s="500">
        <v>2026</v>
      </c>
      <c r="BU668" s="500">
        <v>2260</v>
      </c>
      <c r="BV668" s="501">
        <v>2492</v>
      </c>
      <c r="BW668" s="3"/>
      <c r="BX668" s="897">
        <v>716</v>
      </c>
      <c r="BY668" s="897">
        <v>815</v>
      </c>
      <c r="BZ668" s="897">
        <v>1065</v>
      </c>
      <c r="CA668" s="897">
        <v>1486</v>
      </c>
      <c r="CB668" s="897">
        <v>1793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row>
    <row r="669" spans="1:108" ht="12.95" customHeight="1">
      <c r="A669" s="22"/>
      <c r="B669" t="s">
        <v>20</v>
      </c>
      <c r="N669" s="1353" t="s">
        <v>678</v>
      </c>
      <c r="O669" s="1353"/>
      <c r="T669" s="22"/>
      <c r="U669" t="s">
        <v>20</v>
      </c>
      <c r="AG669" s="1353" t="s">
        <v>678</v>
      </c>
      <c r="AH669" s="1353"/>
      <c r="AZ669" s="3"/>
      <c r="BA669" s="118">
        <f t="shared" si="42"/>
        <v>2634</v>
      </c>
      <c r="BB669" s="3"/>
      <c r="BC669" s="3"/>
      <c r="BD669" s="3"/>
      <c r="BE669" s="3"/>
      <c r="BF669" s="218"/>
      <c r="BG669" s="316">
        <f t="shared" si="43"/>
        <v>2</v>
      </c>
      <c r="BH669" s="319">
        <f t="shared" si="45"/>
        <v>1.2048192771084338E-2</v>
      </c>
      <c r="BI669" s="320">
        <f t="shared" si="44"/>
        <v>3.6144578313253013E-3</v>
      </c>
      <c r="BJ669" s="3"/>
      <c r="BK669" s="3"/>
      <c r="BL669" s="3"/>
      <c r="BM669" s="3"/>
      <c r="BN669" s="3"/>
      <c r="BO669" s="3"/>
      <c r="BP669" s="379" t="s">
        <v>498</v>
      </c>
      <c r="BQ669" s="499">
        <v>1446</v>
      </c>
      <c r="BR669" s="500">
        <v>1550</v>
      </c>
      <c r="BS669" s="499">
        <v>1862</v>
      </c>
      <c r="BT669" s="500">
        <v>2150</v>
      </c>
      <c r="BU669" s="500">
        <v>2400</v>
      </c>
      <c r="BV669" s="501">
        <v>2646</v>
      </c>
      <c r="BW669" s="3"/>
      <c r="BX669" s="897">
        <v>754</v>
      </c>
      <c r="BY669" s="897">
        <v>874</v>
      </c>
      <c r="BZ669" s="897">
        <v>1077</v>
      </c>
      <c r="CA669" s="897">
        <v>1530</v>
      </c>
      <c r="CB669" s="897">
        <v>1712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row>
    <row r="670" spans="1:108" ht="12.95" customHeight="1">
      <c r="A670" s="22"/>
      <c r="T670" s="22"/>
      <c r="AZ670" s="3"/>
      <c r="BA670" s="118">
        <f t="shared" si="42"/>
        <v>2634</v>
      </c>
      <c r="BB670" s="3"/>
      <c r="BC670" s="3"/>
      <c r="BD670" s="3"/>
      <c r="BE670" s="3"/>
      <c r="BF670" s="218"/>
      <c r="BG670" s="316">
        <f t="shared" si="43"/>
        <v>2</v>
      </c>
      <c r="BH670" s="319">
        <f t="shared" si="45"/>
        <v>1.2048192771084338E-2</v>
      </c>
      <c r="BI670" s="320">
        <f t="shared" si="44"/>
        <v>3.6144578313253013E-3</v>
      </c>
      <c r="BJ670" s="3"/>
      <c r="BK670" s="3"/>
      <c r="BL670" s="3"/>
      <c r="BM670" s="3"/>
      <c r="BN670" s="3"/>
      <c r="BO670" s="3"/>
      <c r="BP670" s="379" t="s">
        <v>499</v>
      </c>
      <c r="BQ670" s="499">
        <v>1364</v>
      </c>
      <c r="BR670" s="500">
        <v>1462</v>
      </c>
      <c r="BS670" s="499">
        <v>1754</v>
      </c>
      <c r="BT670" s="500">
        <v>2026</v>
      </c>
      <c r="BU670" s="500">
        <v>2260</v>
      </c>
      <c r="BV670" s="501">
        <v>2492</v>
      </c>
      <c r="BW670" s="3"/>
      <c r="BX670" s="897">
        <v>763</v>
      </c>
      <c r="BY670" s="897">
        <v>772</v>
      </c>
      <c r="BZ670" s="897">
        <v>1013</v>
      </c>
      <c r="CA670" s="897">
        <v>1439</v>
      </c>
      <c r="CB670" s="897">
        <v>1734</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row>
    <row r="671" spans="1:108" ht="12.95" customHeight="1">
      <c r="A671" s="55" t="s">
        <v>470</v>
      </c>
      <c r="B671" t="s">
        <v>472</v>
      </c>
      <c r="G671" s="1351">
        <f>C631</f>
        <v>0</v>
      </c>
      <c r="H671" s="1351"/>
      <c r="I671" s="1351"/>
      <c r="J671" s="1351"/>
      <c r="K671" s="1351"/>
      <c r="L671" s="1351"/>
      <c r="M671" s="1351"/>
      <c r="N671" s="1351"/>
      <c r="O671" s="1351"/>
      <c r="P671" s="1351"/>
      <c r="Q671" s="1351"/>
      <c r="R671" s="1351"/>
      <c r="T671" s="55" t="s">
        <v>655</v>
      </c>
      <c r="U671" t="s">
        <v>472</v>
      </c>
      <c r="Z671" s="1351">
        <f>C632</f>
        <v>0</v>
      </c>
      <c r="AA671" s="1351"/>
      <c r="AB671" s="1351"/>
      <c r="AC671" s="1351"/>
      <c r="AD671" s="1351"/>
      <c r="AE671" s="1351"/>
      <c r="AF671" s="1351"/>
      <c r="AG671" s="1351"/>
      <c r="AH671" s="1351"/>
      <c r="AI671" s="1351"/>
      <c r="AJ671" s="1351"/>
      <c r="AK671" s="1351"/>
      <c r="AZ671" s="3"/>
      <c r="BA671" s="118">
        <f t="shared" si="42"/>
        <v>2634</v>
      </c>
      <c r="BB671" s="3"/>
      <c r="BC671" s="3"/>
      <c r="BD671" s="3"/>
      <c r="BE671" s="3"/>
      <c r="BF671" s="218"/>
      <c r="BG671" s="316">
        <f t="shared" si="43"/>
        <v>13</v>
      </c>
      <c r="BH671" s="319">
        <f t="shared" si="45"/>
        <v>7.8313253012048195E-2</v>
      </c>
      <c r="BI671" s="320">
        <f t="shared" si="44"/>
        <v>3.9156626506024098E-2</v>
      </c>
      <c r="BJ671" s="3"/>
      <c r="BK671" s="3"/>
      <c r="BL671" s="3"/>
      <c r="BM671" s="3"/>
      <c r="BN671" s="3"/>
      <c r="BO671" s="3"/>
      <c r="BP671" s="379" t="s">
        <v>500</v>
      </c>
      <c r="BQ671" s="499">
        <v>1364</v>
      </c>
      <c r="BR671" s="500">
        <v>1462</v>
      </c>
      <c r="BS671" s="499">
        <v>1754</v>
      </c>
      <c r="BT671" s="500">
        <v>2026</v>
      </c>
      <c r="BU671" s="500">
        <v>2260</v>
      </c>
      <c r="BV671" s="501">
        <v>2492</v>
      </c>
      <c r="BW671" s="3"/>
      <c r="BX671" s="897">
        <v>924</v>
      </c>
      <c r="BY671" s="897">
        <v>930</v>
      </c>
      <c r="BZ671" s="897">
        <v>1162</v>
      </c>
      <c r="CA671" s="897">
        <v>1651</v>
      </c>
      <c r="CB671" s="897">
        <v>1799</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row>
    <row r="672" spans="1:108" ht="12.95" customHeight="1">
      <c r="A672" s="22"/>
      <c r="B672" t="s">
        <v>86</v>
      </c>
      <c r="G672" s="1352"/>
      <c r="H672" s="1352"/>
      <c r="I672" s="1352"/>
      <c r="J672" s="1352"/>
      <c r="K672" s="1352"/>
      <c r="L672" s="1352"/>
      <c r="M672" s="1352"/>
      <c r="N672" s="1352"/>
      <c r="O672" s="1352"/>
      <c r="P672" s="1352"/>
      <c r="Q672" s="1352"/>
      <c r="R672" s="1352"/>
      <c r="T672" s="22"/>
      <c r="U672" t="s">
        <v>86</v>
      </c>
      <c r="Z672" s="1352"/>
      <c r="AA672" s="1352"/>
      <c r="AB672" s="1352"/>
      <c r="AC672" s="1352"/>
      <c r="AD672" s="1352"/>
      <c r="AE672" s="1352"/>
      <c r="AF672" s="1352"/>
      <c r="AG672" s="1352"/>
      <c r="AH672" s="1352"/>
      <c r="AI672" s="1352"/>
      <c r="AJ672" s="1352"/>
      <c r="AK672" s="1352"/>
      <c r="AZ672" s="3"/>
      <c r="BA672" s="118" t="str">
        <f t="shared" si="42"/>
        <v>N/A</v>
      </c>
      <c r="BB672" s="3"/>
      <c r="BC672" s="3"/>
      <c r="BD672" s="3"/>
      <c r="BE672" s="3"/>
      <c r="BF672" s="218"/>
      <c r="BG672" s="316">
        <f t="shared" si="43"/>
        <v>25</v>
      </c>
      <c r="BH672" s="319">
        <f t="shared" si="45"/>
        <v>0.15060240963855423</v>
      </c>
      <c r="BI672" s="320">
        <f t="shared" si="44"/>
        <v>0.10542168674698796</v>
      </c>
      <c r="BJ672" s="3"/>
      <c r="BK672" s="3"/>
      <c r="BL672" s="3"/>
      <c r="BM672" s="3"/>
      <c r="BN672" s="3"/>
      <c r="BO672" s="3"/>
      <c r="BP672" s="379" t="s">
        <v>501</v>
      </c>
      <c r="BQ672" s="499">
        <v>1364</v>
      </c>
      <c r="BR672" s="500">
        <v>1462</v>
      </c>
      <c r="BS672" s="499">
        <v>1754</v>
      </c>
      <c r="BT672" s="500">
        <v>2026</v>
      </c>
      <c r="BU672" s="500">
        <v>2260</v>
      </c>
      <c r="BV672" s="501">
        <v>2492</v>
      </c>
      <c r="BW672" s="3"/>
      <c r="BX672" s="897">
        <v>678</v>
      </c>
      <c r="BY672" s="897">
        <v>776</v>
      </c>
      <c r="BZ672" s="897">
        <v>1021</v>
      </c>
      <c r="CA672" s="897">
        <v>1450</v>
      </c>
      <c r="CB672" s="897">
        <v>1544</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row>
    <row r="673" spans="1:110" ht="12.95" customHeight="1">
      <c r="A673" s="22"/>
      <c r="B673" t="s">
        <v>589</v>
      </c>
      <c r="G673" s="1352"/>
      <c r="H673" s="1352"/>
      <c r="I673" s="1352"/>
      <c r="J673" s="1352"/>
      <c r="K673" s="1352"/>
      <c r="L673" s="1352"/>
      <c r="M673" s="1352"/>
      <c r="N673" s="1352"/>
      <c r="O673" s="1352"/>
      <c r="P673" s="1352"/>
      <c r="Q673" s="1352"/>
      <c r="R673" s="1352"/>
      <c r="T673" s="22"/>
      <c r="U673" t="s">
        <v>589</v>
      </c>
      <c r="Z673" s="1359"/>
      <c r="AA673" s="1359"/>
      <c r="AB673" s="1359"/>
      <c r="AC673" s="1359"/>
      <c r="AD673" s="1359"/>
      <c r="AE673" s="1359"/>
      <c r="AF673" s="1359"/>
      <c r="AG673" s="1359"/>
      <c r="AH673" s="1359"/>
      <c r="AI673" s="1359"/>
      <c r="AJ673" s="1359"/>
      <c r="AK673" s="1359"/>
      <c r="AZ673" s="3"/>
      <c r="BA673" s="118" t="str">
        <f t="shared" si="42"/>
        <v>N/A</v>
      </c>
      <c r="BB673" s="3"/>
      <c r="BC673" s="3"/>
      <c r="BD673" s="3"/>
      <c r="BE673" s="3"/>
      <c r="BF673" s="218"/>
      <c r="BG673" s="316">
        <f t="shared" si="43"/>
        <v>0</v>
      </c>
      <c r="BH673" s="319">
        <f t="shared" si="45"/>
        <v>0</v>
      </c>
      <c r="BI673" s="320" t="str">
        <f t="shared" si="44"/>
        <v xml:space="preserve"> </v>
      </c>
      <c r="BJ673" s="3"/>
      <c r="BK673" s="3"/>
      <c r="BL673" s="3"/>
      <c r="BM673" s="3"/>
      <c r="BN673" s="3"/>
      <c r="BO673" s="3"/>
      <c r="BP673" s="379" t="s">
        <v>502</v>
      </c>
      <c r="BQ673" s="499">
        <v>1406</v>
      </c>
      <c r="BR673" s="500">
        <v>1506</v>
      </c>
      <c r="BS673" s="499">
        <v>1806</v>
      </c>
      <c r="BT673" s="500">
        <v>2088</v>
      </c>
      <c r="BU673" s="500">
        <v>2330</v>
      </c>
      <c r="BV673" s="501">
        <v>2570</v>
      </c>
      <c r="BW673" s="3"/>
      <c r="BX673" s="897">
        <v>623</v>
      </c>
      <c r="BY673" s="897">
        <v>712</v>
      </c>
      <c r="BZ673" s="897">
        <v>937</v>
      </c>
      <c r="CA673" s="897">
        <v>1331</v>
      </c>
      <c r="CB673" s="897">
        <v>1372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row>
    <row r="674" spans="1:110" ht="12.95" customHeight="1">
      <c r="A674" s="22"/>
      <c r="B674" t="s">
        <v>17</v>
      </c>
      <c r="G674" s="1352"/>
      <c r="H674" s="1352"/>
      <c r="I674" s="1352"/>
      <c r="J674" s="1352"/>
      <c r="K674" s="1352"/>
      <c r="L674" s="1352"/>
      <c r="M674" s="1352"/>
      <c r="N674" s="1352"/>
      <c r="O674" s="1352"/>
      <c r="P674" s="1352"/>
      <c r="Q674" s="1352"/>
      <c r="R674" s="1352"/>
      <c r="T674" s="22"/>
      <c r="U674" t="s">
        <v>17</v>
      </c>
      <c r="Z674" s="1359"/>
      <c r="AA674" s="1359"/>
      <c r="AB674" s="1359"/>
      <c r="AC674" s="1359"/>
      <c r="AD674" s="1359"/>
      <c r="AE674" s="1359"/>
      <c r="AF674" s="1359"/>
      <c r="AG674" s="1359"/>
      <c r="AH674" s="1359"/>
      <c r="AI674" s="1359"/>
      <c r="AJ674" s="1359"/>
      <c r="AK674" s="1359"/>
      <c r="AZ674" s="3"/>
      <c r="BA674" s="118" t="str">
        <f t="shared" si="42"/>
        <v>N/A</v>
      </c>
      <c r="BB674" s="3"/>
      <c r="BC674" s="3"/>
      <c r="BD674" s="3"/>
      <c r="BE674" s="3"/>
      <c r="BF674" s="218"/>
      <c r="BG674" s="316">
        <f t="shared" si="43"/>
        <v>0</v>
      </c>
      <c r="BH674" s="319">
        <f t="shared" si="45"/>
        <v>0</v>
      </c>
      <c r="BI674" s="320" t="str">
        <f t="shared" si="44"/>
        <v xml:space="preserve"> </v>
      </c>
      <c r="BJ674" s="3"/>
      <c r="BK674" s="3"/>
      <c r="BL674" s="3"/>
      <c r="BM674" s="3"/>
      <c r="BN674" s="3"/>
      <c r="BO674" s="3"/>
      <c r="BP674" s="379" t="s">
        <v>503</v>
      </c>
      <c r="BQ674" s="499">
        <v>2084</v>
      </c>
      <c r="BR674" s="500">
        <v>2232</v>
      </c>
      <c r="BS674" s="499">
        <v>2680</v>
      </c>
      <c r="BT674" s="500">
        <v>3096</v>
      </c>
      <c r="BU674" s="500">
        <v>3454</v>
      </c>
      <c r="BV674" s="501">
        <v>3812</v>
      </c>
      <c r="BW674" s="3"/>
      <c r="BX674" s="897">
        <v>1384</v>
      </c>
      <c r="BY674" s="897">
        <v>1604</v>
      </c>
      <c r="BZ674" s="897">
        <v>2044</v>
      </c>
      <c r="CA674" s="897">
        <v>2693</v>
      </c>
      <c r="CB674" s="897">
        <v>2933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row>
    <row r="675" spans="1:110" ht="12.95" customHeight="1">
      <c r="A675" s="22"/>
      <c r="B675" t="s">
        <v>317</v>
      </c>
      <c r="G675" s="1354"/>
      <c r="H675" s="1354"/>
      <c r="I675" s="1354"/>
      <c r="J675" s="1354"/>
      <c r="K675" s="1354"/>
      <c r="L675" s="1354"/>
      <c r="O675" s="33" t="s">
        <v>207</v>
      </c>
      <c r="P675" s="1350"/>
      <c r="Q675" s="1350"/>
      <c r="R675" s="1350"/>
      <c r="T675" s="22"/>
      <c r="U675" t="s">
        <v>317</v>
      </c>
      <c r="Z675" s="1354"/>
      <c r="AA675" s="1354"/>
      <c r="AB675" s="1354"/>
      <c r="AC675" s="1354"/>
      <c r="AD675" s="1354"/>
      <c r="AE675" s="1354"/>
      <c r="AH675" s="33" t="s">
        <v>207</v>
      </c>
      <c r="AI675" s="1350"/>
      <c r="AJ675" s="1350"/>
      <c r="AK675" s="1350"/>
      <c r="AZ675" s="3"/>
      <c r="BA675" s="118" t="str">
        <f t="shared" si="42"/>
        <v>N/A</v>
      </c>
      <c r="BB675" s="3"/>
      <c r="BC675" s="3"/>
      <c r="BD675" s="3"/>
      <c r="BE675" s="3"/>
      <c r="BF675" s="218"/>
      <c r="BG675" s="316">
        <f t="shared" si="43"/>
        <v>0</v>
      </c>
      <c r="BH675" s="319">
        <f t="shared" si="45"/>
        <v>0</v>
      </c>
      <c r="BI675" s="320" t="str">
        <f t="shared" si="44"/>
        <v xml:space="preserve"> </v>
      </c>
      <c r="BJ675" s="3"/>
      <c r="BK675" s="3"/>
      <c r="BL675" s="3"/>
      <c r="BM675" s="3"/>
      <c r="BN675" s="3"/>
      <c r="BO675" s="3"/>
      <c r="BP675" s="379" t="s">
        <v>504</v>
      </c>
      <c r="BQ675" s="499">
        <v>1364</v>
      </c>
      <c r="BR675" s="500">
        <v>1462</v>
      </c>
      <c r="BS675" s="499">
        <v>1754</v>
      </c>
      <c r="BT675" s="500">
        <v>2026</v>
      </c>
      <c r="BU675" s="500">
        <v>2260</v>
      </c>
      <c r="BV675" s="501">
        <v>2492</v>
      </c>
      <c r="BW675" s="3"/>
      <c r="BX675" s="897">
        <v>913</v>
      </c>
      <c r="BY675" s="897">
        <v>919</v>
      </c>
      <c r="BZ675" s="897">
        <v>1198</v>
      </c>
      <c r="CA675" s="897">
        <v>1702</v>
      </c>
      <c r="CB675" s="897">
        <v>1870</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row>
    <row r="676" spans="1:110" ht="12.95" customHeight="1">
      <c r="A676" s="22"/>
      <c r="B676" t="s">
        <v>18</v>
      </c>
      <c r="H676" s="1352"/>
      <c r="I676" s="1352"/>
      <c r="J676" s="1352"/>
      <c r="K676" s="1352"/>
      <c r="L676" s="1352"/>
      <c r="M676" s="1352"/>
      <c r="N676" s="1352"/>
      <c r="O676" s="1352"/>
      <c r="P676" s="1352"/>
      <c r="Q676" s="1352"/>
      <c r="R676" s="1352"/>
      <c r="T676" s="22"/>
      <c r="U676" t="s">
        <v>18</v>
      </c>
      <c r="AA676" s="1352"/>
      <c r="AB676" s="1352"/>
      <c r="AC676" s="1352"/>
      <c r="AD676" s="1352"/>
      <c r="AE676" s="1352"/>
      <c r="AF676" s="1352"/>
      <c r="AG676" s="1352"/>
      <c r="AH676" s="1352"/>
      <c r="AI676" s="1352"/>
      <c r="AJ676" s="1352"/>
      <c r="AK676" s="1352"/>
      <c r="AZ676" s="3"/>
      <c r="BA676" s="118" t="str">
        <f t="shared" si="42"/>
        <v>N/A</v>
      </c>
      <c r="BB676" s="3"/>
      <c r="BC676" s="3"/>
      <c r="BD676" s="3"/>
      <c r="BE676" s="3"/>
      <c r="BF676" s="218"/>
      <c r="BG676" s="316">
        <f t="shared" si="43"/>
        <v>0</v>
      </c>
      <c r="BH676" s="319">
        <f t="shared" si="45"/>
        <v>0</v>
      </c>
      <c r="BI676" s="320" t="str">
        <f t="shared" si="44"/>
        <v xml:space="preserve"> </v>
      </c>
      <c r="BJ676" s="3"/>
      <c r="BK676" s="3"/>
      <c r="BL676" s="3"/>
      <c r="BM676" s="3"/>
      <c r="BN676" s="3"/>
      <c r="BO676" s="3"/>
      <c r="BP676" s="379" t="s">
        <v>505</v>
      </c>
      <c r="BQ676" s="499">
        <v>3262</v>
      </c>
      <c r="BR676" s="500">
        <v>3496</v>
      </c>
      <c r="BS676" s="499">
        <v>4194</v>
      </c>
      <c r="BT676" s="500">
        <v>4846</v>
      </c>
      <c r="BU676" s="500">
        <v>5406</v>
      </c>
      <c r="BV676" s="501">
        <v>5966</v>
      </c>
      <c r="BW676" s="3"/>
      <c r="BX676" s="897">
        <v>2115</v>
      </c>
      <c r="BY676" s="897">
        <v>2631</v>
      </c>
      <c r="BZ676" s="897">
        <v>3198</v>
      </c>
      <c r="CA676" s="897">
        <v>4111</v>
      </c>
      <c r="CB676" s="897">
        <v>4473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row>
    <row r="677" spans="1:110" ht="12.95" customHeight="1">
      <c r="A677" s="22"/>
      <c r="B677" t="s">
        <v>20</v>
      </c>
      <c r="N677" s="1353" t="s">
        <v>678</v>
      </c>
      <c r="O677" s="1353"/>
      <c r="T677" s="22"/>
      <c r="U677" t="s">
        <v>20</v>
      </c>
      <c r="AG677" s="1353" t="s">
        <v>678</v>
      </c>
      <c r="AH677" s="1353"/>
      <c r="AZ677" s="3"/>
      <c r="BA677" s="118" t="str">
        <f t="shared" si="42"/>
        <v>N/A</v>
      </c>
      <c r="BB677" s="3"/>
      <c r="BF677" s="218"/>
      <c r="BG677" s="316">
        <f t="shared" si="43"/>
        <v>0</v>
      </c>
      <c r="BH677" s="319">
        <f t="shared" si="45"/>
        <v>0</v>
      </c>
      <c r="BI677" s="320" t="str">
        <f t="shared" si="44"/>
        <v xml:space="preserve"> </v>
      </c>
      <c r="BL677" s="3"/>
      <c r="BM677" s="3"/>
      <c r="BN677" s="3"/>
      <c r="BO677" s="3"/>
      <c r="BP677" s="379" t="s">
        <v>53</v>
      </c>
      <c r="BQ677" s="499">
        <v>1364</v>
      </c>
      <c r="BR677" s="500">
        <v>1462</v>
      </c>
      <c r="BS677" s="499">
        <v>1754</v>
      </c>
      <c r="BT677" s="500">
        <v>2026</v>
      </c>
      <c r="BU677" s="500">
        <v>2260</v>
      </c>
      <c r="BV677" s="501">
        <v>2492</v>
      </c>
      <c r="BW677" s="3"/>
      <c r="BX677" s="897">
        <v>718</v>
      </c>
      <c r="BY677" s="897">
        <v>808</v>
      </c>
      <c r="BZ677" s="897">
        <v>1063</v>
      </c>
      <c r="CA677" s="897">
        <v>1423</v>
      </c>
      <c r="CB677" s="897">
        <v>1819</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row>
    <row r="678" spans="1:110" ht="12.95" customHeight="1">
      <c r="A678" s="22"/>
      <c r="T678" s="22"/>
      <c r="AZ678" s="3"/>
      <c r="BA678" s="118" t="str">
        <f t="shared" si="42"/>
        <v>N/A</v>
      </c>
      <c r="BB678" s="3"/>
      <c r="BF678" s="218"/>
      <c r="BG678" s="316">
        <f t="shared" si="43"/>
        <v>0</v>
      </c>
      <c r="BH678" s="319">
        <f t="shared" si="45"/>
        <v>0</v>
      </c>
      <c r="BI678" s="320" t="str">
        <f t="shared" si="44"/>
        <v xml:space="preserve"> </v>
      </c>
      <c r="BL678" s="3"/>
      <c r="BM678" s="3"/>
      <c r="BN678" s="3"/>
      <c r="BO678" s="3"/>
      <c r="BP678" s="379" t="s">
        <v>54</v>
      </c>
      <c r="BQ678" s="499">
        <v>1406</v>
      </c>
      <c r="BR678" s="500">
        <v>1506</v>
      </c>
      <c r="BS678" s="499">
        <v>1806</v>
      </c>
      <c r="BT678" s="500">
        <v>2088</v>
      </c>
      <c r="BU678" s="500">
        <v>2330</v>
      </c>
      <c r="BV678" s="501">
        <v>2570</v>
      </c>
      <c r="BW678" s="3"/>
      <c r="BX678" s="897">
        <v>945</v>
      </c>
      <c r="BY678" s="897">
        <v>954</v>
      </c>
      <c r="BZ678" s="897">
        <v>1245</v>
      </c>
      <c r="CA678" s="897">
        <v>1729</v>
      </c>
      <c r="CB678" s="897">
        <v>2131</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row>
    <row r="679" spans="1:110" ht="12.95" customHeight="1">
      <c r="A679" s="55" t="s">
        <v>363</v>
      </c>
      <c r="B679" t="s">
        <v>472</v>
      </c>
      <c r="G679" s="1351">
        <f>C633</f>
        <v>0</v>
      </c>
      <c r="H679" s="1351"/>
      <c r="I679" s="1351"/>
      <c r="J679" s="1351"/>
      <c r="K679" s="1351"/>
      <c r="L679" s="1351"/>
      <c r="M679" s="1351"/>
      <c r="N679" s="1351"/>
      <c r="O679" s="1351"/>
      <c r="P679" s="1351"/>
      <c r="Q679" s="1351"/>
      <c r="R679" s="1351"/>
      <c r="T679" s="55" t="s">
        <v>364</v>
      </c>
      <c r="U679" t="s">
        <v>472</v>
      </c>
      <c r="Z679" s="1351">
        <f>C634</f>
        <v>0</v>
      </c>
      <c r="AA679" s="1351"/>
      <c r="AB679" s="1351"/>
      <c r="AC679" s="1351"/>
      <c r="AD679" s="1351"/>
      <c r="AE679" s="1351"/>
      <c r="AF679" s="1351"/>
      <c r="AG679" s="1351"/>
      <c r="AH679" s="1351"/>
      <c r="AI679" s="1351"/>
      <c r="AJ679" s="1351"/>
      <c r="AK679" s="1351"/>
      <c r="AZ679" s="3"/>
      <c r="BA679" s="118" t="str">
        <f t="shared" si="42"/>
        <v>N/A</v>
      </c>
      <c r="BB679" s="3"/>
      <c r="BF679" s="218"/>
      <c r="BG679" s="316">
        <f t="shared" si="43"/>
        <v>0</v>
      </c>
      <c r="BH679" s="319">
        <f t="shared" si="45"/>
        <v>0</v>
      </c>
      <c r="BI679" s="320" t="str">
        <f t="shared" si="44"/>
        <v xml:space="preserve"> </v>
      </c>
      <c r="BL679" s="3"/>
      <c r="BM679" s="3"/>
      <c r="BN679" s="3"/>
      <c r="BO679" s="3"/>
      <c r="BP679" s="379" t="s">
        <v>55</v>
      </c>
      <c r="BQ679" s="499">
        <v>1364</v>
      </c>
      <c r="BR679" s="500">
        <v>1462</v>
      </c>
      <c r="BS679" s="499">
        <v>1754</v>
      </c>
      <c r="BT679" s="500">
        <v>2026</v>
      </c>
      <c r="BU679" s="500">
        <v>2260</v>
      </c>
      <c r="BV679" s="501">
        <v>2492</v>
      </c>
      <c r="BW679" s="3"/>
      <c r="BX679" s="897">
        <v>766</v>
      </c>
      <c r="BY679" s="897">
        <v>914</v>
      </c>
      <c r="BZ679" s="897">
        <v>1120</v>
      </c>
      <c r="CA679" s="897">
        <v>1591</v>
      </c>
      <c r="CB679" s="897">
        <v>1917</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row>
    <row r="680" spans="1:110" ht="12.95" customHeight="1">
      <c r="B680" t="s">
        <v>86</v>
      </c>
      <c r="G680" s="1352"/>
      <c r="H680" s="1352"/>
      <c r="I680" s="1352"/>
      <c r="J680" s="1352"/>
      <c r="K680" s="1352"/>
      <c r="L680" s="1352"/>
      <c r="M680" s="1352"/>
      <c r="N680" s="1352"/>
      <c r="O680" s="1352"/>
      <c r="P680" s="1352"/>
      <c r="Q680" s="1352"/>
      <c r="R680" s="1352"/>
      <c r="T680" s="22"/>
      <c r="U680" t="s">
        <v>86</v>
      </c>
      <c r="Z680" s="1352"/>
      <c r="AA680" s="1352"/>
      <c r="AB680" s="1352"/>
      <c r="AC680" s="1352"/>
      <c r="AD680" s="1352"/>
      <c r="AE680" s="1352"/>
      <c r="AF680" s="1352"/>
      <c r="AG680" s="1352"/>
      <c r="AH680" s="1352"/>
      <c r="AI680" s="1352"/>
      <c r="AJ680" s="1352"/>
      <c r="AK680" s="1352"/>
      <c r="AZ680" s="3"/>
      <c r="BA680" s="118" t="str">
        <f t="shared" si="42"/>
        <v>N/A</v>
      </c>
      <c r="BB680" s="3"/>
      <c r="BF680" s="218"/>
      <c r="BG680" s="316">
        <f t="shared" si="43"/>
        <v>0</v>
      </c>
      <c r="BH680" s="319">
        <f t="shared" si="45"/>
        <v>0</v>
      </c>
      <c r="BI680" s="320" t="str">
        <f t="shared" si="44"/>
        <v xml:space="preserve"> </v>
      </c>
      <c r="BL680" s="3"/>
      <c r="BM680" s="3"/>
      <c r="BN680" s="3"/>
      <c r="BO680" s="3"/>
      <c r="BP680" s="379" t="s">
        <v>56</v>
      </c>
      <c r="BQ680" s="499">
        <v>1364</v>
      </c>
      <c r="BR680" s="500">
        <v>1462</v>
      </c>
      <c r="BS680" s="499">
        <v>1754</v>
      </c>
      <c r="BT680" s="500">
        <v>2026</v>
      </c>
      <c r="BU680" s="500">
        <v>2260</v>
      </c>
      <c r="BV680" s="501">
        <v>2492</v>
      </c>
      <c r="BW680" s="3"/>
      <c r="BX680" s="897">
        <v>605</v>
      </c>
      <c r="BY680" s="897">
        <v>609</v>
      </c>
      <c r="BZ680" s="897">
        <v>801</v>
      </c>
      <c r="CA680" s="897">
        <v>1047</v>
      </c>
      <c r="CB680" s="897">
        <v>1273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row>
    <row r="681" spans="1:110" ht="12.95" customHeight="1">
      <c r="B681" t="s">
        <v>589</v>
      </c>
      <c r="G681" s="1352"/>
      <c r="H681" s="1352"/>
      <c r="I681" s="1352"/>
      <c r="J681" s="1352"/>
      <c r="K681" s="1352"/>
      <c r="L681" s="1352"/>
      <c r="M681" s="1352"/>
      <c r="N681" s="1352"/>
      <c r="O681" s="1352"/>
      <c r="P681" s="1352"/>
      <c r="Q681" s="1352"/>
      <c r="R681" s="1352"/>
      <c r="U681" t="s">
        <v>589</v>
      </c>
      <c r="Z681" s="1359"/>
      <c r="AA681" s="1359"/>
      <c r="AB681" s="1359"/>
      <c r="AC681" s="1359"/>
      <c r="AD681" s="1359"/>
      <c r="AE681" s="1359"/>
      <c r="AF681" s="1359"/>
      <c r="AG681" s="1359"/>
      <c r="AH681" s="1359"/>
      <c r="AI681" s="1359"/>
      <c r="AJ681" s="1359"/>
      <c r="AK681" s="1359"/>
      <c r="AZ681" s="3"/>
      <c r="BA681" s="3"/>
      <c r="BB681" s="3"/>
      <c r="BC681" s="3"/>
      <c r="BF681" s="218"/>
      <c r="BG681" s="316">
        <f t="shared" si="43"/>
        <v>0</v>
      </c>
      <c r="BH681" s="319">
        <f t="shared" si="45"/>
        <v>0</v>
      </c>
      <c r="BI681" s="320" t="str">
        <f t="shared" si="44"/>
        <v xml:space="preserve"> </v>
      </c>
      <c r="BM681" s="3"/>
      <c r="BN681" s="3"/>
      <c r="BO681" s="3"/>
      <c r="BP681" s="379" t="s">
        <v>60</v>
      </c>
      <c r="BQ681" s="499">
        <v>1406</v>
      </c>
      <c r="BR681" s="500">
        <v>1506</v>
      </c>
      <c r="BS681" s="499">
        <v>1806</v>
      </c>
      <c r="BT681" s="500">
        <v>2088</v>
      </c>
      <c r="BU681" s="500">
        <v>2330</v>
      </c>
      <c r="BV681" s="501">
        <v>2570</v>
      </c>
      <c r="BW681" s="3"/>
      <c r="BX681" s="897">
        <v>1009</v>
      </c>
      <c r="BY681" s="897">
        <v>1045</v>
      </c>
      <c r="BZ681" s="897">
        <v>1319</v>
      </c>
      <c r="CA681" s="897">
        <v>1829</v>
      </c>
      <c r="CB681" s="897">
        <v>2096</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10" ht="12.95" customHeight="1">
      <c r="B682" t="s">
        <v>17</v>
      </c>
      <c r="G682" s="1352"/>
      <c r="H682" s="1352"/>
      <c r="I682" s="1352"/>
      <c r="J682" s="1352"/>
      <c r="K682" s="1352"/>
      <c r="L682" s="1352"/>
      <c r="M682" s="1352"/>
      <c r="N682" s="1352"/>
      <c r="O682" s="1352"/>
      <c r="P682" s="1352"/>
      <c r="Q682" s="1352"/>
      <c r="R682" s="1352"/>
      <c r="U682" t="s">
        <v>17</v>
      </c>
      <c r="Z682" s="1359"/>
      <c r="AA682" s="1359"/>
      <c r="AB682" s="1359"/>
      <c r="AC682" s="1359"/>
      <c r="AD682" s="1359"/>
      <c r="AE682" s="1359"/>
      <c r="AF682" s="1359"/>
      <c r="AG682" s="1359"/>
      <c r="AH682" s="1359"/>
      <c r="AI682" s="1359"/>
      <c r="AJ682" s="1359"/>
      <c r="AK682" s="1359"/>
      <c r="AZ682" s="3"/>
      <c r="BA682" s="3"/>
      <c r="BB682" s="3"/>
      <c r="BC682" s="3"/>
      <c r="BD682" s="3"/>
      <c r="BF682" s="312" t="s">
        <v>932</v>
      </c>
      <c r="BG682" s="321">
        <f>SUM(BG657:BG681)</f>
        <v>166</v>
      </c>
      <c r="BH682" s="322">
        <f>SUM(BH657:BH681)</f>
        <v>1</v>
      </c>
      <c r="BI682" s="322">
        <f>SUM(BI657:BI681)</f>
        <v>0.59879518072289151</v>
      </c>
      <c r="BN682" s="3"/>
      <c r="BO682" s="3"/>
      <c r="BP682" s="379" t="s">
        <v>61</v>
      </c>
      <c r="BQ682" s="499">
        <v>1990</v>
      </c>
      <c r="BR682" s="500">
        <v>2132</v>
      </c>
      <c r="BS682" s="499">
        <v>2560</v>
      </c>
      <c r="BT682" s="500">
        <v>2956</v>
      </c>
      <c r="BU682" s="500">
        <v>3296</v>
      </c>
      <c r="BV682" s="501">
        <v>3638</v>
      </c>
      <c r="BW682" s="3"/>
      <c r="BX682" s="897">
        <v>1533</v>
      </c>
      <c r="BY682" s="897">
        <v>1616</v>
      </c>
      <c r="BZ682" s="897">
        <v>1967</v>
      </c>
      <c r="CA682" s="897">
        <v>2794</v>
      </c>
      <c r="CB682" s="897">
        <v>3081</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row>
    <row r="683" spans="1:110" ht="12.95" customHeight="1">
      <c r="B683" t="s">
        <v>317</v>
      </c>
      <c r="G683" s="1354"/>
      <c r="H683" s="1354"/>
      <c r="I683" s="1354"/>
      <c r="J683" s="1354"/>
      <c r="K683" s="1354"/>
      <c r="L683" s="1354"/>
      <c r="O683" s="33" t="s">
        <v>207</v>
      </c>
      <c r="P683" s="1350"/>
      <c r="Q683" s="1350"/>
      <c r="R683" s="1350"/>
      <c r="U683" t="s">
        <v>317</v>
      </c>
      <c r="Z683" s="1354"/>
      <c r="AA683" s="1354"/>
      <c r="AB683" s="1354"/>
      <c r="AC683" s="1354"/>
      <c r="AD683" s="1354"/>
      <c r="AE683" s="1354"/>
      <c r="AH683" s="33" t="s">
        <v>207</v>
      </c>
      <c r="AI683" s="1350"/>
      <c r="AJ683" s="1350"/>
      <c r="AK683" s="1350"/>
      <c r="AZ683" s="3"/>
      <c r="BA683" s="3"/>
      <c r="BB683" s="3"/>
      <c r="BC683" s="3"/>
      <c r="BD683" s="3"/>
      <c r="BE683" s="3"/>
      <c r="BF683" s="3"/>
      <c r="BG683" s="3"/>
      <c r="BH683" s="3"/>
      <c r="BI683" s="3"/>
      <c r="BJ683" s="3"/>
      <c r="BK683" s="3"/>
      <c r="BL683" s="3"/>
      <c r="BM683" s="3"/>
      <c r="BN683" s="3"/>
      <c r="BO683" s="3"/>
      <c r="BP683" s="379" t="s">
        <v>62</v>
      </c>
      <c r="BQ683" s="499">
        <v>2206</v>
      </c>
      <c r="BR683" s="500">
        <v>2364</v>
      </c>
      <c r="BS683" s="499">
        <v>2836</v>
      </c>
      <c r="BT683" s="500">
        <v>3278</v>
      </c>
      <c r="BU683" s="500">
        <v>3656</v>
      </c>
      <c r="BV683" s="501">
        <v>4036</v>
      </c>
      <c r="BW683" s="3"/>
      <c r="BX683" s="897">
        <v>1438</v>
      </c>
      <c r="BY683" s="897">
        <v>1645</v>
      </c>
      <c r="BZ683" s="897">
        <v>2164</v>
      </c>
      <c r="CA683" s="897">
        <v>2924</v>
      </c>
      <c r="CB683" s="897">
        <v>2935</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row>
    <row r="684" spans="1:110" ht="12.95" customHeight="1">
      <c r="B684" t="s">
        <v>18</v>
      </c>
      <c r="H684" s="1352"/>
      <c r="I684" s="1352"/>
      <c r="J684" s="1352"/>
      <c r="K684" s="1352"/>
      <c r="L684" s="1352"/>
      <c r="M684" s="1352"/>
      <c r="N684" s="1352"/>
      <c r="O684" s="1352"/>
      <c r="P684" s="1352"/>
      <c r="Q684" s="1352"/>
      <c r="R684" s="1352"/>
      <c r="U684" t="s">
        <v>18</v>
      </c>
      <c r="AA684" s="1352"/>
      <c r="AB684" s="1352"/>
      <c r="AC684" s="1352"/>
      <c r="AD684" s="1352"/>
      <c r="AE684" s="1352"/>
      <c r="AF684" s="1352"/>
      <c r="AG684" s="1352"/>
      <c r="AH684" s="1352"/>
      <c r="AI684" s="1352"/>
      <c r="AJ684" s="1352"/>
      <c r="AK684" s="1352"/>
      <c r="AZ684" s="3"/>
      <c r="BA684" s="3"/>
      <c r="BB684" s="3"/>
      <c r="BC684" s="3"/>
      <c r="BD684" s="3"/>
      <c r="BE684" s="3"/>
      <c r="BF684" s="3"/>
      <c r="BG684" s="3"/>
      <c r="BH684" s="3"/>
      <c r="BI684" s="3"/>
      <c r="BJ684" s="3"/>
      <c r="BK684" s="3"/>
      <c r="BL684" s="3"/>
      <c r="BM684" s="3"/>
      <c r="BN684" s="3"/>
      <c r="BO684" s="3"/>
      <c r="BP684" s="379" t="s">
        <v>63</v>
      </c>
      <c r="BQ684" s="499">
        <v>1722</v>
      </c>
      <c r="BR684" s="500">
        <v>1846</v>
      </c>
      <c r="BS684" s="499">
        <v>2214</v>
      </c>
      <c r="BT684" s="500">
        <v>2558</v>
      </c>
      <c r="BU684" s="500">
        <v>2854</v>
      </c>
      <c r="BV684" s="501">
        <v>3150</v>
      </c>
      <c r="BW684" s="3"/>
      <c r="BX684" s="897">
        <v>921</v>
      </c>
      <c r="BY684" s="897">
        <v>993</v>
      </c>
      <c r="BZ684" s="897">
        <v>1307</v>
      </c>
      <c r="CA684" s="897">
        <v>1857</v>
      </c>
      <c r="CB684" s="897">
        <v>2037</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row>
    <row r="685" spans="1:110" ht="12.95" customHeight="1">
      <c r="B685" t="s">
        <v>20</v>
      </c>
      <c r="N685" s="1353" t="s">
        <v>678</v>
      </c>
      <c r="O685" s="1353"/>
      <c r="U685" t="s">
        <v>20</v>
      </c>
      <c r="AG685" s="1353" t="s">
        <v>678</v>
      </c>
      <c r="AH685" s="1353"/>
      <c r="AZ685" s="34"/>
      <c r="BA685" s="34"/>
      <c r="BB685" s="34"/>
      <c r="BC685" s="34"/>
      <c r="BD685" s="34"/>
      <c r="BE685" s="34"/>
      <c r="BF685" s="34"/>
      <c r="BG685" s="34"/>
      <c r="BH685" s="34"/>
      <c r="BI685" s="34"/>
      <c r="BJ685" s="34"/>
      <c r="BK685" s="34"/>
      <c r="BL685" s="34"/>
      <c r="BM685" s="34"/>
      <c r="BN685" s="34"/>
      <c r="BO685" s="34"/>
      <c r="BP685" s="379" t="s">
        <v>64</v>
      </c>
      <c r="BQ685" s="499">
        <v>2372</v>
      </c>
      <c r="BR685" s="500">
        <v>2540</v>
      </c>
      <c r="BS685" s="499">
        <v>3050</v>
      </c>
      <c r="BT685" s="500">
        <v>3522</v>
      </c>
      <c r="BU685" s="500">
        <v>3930</v>
      </c>
      <c r="BV685" s="501">
        <v>4336</v>
      </c>
      <c r="BW685" s="34"/>
      <c r="BX685" s="1085">
        <v>1716</v>
      </c>
      <c r="BY685" s="1085">
        <v>1905</v>
      </c>
      <c r="BZ685" s="1085">
        <v>2324</v>
      </c>
      <c r="CA685" s="1085">
        <v>3178</v>
      </c>
      <c r="CB685" s="1085">
        <v>3674</v>
      </c>
      <c r="CC685" s="34"/>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row>
    <row r="686" spans="1:110" ht="12.95" customHeight="1">
      <c r="AZ686" s="34"/>
      <c r="BA686" s="34"/>
      <c r="BB686" s="34"/>
      <c r="BC686" s="34"/>
      <c r="BD686" s="34"/>
      <c r="BE686" s="34"/>
      <c r="BF686" s="34"/>
      <c r="BG686" s="34"/>
      <c r="BH686" s="34"/>
      <c r="BI686" s="34"/>
      <c r="BJ686" s="34"/>
      <c r="BK686" s="34"/>
      <c r="BL686" s="34"/>
      <c r="BM686" s="34"/>
      <c r="BN686" s="34"/>
      <c r="BO686" s="34"/>
      <c r="BP686" s="379" t="s">
        <v>65</v>
      </c>
      <c r="BQ686" s="499">
        <v>1774</v>
      </c>
      <c r="BR686" s="500">
        <v>1900</v>
      </c>
      <c r="BS686" s="499">
        <v>2280</v>
      </c>
      <c r="BT686" s="500">
        <v>2634</v>
      </c>
      <c r="BU686" s="500">
        <v>2940</v>
      </c>
      <c r="BV686" s="501">
        <v>3242</v>
      </c>
      <c r="BW686" s="34"/>
      <c r="BX686" s="1085">
        <v>1108</v>
      </c>
      <c r="BY686" s="1085">
        <v>1228</v>
      </c>
      <c r="BZ686" s="1085">
        <v>1543</v>
      </c>
      <c r="CA686" s="1085">
        <v>2192</v>
      </c>
      <c r="CB686" s="1085">
        <v>2625</v>
      </c>
      <c r="CC686" s="34"/>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row>
    <row r="687" spans="1:110" ht="12.95" customHeight="1">
      <c r="A687" s="2" t="s">
        <v>585</v>
      </c>
      <c r="C687" s="2" t="s">
        <v>328</v>
      </c>
      <c r="E687" s="130"/>
      <c r="F687" s="130"/>
      <c r="G687" s="130"/>
      <c r="H687" s="130"/>
      <c r="AZ687" s="34"/>
      <c r="BA687" s="34"/>
      <c r="BB687" s="34"/>
      <c r="BC687" s="34"/>
      <c r="BD687" s="34"/>
      <c r="BE687" s="34"/>
      <c r="BF687" s="34"/>
      <c r="BG687" s="219" t="s">
        <v>1805</v>
      </c>
      <c r="BH687" s="218"/>
      <c r="BI687" s="218"/>
      <c r="BJ687" s="3"/>
      <c r="BK687" s="34"/>
      <c r="BL687" s="34"/>
      <c r="BM687" s="34"/>
      <c r="BN687" s="34"/>
      <c r="BO687" s="34"/>
      <c r="BP687" s="379" t="s">
        <v>66</v>
      </c>
      <c r="BQ687" s="499">
        <v>1430</v>
      </c>
      <c r="BR687" s="500">
        <v>1532</v>
      </c>
      <c r="BS687" s="499">
        <v>1840</v>
      </c>
      <c r="BT687" s="500">
        <v>2124</v>
      </c>
      <c r="BU687" s="500">
        <v>2370</v>
      </c>
      <c r="BV687" s="501">
        <v>2616</v>
      </c>
      <c r="BW687" s="34"/>
      <c r="BX687" s="1085">
        <v>608</v>
      </c>
      <c r="BY687" s="1085">
        <v>716</v>
      </c>
      <c r="BZ687" s="1085">
        <v>915</v>
      </c>
      <c r="CA687" s="1085">
        <v>1300</v>
      </c>
      <c r="CB687" s="1085">
        <v>1566</v>
      </c>
      <c r="CC687" s="34"/>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row>
    <row r="688" spans="1:110" ht="12.95" customHeight="1">
      <c r="B688" s="135"/>
      <c r="C688" s="135"/>
      <c r="D688" s="136" t="s">
        <v>436</v>
      </c>
      <c r="E688" s="135"/>
      <c r="F688" s="135"/>
      <c r="G688" s="135"/>
      <c r="H688" s="135"/>
      <c r="AZ688" s="34"/>
      <c r="BA688" s="34"/>
      <c r="BB688" s="34"/>
      <c r="BC688" s="34"/>
      <c r="BD688" s="34"/>
      <c r="BE688" s="34"/>
      <c r="BF688" s="34"/>
      <c r="BG688" s="313" t="s">
        <v>929</v>
      </c>
      <c r="BH688" s="318" t="s">
        <v>930</v>
      </c>
      <c r="BI688" s="317" t="s">
        <v>931</v>
      </c>
      <c r="BJ688" s="3"/>
      <c r="BK688" s="34"/>
      <c r="BL688" s="34"/>
      <c r="BM688" s="34"/>
      <c r="BN688" s="34"/>
      <c r="BO688" s="34"/>
      <c r="BP688" s="379" t="s">
        <v>67</v>
      </c>
      <c r="BQ688" s="499">
        <v>1540</v>
      </c>
      <c r="BR688" s="500">
        <v>1650</v>
      </c>
      <c r="BS688" s="499">
        <v>1980</v>
      </c>
      <c r="BT688" s="500">
        <v>2288</v>
      </c>
      <c r="BU688" s="500">
        <v>2552</v>
      </c>
      <c r="BV688" s="501">
        <v>2816</v>
      </c>
      <c r="BW688" s="34"/>
      <c r="BX688" s="1085">
        <v>1062</v>
      </c>
      <c r="BY688" s="1085">
        <v>1202</v>
      </c>
      <c r="BZ688" s="1085">
        <v>1509</v>
      </c>
      <c r="CA688" s="1085">
        <v>2065</v>
      </c>
      <c r="CB688" s="1085">
        <v>2542</v>
      </c>
      <c r="CC688" s="34"/>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row>
    <row r="689" spans="2:110" ht="12.95" customHeight="1">
      <c r="B689" s="135"/>
      <c r="C689" s="135"/>
      <c r="E689" s="136" t="s">
        <v>437</v>
      </c>
      <c r="F689" s="135"/>
      <c r="G689" s="135"/>
      <c r="H689" s="135"/>
      <c r="AE689" s="1353" t="s">
        <v>554</v>
      </c>
      <c r="AF689" s="1353"/>
      <c r="AZ689" s="34"/>
      <c r="BA689" s="34"/>
      <c r="BB689" s="34"/>
      <c r="BC689" s="34"/>
      <c r="BD689" s="34"/>
      <c r="BE689" s="34"/>
      <c r="BF689" s="34"/>
      <c r="BG689" s="315">
        <f t="shared" ref="BG689:BG713" si="46">G714</f>
        <v>3</v>
      </c>
      <c r="BH689" s="319">
        <f>BG689/$BG$714</f>
        <v>1.8072289156626505E-2</v>
      </c>
      <c r="BI689" s="320">
        <f t="shared" ref="BI689:BI713" si="47">IF(BH689=0," ",BH689*AH714)</f>
        <v>5.4216867469879517E-3</v>
      </c>
      <c r="BJ689" s="3"/>
      <c r="BK689" s="34"/>
      <c r="BL689" s="34"/>
      <c r="BM689" s="34"/>
      <c r="BN689" s="34"/>
      <c r="BO689" s="34"/>
      <c r="BP689" s="379" t="s">
        <v>68</v>
      </c>
      <c r="BQ689" s="499">
        <v>1774</v>
      </c>
      <c r="BR689" s="500">
        <v>1900</v>
      </c>
      <c r="BS689" s="499">
        <v>2280</v>
      </c>
      <c r="BT689" s="500">
        <v>2634</v>
      </c>
      <c r="BU689" s="500">
        <v>2940</v>
      </c>
      <c r="BV689" s="501">
        <v>3242</v>
      </c>
      <c r="BW689" s="34"/>
      <c r="BX689" s="1085">
        <v>1108</v>
      </c>
      <c r="BY689" s="1085">
        <v>1228</v>
      </c>
      <c r="BZ689" s="1085">
        <v>1543</v>
      </c>
      <c r="CA689" s="1085">
        <v>2192</v>
      </c>
      <c r="CB689" s="1085">
        <v>2625</v>
      </c>
      <c r="CC689" s="34"/>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row>
    <row r="690" spans="2:110" ht="12.95" customHeight="1">
      <c r="B690" s="135"/>
      <c r="C690" s="135"/>
      <c r="D690" s="136" t="s">
        <v>440</v>
      </c>
      <c r="E690" s="135"/>
      <c r="F690" s="135"/>
      <c r="G690" s="135"/>
      <c r="H690" s="135"/>
      <c r="AE690" s="1353" t="s">
        <v>554</v>
      </c>
      <c r="AF690" s="1353"/>
      <c r="AZ690" s="34"/>
      <c r="BA690" s="34"/>
      <c r="BB690" s="34"/>
      <c r="BC690" s="34"/>
      <c r="BD690" s="34"/>
      <c r="BE690" s="34"/>
      <c r="BF690" s="34"/>
      <c r="BG690" s="316">
        <f t="shared" si="46"/>
        <v>3</v>
      </c>
      <c r="BH690" s="319">
        <f t="shared" ref="BH690:BH713" si="48">BG690/$BG$714</f>
        <v>1.8072289156626505E-2</v>
      </c>
      <c r="BI690" s="320">
        <f t="shared" si="47"/>
        <v>5.4216867469879517E-3</v>
      </c>
      <c r="BJ690" s="3"/>
      <c r="BK690" s="34"/>
      <c r="BL690" s="34"/>
      <c r="BM690" s="34"/>
      <c r="BN690" s="34"/>
      <c r="BO690" s="34"/>
      <c r="BP690" s="379" t="s">
        <v>739</v>
      </c>
      <c r="BQ690" s="499">
        <v>1840</v>
      </c>
      <c r="BR690" s="500">
        <v>1970</v>
      </c>
      <c r="BS690" s="499">
        <v>2364</v>
      </c>
      <c r="BT690" s="500">
        <v>2732</v>
      </c>
      <c r="BU690" s="500">
        <v>3050</v>
      </c>
      <c r="BV690" s="501">
        <v>3364</v>
      </c>
      <c r="BW690" s="34"/>
      <c r="BX690" s="1085">
        <v>1096</v>
      </c>
      <c r="BY690" s="1085">
        <v>1253</v>
      </c>
      <c r="BZ690" s="1085">
        <v>1649</v>
      </c>
      <c r="CA690" s="1085">
        <v>2342</v>
      </c>
      <c r="CB690" s="1085">
        <v>2822</v>
      </c>
      <c r="CC690" s="34"/>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row>
    <row r="691" spans="2:110" ht="12.95" customHeight="1">
      <c r="B691" s="135"/>
      <c r="C691" s="135"/>
      <c r="D691" s="136" t="s">
        <v>959</v>
      </c>
      <c r="E691" s="135"/>
      <c r="F691" s="135"/>
      <c r="G691" s="135"/>
      <c r="H691" s="135"/>
      <c r="AE691" s="1635">
        <v>44964</v>
      </c>
      <c r="AF691" s="1635"/>
      <c r="AG691" s="1635"/>
      <c r="AH691" s="1635"/>
      <c r="AI691" s="1635"/>
      <c r="AZ691" s="34"/>
      <c r="BA691" s="34"/>
      <c r="BB691" s="34"/>
      <c r="BC691" s="34"/>
      <c r="BD691" s="34"/>
      <c r="BE691" s="3"/>
      <c r="BF691" s="3"/>
      <c r="BG691" s="316">
        <f t="shared" si="46"/>
        <v>17</v>
      </c>
      <c r="BH691" s="319">
        <f t="shared" si="48"/>
        <v>0.10240963855421686</v>
      </c>
      <c r="BI691" s="320">
        <f t="shared" si="47"/>
        <v>5.1204819277108432E-2</v>
      </c>
      <c r="BJ691" s="3"/>
      <c r="BK691" s="3"/>
      <c r="BL691" s="3"/>
      <c r="BM691" s="3"/>
      <c r="BN691" s="34"/>
      <c r="BO691" s="34"/>
      <c r="BP691" s="379" t="s">
        <v>740</v>
      </c>
      <c r="BQ691" s="499">
        <v>1540</v>
      </c>
      <c r="BR691" s="500">
        <v>1650</v>
      </c>
      <c r="BS691" s="499">
        <v>1980</v>
      </c>
      <c r="BT691" s="500">
        <v>2288</v>
      </c>
      <c r="BU691" s="500">
        <v>2552</v>
      </c>
      <c r="BV691" s="501">
        <v>2816</v>
      </c>
      <c r="BW691" s="34"/>
      <c r="BX691" s="1085">
        <v>1062</v>
      </c>
      <c r="BY691" s="1085">
        <v>1202</v>
      </c>
      <c r="BZ691" s="1085">
        <v>1509</v>
      </c>
      <c r="CA691" s="1085">
        <v>2065</v>
      </c>
      <c r="CB691" s="1085">
        <v>2542</v>
      </c>
      <c r="CC691" s="34"/>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row>
    <row r="692" spans="2:110" ht="12.95" customHeight="1">
      <c r="B692" s="135"/>
      <c r="C692" s="135"/>
      <c r="D692" s="344" t="s">
        <v>1023</v>
      </c>
      <c r="E692" s="135"/>
      <c r="F692" s="135"/>
      <c r="G692" s="135"/>
      <c r="H692" s="135"/>
      <c r="AE692" s="1637">
        <v>45056</v>
      </c>
      <c r="AF692" s="1637"/>
      <c r="AG692" s="1637"/>
      <c r="AH692" s="1637"/>
      <c r="AI692" s="1637"/>
      <c r="AZ692" s="34"/>
      <c r="BA692" s="34"/>
      <c r="BB692" s="34"/>
      <c r="BC692" s="34"/>
      <c r="BD692" s="34"/>
      <c r="BE692" s="3"/>
      <c r="BF692" s="2"/>
      <c r="BG692" s="316">
        <f t="shared" si="46"/>
        <v>34</v>
      </c>
      <c r="BH692" s="319">
        <f t="shared" si="48"/>
        <v>0.20481927710843373</v>
      </c>
      <c r="BI692" s="320">
        <f t="shared" si="47"/>
        <v>0.1433734939759036</v>
      </c>
      <c r="BJ692" s="3"/>
      <c r="BK692" s="3"/>
      <c r="BL692" s="3"/>
      <c r="BM692" s="3"/>
      <c r="BN692" s="34"/>
      <c r="BO692" s="34"/>
      <c r="BP692" s="379" t="s">
        <v>741</v>
      </c>
      <c r="BQ692" s="499">
        <v>2276</v>
      </c>
      <c r="BR692" s="500">
        <v>2440</v>
      </c>
      <c r="BS692" s="499">
        <v>2926</v>
      </c>
      <c r="BT692" s="500">
        <v>3382</v>
      </c>
      <c r="BU692" s="500">
        <v>3774</v>
      </c>
      <c r="BV692" s="501">
        <v>4164</v>
      </c>
      <c r="BW692" s="34"/>
      <c r="BX692" s="1085">
        <v>1394</v>
      </c>
      <c r="BY692" s="1085">
        <v>1542</v>
      </c>
      <c r="BZ692" s="1085">
        <v>1979</v>
      </c>
      <c r="CA692" s="1085">
        <v>2748</v>
      </c>
      <c r="CB692" s="1085">
        <v>3365</v>
      </c>
      <c r="CC692" s="34"/>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row>
    <row r="693" spans="2:110" ht="12.95" customHeight="1">
      <c r="B693" s="135"/>
      <c r="C693" s="135"/>
      <c r="AZ693" s="34"/>
      <c r="BA693" s="34"/>
      <c r="BB693" s="34"/>
      <c r="BC693" s="34"/>
      <c r="BD693" s="34"/>
      <c r="BE693" s="3"/>
      <c r="BF693" s="3"/>
      <c r="BG693" s="316">
        <f t="shared" si="46"/>
        <v>2</v>
      </c>
      <c r="BH693" s="319">
        <f t="shared" si="48"/>
        <v>1.2048192771084338E-2</v>
      </c>
      <c r="BI693" s="320">
        <f t="shared" si="47"/>
        <v>3.6144578313253013E-3</v>
      </c>
      <c r="BJ693" s="3"/>
      <c r="BK693" s="3"/>
      <c r="BL693" s="3"/>
      <c r="BM693" s="3"/>
      <c r="BN693" s="34"/>
      <c r="BO693" s="34"/>
      <c r="BP693" s="379" t="s">
        <v>742</v>
      </c>
      <c r="BQ693" s="499">
        <v>3262</v>
      </c>
      <c r="BR693" s="500">
        <v>3496</v>
      </c>
      <c r="BS693" s="499">
        <v>4194</v>
      </c>
      <c r="BT693" s="500">
        <v>4846</v>
      </c>
      <c r="BU693" s="500">
        <v>5406</v>
      </c>
      <c r="BV693" s="501">
        <v>5966</v>
      </c>
      <c r="BW693" s="34"/>
      <c r="BX693" s="1085">
        <v>2115</v>
      </c>
      <c r="BY693" s="1085">
        <v>2631</v>
      </c>
      <c r="BZ693" s="1085">
        <v>3198</v>
      </c>
      <c r="CA693" s="1085">
        <v>4111</v>
      </c>
      <c r="CB693" s="1085">
        <v>4473</v>
      </c>
      <c r="CC693" s="34"/>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2:110" ht="12.95" customHeight="1">
      <c r="B694" s="135"/>
      <c r="C694" s="135"/>
      <c r="D694" s="136" t="s">
        <v>842</v>
      </c>
      <c r="E694" s="135"/>
      <c r="F694" s="135"/>
      <c r="G694" s="135"/>
      <c r="H694" s="135"/>
      <c r="AE694" s="1635">
        <v>45231</v>
      </c>
      <c r="AF694" s="1635"/>
      <c r="AG694" s="1635"/>
      <c r="AH694" s="1635"/>
      <c r="AI694" s="1635"/>
      <c r="AZ694" s="3"/>
      <c r="BA694" s="3"/>
      <c r="BB694" s="3"/>
      <c r="BC694" s="3"/>
      <c r="BD694" s="3"/>
      <c r="BE694" s="3"/>
      <c r="BF694" s="3"/>
      <c r="BG694" s="316">
        <f t="shared" si="46"/>
        <v>2</v>
      </c>
      <c r="BH694" s="319">
        <f t="shared" si="48"/>
        <v>1.2048192771084338E-2</v>
      </c>
      <c r="BI694" s="320">
        <f t="shared" si="47"/>
        <v>3.6144578313253013E-3</v>
      </c>
      <c r="BJ694" s="3"/>
      <c r="BK694" s="3"/>
      <c r="BL694" s="3"/>
      <c r="BM694" s="3"/>
      <c r="BN694" s="3"/>
      <c r="BO694" s="3"/>
      <c r="BP694" s="379" t="s">
        <v>743</v>
      </c>
      <c r="BQ694" s="499">
        <v>1450</v>
      </c>
      <c r="BR694" s="500">
        <v>1552</v>
      </c>
      <c r="BS694" s="499">
        <v>1864</v>
      </c>
      <c r="BT694" s="500">
        <v>2152</v>
      </c>
      <c r="BU694" s="500">
        <v>2402</v>
      </c>
      <c r="BV694" s="501">
        <v>2650</v>
      </c>
      <c r="BW694" s="3"/>
      <c r="BX694" s="897">
        <v>891</v>
      </c>
      <c r="BY694" s="897">
        <v>992</v>
      </c>
      <c r="BZ694" s="897">
        <v>1305</v>
      </c>
      <c r="CA694" s="897">
        <v>1854</v>
      </c>
      <c r="CB694" s="897">
        <v>2234</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2:110" ht="12.95" customHeight="1">
      <c r="B695" s="135"/>
      <c r="C695" s="135"/>
      <c r="D695" s="136" t="s">
        <v>438</v>
      </c>
      <c r="E695" s="135"/>
      <c r="F695" s="135"/>
      <c r="G695" s="135"/>
      <c r="H695" s="135"/>
      <c r="AE695" s="1663">
        <v>0.54049999999999998</v>
      </c>
      <c r="AF695" s="1663"/>
      <c r="AG695" s="1663"/>
      <c r="AH695" s="1663"/>
      <c r="AI695" s="1663"/>
      <c r="AZ695" s="3"/>
      <c r="BA695" s="3"/>
      <c r="BB695" s="3"/>
      <c r="BC695" s="3"/>
      <c r="BD695" s="3"/>
      <c r="BE695" s="3"/>
      <c r="BF695" s="3"/>
      <c r="BG695" s="316">
        <f t="shared" si="46"/>
        <v>11</v>
      </c>
      <c r="BH695" s="319">
        <f t="shared" si="48"/>
        <v>6.6265060240963861E-2</v>
      </c>
      <c r="BI695" s="320">
        <f t="shared" si="47"/>
        <v>3.313253012048193E-2</v>
      </c>
      <c r="BJ695" s="3"/>
      <c r="BK695" s="3"/>
      <c r="BL695" s="3"/>
      <c r="BM695" s="3"/>
      <c r="BN695" s="3"/>
      <c r="BO695" s="3"/>
      <c r="BP695" s="379" t="s">
        <v>69</v>
      </c>
      <c r="BQ695" s="499">
        <v>1914</v>
      </c>
      <c r="BR695" s="500">
        <v>2052</v>
      </c>
      <c r="BS695" s="499">
        <v>2462</v>
      </c>
      <c r="BT695" s="500">
        <v>2844</v>
      </c>
      <c r="BU695" s="500">
        <v>3174</v>
      </c>
      <c r="BV695" s="501">
        <v>3502</v>
      </c>
      <c r="BW695" s="3"/>
      <c r="BX695" s="897">
        <v>1308</v>
      </c>
      <c r="BY695" s="897">
        <v>1436</v>
      </c>
      <c r="BZ695" s="897">
        <v>1890</v>
      </c>
      <c r="CA695" s="897">
        <v>2685</v>
      </c>
      <c r="CB695" s="897">
        <v>3047</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2:110" ht="12.95" customHeight="1">
      <c r="B696" s="135"/>
      <c r="C696" s="135"/>
      <c r="D696" s="136" t="s">
        <v>439</v>
      </c>
      <c r="E696" s="135"/>
      <c r="F696" s="135"/>
      <c r="G696" s="135"/>
      <c r="H696" s="135"/>
      <c r="W696" s="1351" t="str">
        <f>H334</f>
        <v>California Municipal Finance Authority</v>
      </c>
      <c r="X696" s="1351"/>
      <c r="Y696" s="1351"/>
      <c r="Z696" s="1351"/>
      <c r="AA696" s="1351"/>
      <c r="AB696" s="1351"/>
      <c r="AC696" s="1351"/>
      <c r="AD696" s="1351"/>
      <c r="AE696" s="1351"/>
      <c r="AF696" s="1351"/>
      <c r="AG696" s="1351"/>
      <c r="AH696" s="1351"/>
      <c r="AI696" s="1351"/>
      <c r="AJ696" s="1351"/>
      <c r="AK696" s="1351"/>
      <c r="AZ696" s="3"/>
      <c r="BA696" s="3"/>
      <c r="BB696" s="3"/>
      <c r="BC696" s="3"/>
      <c r="BD696" s="3"/>
      <c r="BE696" s="3"/>
      <c r="BF696" s="3"/>
      <c r="BG696" s="316">
        <f t="shared" si="46"/>
        <v>23</v>
      </c>
      <c r="BH696" s="319">
        <f t="shared" si="48"/>
        <v>0.13855421686746988</v>
      </c>
      <c r="BI696" s="320">
        <f t="shared" si="47"/>
        <v>9.5833333333333326E-2</v>
      </c>
      <c r="BJ696" s="3"/>
      <c r="BK696" s="3"/>
      <c r="BL696" s="3"/>
      <c r="BM696" s="3"/>
      <c r="BN696" s="3"/>
      <c r="BO696" s="3"/>
      <c r="BP696" s="379" t="s">
        <v>70</v>
      </c>
      <c r="BQ696" s="499">
        <v>3262</v>
      </c>
      <c r="BR696" s="500">
        <v>3496</v>
      </c>
      <c r="BS696" s="499">
        <v>4194</v>
      </c>
      <c r="BT696" s="500">
        <v>4846</v>
      </c>
      <c r="BU696" s="500">
        <v>5406</v>
      </c>
      <c r="BV696" s="501">
        <v>5966</v>
      </c>
      <c r="BW696" s="3"/>
      <c r="BX696" s="897">
        <v>2115</v>
      </c>
      <c r="BY696" s="897">
        <v>2631</v>
      </c>
      <c r="BZ696" s="897">
        <v>3198</v>
      </c>
      <c r="CA696" s="897">
        <v>4111</v>
      </c>
      <c r="CB696" s="897">
        <v>4473</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2:110" ht="12.95" customHeight="1">
      <c r="B697" s="135"/>
      <c r="C697" s="135"/>
      <c r="D697" s="136"/>
      <c r="E697" s="135"/>
      <c r="F697" s="135"/>
      <c r="G697" s="135"/>
      <c r="H697" s="135"/>
      <c r="AZ697" s="3"/>
      <c r="BA697" s="3"/>
      <c r="BB697" s="3"/>
      <c r="BC697" s="3"/>
      <c r="BD697" s="3"/>
      <c r="BE697" s="3"/>
      <c r="BF697" s="3"/>
      <c r="BG697" s="316">
        <f t="shared" si="46"/>
        <v>2</v>
      </c>
      <c r="BH697" s="319">
        <f t="shared" si="48"/>
        <v>1.2048192771084338E-2</v>
      </c>
      <c r="BI697" s="320">
        <f t="shared" si="47"/>
        <v>3.6144578313253013E-3</v>
      </c>
      <c r="BJ697" s="3"/>
      <c r="BK697" s="3"/>
      <c r="BL697" s="3"/>
      <c r="BM697" s="3"/>
      <c r="BN697" s="3"/>
      <c r="BO697" s="3"/>
      <c r="BP697" s="379" t="s">
        <v>192</v>
      </c>
      <c r="BQ697" s="499">
        <v>2444</v>
      </c>
      <c r="BR697" s="500">
        <v>2620</v>
      </c>
      <c r="BS697" s="499">
        <v>3144</v>
      </c>
      <c r="BT697" s="500">
        <v>3632</v>
      </c>
      <c r="BU697" s="500">
        <v>4052</v>
      </c>
      <c r="BV697" s="501">
        <v>4472</v>
      </c>
      <c r="BW697" s="3"/>
      <c r="BX697" s="897">
        <v>1847</v>
      </c>
      <c r="BY697" s="897">
        <v>2124</v>
      </c>
      <c r="BZ697" s="897">
        <v>2478</v>
      </c>
      <c r="CA697" s="897">
        <v>3266</v>
      </c>
      <c r="CB697" s="897">
        <v>3733</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2:110" ht="12.95" customHeight="1">
      <c r="B698" s="135"/>
      <c r="C698" s="135"/>
      <c r="D698" s="136" t="s">
        <v>441</v>
      </c>
      <c r="E698" s="135"/>
      <c r="F698" s="135"/>
      <c r="G698" s="135"/>
      <c r="H698" s="135"/>
      <c r="AE698" s="1353" t="s">
        <v>678</v>
      </c>
      <c r="AF698" s="1353"/>
      <c r="AZ698" s="3"/>
      <c r="BA698" s="3"/>
      <c r="BB698" s="3"/>
      <c r="BC698" s="3"/>
      <c r="BD698" s="3"/>
      <c r="BE698" s="3"/>
      <c r="BF698" s="3"/>
      <c r="BG698" s="316">
        <f t="shared" si="46"/>
        <v>1</v>
      </c>
      <c r="BH698" s="319">
        <f t="shared" si="48"/>
        <v>6.024096385542169E-3</v>
      </c>
      <c r="BI698" s="320">
        <f t="shared" si="47"/>
        <v>1.8072289156626507E-3</v>
      </c>
      <c r="BJ698" s="3"/>
      <c r="BK698" s="3"/>
      <c r="BL698" s="3"/>
      <c r="BM698" s="3"/>
      <c r="BN698" s="3"/>
      <c r="BO698" s="3"/>
      <c r="BP698" s="379" t="s">
        <v>193</v>
      </c>
      <c r="BQ698" s="499">
        <v>2950</v>
      </c>
      <c r="BR698" s="500">
        <v>3160</v>
      </c>
      <c r="BS698" s="499">
        <v>3792</v>
      </c>
      <c r="BT698" s="500">
        <v>4380</v>
      </c>
      <c r="BU698" s="500">
        <v>4886</v>
      </c>
      <c r="BV698" s="501">
        <v>5392</v>
      </c>
      <c r="BW698" s="3"/>
      <c r="BX698" s="897">
        <v>2145</v>
      </c>
      <c r="BY698" s="897">
        <v>2418</v>
      </c>
      <c r="BZ698" s="897">
        <v>2868</v>
      </c>
      <c r="CA698" s="897">
        <v>3687</v>
      </c>
      <c r="CB698" s="897">
        <v>4213</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2:110" ht="12.95" customHeight="1">
      <c r="B699" s="135"/>
      <c r="C699" s="135"/>
      <c r="D699" s="136" t="s">
        <v>445</v>
      </c>
      <c r="E699" s="135"/>
      <c r="F699" s="135"/>
      <c r="G699" s="135"/>
      <c r="H699" s="135"/>
      <c r="W699" s="1352"/>
      <c r="X699" s="1352"/>
      <c r="Y699" s="1352"/>
      <c r="Z699" s="1352"/>
      <c r="AA699" s="1352"/>
      <c r="AB699" s="1352"/>
      <c r="AC699" s="1352"/>
      <c r="AD699" s="1352"/>
      <c r="AE699" s="1352"/>
      <c r="AF699" s="1352"/>
      <c r="AG699" s="1352"/>
      <c r="AH699" s="1352"/>
      <c r="AI699" s="1352"/>
      <c r="AJ699" s="1352"/>
      <c r="AK699" s="1352"/>
      <c r="AZ699" s="3"/>
      <c r="BA699" s="3"/>
      <c r="BB699" s="3"/>
      <c r="BC699" s="3"/>
      <c r="BD699" s="3"/>
      <c r="BE699" s="3"/>
      <c r="BF699" s="3"/>
      <c r="BG699" s="316">
        <f t="shared" si="46"/>
        <v>9</v>
      </c>
      <c r="BH699" s="319">
        <f t="shared" si="48"/>
        <v>5.4216867469879519E-2</v>
      </c>
      <c r="BI699" s="320">
        <f t="shared" si="47"/>
        <v>2.710843373493976E-2</v>
      </c>
      <c r="BJ699" s="3"/>
      <c r="BK699" s="3"/>
      <c r="BL699" s="3"/>
      <c r="BM699" s="3"/>
      <c r="BN699" s="3"/>
      <c r="BO699" s="3"/>
      <c r="BP699" s="379" t="s">
        <v>194</v>
      </c>
      <c r="BQ699" s="499">
        <v>2722</v>
      </c>
      <c r="BR699" s="500">
        <v>2916</v>
      </c>
      <c r="BS699" s="499">
        <v>3500</v>
      </c>
      <c r="BT699" s="500">
        <v>4042</v>
      </c>
      <c r="BU699" s="500">
        <v>4510</v>
      </c>
      <c r="BV699" s="501">
        <v>4976</v>
      </c>
      <c r="BW699" s="3"/>
      <c r="BX699" s="897">
        <v>2085</v>
      </c>
      <c r="BY699" s="897">
        <v>2385</v>
      </c>
      <c r="BZ699" s="897">
        <v>3138</v>
      </c>
      <c r="CA699" s="897">
        <v>4000</v>
      </c>
      <c r="CB699" s="897">
        <v>4458</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2:110" ht="12.95" customHeight="1">
      <c r="B700" s="135"/>
      <c r="C700" s="135"/>
      <c r="D700" s="136" t="s">
        <v>88</v>
      </c>
      <c r="E700" s="135"/>
      <c r="F700" s="135"/>
      <c r="G700" s="135"/>
      <c r="H700" s="135"/>
      <c r="J700" s="1352"/>
      <c r="K700" s="1352"/>
      <c r="L700" s="1352"/>
      <c r="M700" s="1352"/>
      <c r="N700" s="1352"/>
      <c r="O700" s="1352"/>
      <c r="P700" s="1352"/>
      <c r="Q700" s="1352"/>
      <c r="R700" s="1352"/>
      <c r="S700" s="1352"/>
      <c r="T700" s="1352"/>
      <c r="U700" s="1352"/>
      <c r="V700" s="1352"/>
      <c r="W700" s="1352"/>
      <c r="X700" s="1352"/>
      <c r="AZ700" s="3"/>
      <c r="BA700" s="3"/>
      <c r="BB700" s="3"/>
      <c r="BC700" s="3"/>
      <c r="BD700" s="3"/>
      <c r="BE700" s="3"/>
      <c r="BF700" s="3"/>
      <c r="BG700" s="316">
        <f t="shared" si="46"/>
        <v>17</v>
      </c>
      <c r="BH700" s="319">
        <f t="shared" si="48"/>
        <v>0.10240963855421686</v>
      </c>
      <c r="BI700" s="320">
        <f t="shared" si="47"/>
        <v>7.1686746987951799E-2</v>
      </c>
      <c r="BJ700" s="3"/>
      <c r="BK700" s="3"/>
      <c r="BL700" s="3"/>
      <c r="BM700" s="3"/>
      <c r="BN700" s="3"/>
      <c r="BO700" s="3"/>
      <c r="BP700" s="379" t="s">
        <v>195</v>
      </c>
      <c r="BQ700" s="499">
        <v>1390</v>
      </c>
      <c r="BR700" s="500">
        <v>1490</v>
      </c>
      <c r="BS700" s="499">
        <v>1786</v>
      </c>
      <c r="BT700" s="500">
        <v>2064</v>
      </c>
      <c r="BU700" s="500">
        <v>2304</v>
      </c>
      <c r="BV700" s="501">
        <v>2542</v>
      </c>
      <c r="BW700" s="3"/>
      <c r="BX700" s="897">
        <v>834</v>
      </c>
      <c r="BY700" s="897">
        <v>954</v>
      </c>
      <c r="BZ700" s="897">
        <v>1255</v>
      </c>
      <c r="CA700" s="897">
        <v>1783</v>
      </c>
      <c r="CB700" s="897">
        <v>2148</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2:110" ht="12.95" customHeight="1">
      <c r="B701" s="135"/>
      <c r="C701" s="135"/>
      <c r="D701" s="136" t="s">
        <v>89</v>
      </c>
      <c r="J701" s="1354"/>
      <c r="K701" s="1354"/>
      <c r="L701" s="1354"/>
      <c r="M701" s="1354"/>
      <c r="N701" s="1354"/>
      <c r="O701" s="1354"/>
      <c r="P701" s="4" t="s">
        <v>207</v>
      </c>
      <c r="Q701" s="4"/>
      <c r="R701" s="1350"/>
      <c r="S701" s="1350"/>
      <c r="T701" s="1350"/>
      <c r="AZ701" s="3"/>
      <c r="BA701" s="3"/>
      <c r="BB701" s="3"/>
      <c r="BC701" s="3"/>
      <c r="BD701" s="3"/>
      <c r="BE701" s="3"/>
      <c r="BF701" s="3"/>
      <c r="BG701" s="316">
        <f t="shared" si="46"/>
        <v>2</v>
      </c>
      <c r="BH701" s="319">
        <f t="shared" si="48"/>
        <v>1.2048192771084338E-2</v>
      </c>
      <c r="BI701" s="320">
        <f t="shared" si="47"/>
        <v>3.6135430103100331E-3</v>
      </c>
      <c r="BJ701" s="3"/>
      <c r="BK701" s="3"/>
      <c r="BL701" s="3"/>
      <c r="BM701" s="3"/>
      <c r="BN701" s="3"/>
      <c r="BO701" s="3"/>
      <c r="BP701" s="379" t="s">
        <v>196</v>
      </c>
      <c r="BQ701" s="499">
        <v>1574</v>
      </c>
      <c r="BR701" s="500">
        <v>1686</v>
      </c>
      <c r="BS701" s="499">
        <v>2024</v>
      </c>
      <c r="BT701" s="500">
        <v>2340</v>
      </c>
      <c r="BU701" s="500">
        <v>2610</v>
      </c>
      <c r="BV701" s="501">
        <v>2880</v>
      </c>
      <c r="BW701" s="3"/>
      <c r="BX701" s="897">
        <v>754</v>
      </c>
      <c r="BY701" s="897">
        <v>855</v>
      </c>
      <c r="BZ701" s="897">
        <v>1114</v>
      </c>
      <c r="CA701" s="897">
        <v>1593</v>
      </c>
      <c r="CB701" s="897">
        <v>1767</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2:110" ht="12.95" customHeight="1">
      <c r="B702" s="135"/>
      <c r="C702" s="135"/>
      <c r="D702" s="136" t="s">
        <v>446</v>
      </c>
      <c r="W702" s="1352" t="s">
        <v>308</v>
      </c>
      <c r="X702" s="1352"/>
      <c r="Y702" s="1352"/>
      <c r="Z702" s="1352"/>
      <c r="AA702" s="1352"/>
      <c r="AB702" s="1352"/>
      <c r="AC702" s="1352"/>
      <c r="AD702" s="1352"/>
      <c r="AE702" s="1352"/>
      <c r="AF702" s="1352"/>
      <c r="AG702" s="1352"/>
      <c r="AH702" s="1352"/>
      <c r="AI702" s="1352"/>
      <c r="AJ702" s="1352"/>
      <c r="AK702" s="1352"/>
      <c r="AZ702" s="3"/>
      <c r="BA702" s="3"/>
      <c r="BB702" s="3"/>
      <c r="BC702" s="3"/>
      <c r="BD702" s="3"/>
      <c r="BE702" s="3"/>
      <c r="BF702" s="3"/>
      <c r="BG702" s="316">
        <f t="shared" si="46"/>
        <v>2</v>
      </c>
      <c r="BH702" s="319">
        <f t="shared" si="48"/>
        <v>1.2048192771084338E-2</v>
      </c>
      <c r="BI702" s="320">
        <f t="shared" si="47"/>
        <v>3.6135430103100331E-3</v>
      </c>
      <c r="BJ702" s="3"/>
      <c r="BK702" s="3"/>
      <c r="BL702" s="3"/>
      <c r="BM702" s="3"/>
      <c r="BN702" s="3"/>
      <c r="BO702" s="3"/>
      <c r="BP702" s="379" t="s">
        <v>197</v>
      </c>
      <c r="BQ702" s="499">
        <v>1364</v>
      </c>
      <c r="BR702" s="500">
        <v>1462</v>
      </c>
      <c r="BS702" s="499">
        <v>1754</v>
      </c>
      <c r="BT702" s="500">
        <v>2026</v>
      </c>
      <c r="BU702" s="500">
        <v>2260</v>
      </c>
      <c r="BV702" s="501">
        <v>2492</v>
      </c>
      <c r="BW702" s="3"/>
      <c r="BX702" s="897">
        <v>682</v>
      </c>
      <c r="BY702" s="897">
        <v>701</v>
      </c>
      <c r="BZ702" s="897">
        <v>922</v>
      </c>
      <c r="CA702" s="897">
        <v>1310</v>
      </c>
      <c r="CB702" s="897">
        <v>1358</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2:110" ht="12.95" customHeight="1">
      <c r="B703" s="135"/>
      <c r="C703" s="135"/>
      <c r="D703" s="136"/>
      <c r="E703" s="1352" t="s">
        <v>335</v>
      </c>
      <c r="F703" s="1352"/>
      <c r="G703" s="1352"/>
      <c r="H703" s="1352"/>
      <c r="I703" s="1352"/>
      <c r="J703" s="1352"/>
      <c r="K703" s="1352"/>
      <c r="L703" s="1352"/>
      <c r="M703" s="1352"/>
      <c r="N703" s="1352"/>
      <c r="O703" s="1352"/>
      <c r="P703" s="1352"/>
      <c r="Q703" s="1352"/>
      <c r="R703" s="1352"/>
      <c r="S703" s="1352"/>
      <c r="T703" s="1352"/>
      <c r="U703" s="1352"/>
      <c r="V703" s="1352"/>
      <c r="W703" s="1352"/>
      <c r="X703" s="1352"/>
      <c r="Y703" s="1352"/>
      <c r="Z703" s="1352"/>
      <c r="AA703" s="1352"/>
      <c r="AB703" s="1352"/>
      <c r="AC703" s="1352"/>
      <c r="AD703" s="1352"/>
      <c r="AE703" s="1352"/>
      <c r="AF703" s="1352"/>
      <c r="AG703" s="1352"/>
      <c r="AH703" s="1352"/>
      <c r="AI703" s="1352"/>
      <c r="AJ703" s="1352"/>
      <c r="AK703" s="1352"/>
      <c r="AZ703" s="3"/>
      <c r="BA703" s="3"/>
      <c r="BB703" s="3"/>
      <c r="BC703" s="3"/>
      <c r="BD703" s="3"/>
      <c r="BE703" s="3"/>
      <c r="BF703" s="3"/>
      <c r="BG703" s="316">
        <f t="shared" si="46"/>
        <v>13</v>
      </c>
      <c r="BH703" s="319">
        <f t="shared" si="48"/>
        <v>7.8313253012048195E-2</v>
      </c>
      <c r="BI703" s="320">
        <f t="shared" si="47"/>
        <v>3.9156626506024098E-2</v>
      </c>
      <c r="BJ703" s="3"/>
      <c r="BK703" s="3"/>
      <c r="BL703" s="3"/>
      <c r="BM703" s="3"/>
      <c r="BN703" s="3"/>
      <c r="BO703" s="3"/>
      <c r="BP703" s="379" t="s">
        <v>198</v>
      </c>
      <c r="BQ703" s="499">
        <v>1902</v>
      </c>
      <c r="BR703" s="500">
        <v>2036</v>
      </c>
      <c r="BS703" s="499">
        <v>2444</v>
      </c>
      <c r="BT703" s="500">
        <v>2822</v>
      </c>
      <c r="BU703" s="500">
        <v>3150</v>
      </c>
      <c r="BV703" s="501">
        <v>3476</v>
      </c>
      <c r="BW703" s="3"/>
      <c r="BX703" s="897">
        <v>1232</v>
      </c>
      <c r="BY703" s="897">
        <v>1408</v>
      </c>
      <c r="BZ703" s="897">
        <v>1677</v>
      </c>
      <c r="CA703" s="897">
        <v>2382</v>
      </c>
      <c r="CB703" s="897">
        <v>2870</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2:110" ht="12.95" customHeight="1">
      <c r="AZ704" s="3"/>
      <c r="BA704" s="3"/>
      <c r="BB704" s="3"/>
      <c r="BC704" s="3"/>
      <c r="BD704" s="3"/>
      <c r="BE704" s="3"/>
      <c r="BF704" s="3"/>
      <c r="BG704" s="316">
        <f t="shared" si="46"/>
        <v>25</v>
      </c>
      <c r="BH704" s="319">
        <f t="shared" si="48"/>
        <v>0.15060240963855423</v>
      </c>
      <c r="BI704" s="320">
        <f t="shared" si="47"/>
        <v>0.10543312200967882</v>
      </c>
      <c r="BJ704" s="3"/>
      <c r="BK704" s="3"/>
      <c r="BL704" s="3"/>
      <c r="BM704" s="3"/>
      <c r="BN704" s="3"/>
      <c r="BO704" s="3"/>
      <c r="BP704" s="379" t="s">
        <v>174</v>
      </c>
      <c r="BQ704" s="499">
        <v>2080</v>
      </c>
      <c r="BR704" s="500">
        <v>2228</v>
      </c>
      <c r="BS704" s="499">
        <v>2674</v>
      </c>
      <c r="BT704" s="500">
        <v>3090</v>
      </c>
      <c r="BU704" s="500">
        <v>3446</v>
      </c>
      <c r="BV704" s="501">
        <v>3802</v>
      </c>
      <c r="BW704" s="3"/>
      <c r="BX704" s="897">
        <v>1373</v>
      </c>
      <c r="BY704" s="897">
        <v>1549</v>
      </c>
      <c r="BZ704" s="897">
        <v>2038</v>
      </c>
      <c r="CA704" s="897">
        <v>2851</v>
      </c>
      <c r="CB704" s="897">
        <v>3163</v>
      </c>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A705" s="1260" t="s">
        <v>96</v>
      </c>
      <c r="B705" s="1260"/>
      <c r="C705" s="1260"/>
      <c r="D705" s="1260"/>
      <c r="E705" s="1260"/>
      <c r="F705" s="1260"/>
      <c r="G705" s="1260"/>
      <c r="H705" s="1260"/>
      <c r="I705" s="1260"/>
      <c r="J705" s="1260"/>
      <c r="K705" s="1260"/>
      <c r="L705" s="1260"/>
      <c r="M705" s="1260"/>
      <c r="N705" s="1260"/>
      <c r="O705" s="1260"/>
      <c r="P705" s="1260"/>
      <c r="Q705" s="1260"/>
      <c r="R705" s="1260"/>
      <c r="S705" s="1260"/>
      <c r="T705" s="1260"/>
      <c r="U705" s="1260"/>
      <c r="V705" s="1260"/>
      <c r="W705" s="1260"/>
      <c r="X705" s="1260"/>
      <c r="Y705" s="1260"/>
      <c r="Z705" s="1260"/>
      <c r="AA705" s="1260"/>
      <c r="AB705" s="1260"/>
      <c r="AC705" s="1260"/>
      <c r="AD705" s="1260"/>
      <c r="AE705" s="1260"/>
      <c r="AF705" s="1260"/>
      <c r="AG705" s="1260"/>
      <c r="AH705" s="1260"/>
      <c r="AI705" s="1260"/>
      <c r="AJ705" s="1260"/>
      <c r="AK705" s="1260"/>
      <c r="AL705" s="1260"/>
      <c r="AM705" s="1260"/>
      <c r="AN705" s="1260"/>
      <c r="AO705" s="1260"/>
      <c r="AP705" s="936"/>
      <c r="AQ705" s="936"/>
      <c r="AR705" s="936"/>
      <c r="AS705" s="936"/>
      <c r="AZ705" s="3"/>
      <c r="BA705" s="3"/>
      <c r="BB705" s="3"/>
      <c r="BC705" s="3"/>
      <c r="BD705" s="3"/>
      <c r="BE705" s="3"/>
      <c r="BF705" s="3"/>
      <c r="BG705" s="316">
        <f t="shared" si="46"/>
        <v>0</v>
      </c>
      <c r="BH705" s="319">
        <f t="shared" si="48"/>
        <v>0</v>
      </c>
      <c r="BI705" s="320" t="str">
        <f t="shared" si="47"/>
        <v xml:space="preserve"> </v>
      </c>
      <c r="BJ705" s="3"/>
      <c r="BK705" s="3"/>
      <c r="BL705" s="3"/>
      <c r="BM705" s="3"/>
      <c r="BN705" s="3"/>
      <c r="BO705" s="3"/>
      <c r="BP705" s="379" t="s">
        <v>199</v>
      </c>
      <c r="BQ705" s="499">
        <v>1394</v>
      </c>
      <c r="BR705" s="500">
        <v>1494</v>
      </c>
      <c r="BS705" s="499">
        <v>1794</v>
      </c>
      <c r="BT705" s="500">
        <v>2072</v>
      </c>
      <c r="BU705" s="500">
        <v>2312</v>
      </c>
      <c r="BV705" s="501">
        <v>2552</v>
      </c>
      <c r="BW705" s="3"/>
      <c r="BX705" s="897">
        <v>936</v>
      </c>
      <c r="BY705" s="897">
        <v>1001</v>
      </c>
      <c r="BZ705" s="897">
        <v>1250</v>
      </c>
      <c r="CA705" s="897">
        <v>1761</v>
      </c>
      <c r="CB705" s="897">
        <v>2063</v>
      </c>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A706" s="1260"/>
      <c r="B706" s="1260"/>
      <c r="C706" s="1260"/>
      <c r="D706" s="1260"/>
      <c r="E706" s="1260"/>
      <c r="F706" s="1260"/>
      <c r="G706" s="1260"/>
      <c r="H706" s="1260"/>
      <c r="I706" s="1260"/>
      <c r="J706" s="1260"/>
      <c r="K706" s="1260"/>
      <c r="L706" s="1260"/>
      <c r="M706" s="1260"/>
      <c r="N706" s="1260"/>
      <c r="O706" s="1260"/>
      <c r="P706" s="1260"/>
      <c r="Q706" s="1260"/>
      <c r="R706" s="1260"/>
      <c r="S706" s="1260"/>
      <c r="T706" s="1260"/>
      <c r="U706" s="1260"/>
      <c r="V706" s="1260"/>
      <c r="W706" s="1260"/>
      <c r="X706" s="1260"/>
      <c r="Y706" s="1260"/>
      <c r="Z706" s="1260"/>
      <c r="AA706" s="1260"/>
      <c r="AB706" s="1260"/>
      <c r="AC706" s="1260"/>
      <c r="AD706" s="1260"/>
      <c r="AE706" s="1260"/>
      <c r="AF706" s="1260"/>
      <c r="AG706" s="1260"/>
      <c r="AH706" s="1260"/>
      <c r="AI706" s="1260"/>
      <c r="AJ706" s="1260"/>
      <c r="AK706" s="1260"/>
      <c r="AL706" s="1260"/>
      <c r="AM706" s="1260"/>
      <c r="AN706" s="1260"/>
      <c r="AO706" s="1260"/>
      <c r="AP706" s="936"/>
      <c r="AQ706" s="936"/>
      <c r="AR706" s="936"/>
      <c r="AS706" s="936"/>
      <c r="AZ706" s="3"/>
      <c r="BA706" s="3"/>
      <c r="BB706" s="3"/>
      <c r="BC706" s="3"/>
      <c r="BD706" s="3"/>
      <c r="BE706" s="3"/>
      <c r="BF706" s="3"/>
      <c r="BG706" s="316">
        <f t="shared" si="46"/>
        <v>0</v>
      </c>
      <c r="BH706" s="319">
        <f t="shared" si="48"/>
        <v>0</v>
      </c>
      <c r="BI706" s="320" t="str">
        <f t="shared" si="47"/>
        <v xml:space="preserve"> </v>
      </c>
      <c r="BJ706" s="3"/>
      <c r="BK706" s="3"/>
      <c r="BL706" s="3"/>
      <c r="BM706" s="3"/>
      <c r="BN706" s="3"/>
      <c r="BO706" s="3"/>
      <c r="BP706" s="379" t="s">
        <v>200</v>
      </c>
      <c r="BQ706" s="499">
        <v>1364</v>
      </c>
      <c r="BR706" s="500">
        <v>1462</v>
      </c>
      <c r="BS706" s="499">
        <v>1754</v>
      </c>
      <c r="BT706" s="500">
        <v>2026</v>
      </c>
      <c r="BU706" s="500">
        <v>2260</v>
      </c>
      <c r="BV706" s="501">
        <v>2492</v>
      </c>
      <c r="BW706" s="3"/>
      <c r="BX706" s="897">
        <v>920</v>
      </c>
      <c r="BY706" s="897">
        <v>926</v>
      </c>
      <c r="BZ706" s="897">
        <v>1173</v>
      </c>
      <c r="CA706" s="897">
        <v>1666</v>
      </c>
      <c r="CB706" s="897">
        <v>2008</v>
      </c>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A707" s="1260"/>
      <c r="B707" s="1260"/>
      <c r="C707" s="1260"/>
      <c r="D707" s="1260"/>
      <c r="E707" s="1260"/>
      <c r="F707" s="1260"/>
      <c r="G707" s="1260"/>
      <c r="H707" s="1260"/>
      <c r="I707" s="1260"/>
      <c r="J707" s="1260"/>
      <c r="K707" s="1260"/>
      <c r="L707" s="1260"/>
      <c r="M707" s="1260"/>
      <c r="N707" s="1260"/>
      <c r="O707" s="1260"/>
      <c r="P707" s="1260"/>
      <c r="Q707" s="1260"/>
      <c r="R707" s="1260"/>
      <c r="S707" s="1260"/>
      <c r="T707" s="1260"/>
      <c r="U707" s="1260"/>
      <c r="V707" s="1260"/>
      <c r="W707" s="1260"/>
      <c r="X707" s="1260"/>
      <c r="Y707" s="1260"/>
      <c r="Z707" s="1260"/>
      <c r="AA707" s="1260"/>
      <c r="AB707" s="1260"/>
      <c r="AC707" s="1260"/>
      <c r="AD707" s="1260"/>
      <c r="AE707" s="1260"/>
      <c r="AF707" s="1260"/>
      <c r="AG707" s="1260"/>
      <c r="AH707" s="1260"/>
      <c r="AI707" s="1260"/>
      <c r="AJ707" s="1260"/>
      <c r="AK707" s="1260"/>
      <c r="AL707" s="1260"/>
      <c r="AM707" s="1260"/>
      <c r="AN707" s="1260"/>
      <c r="AO707" s="1260"/>
      <c r="AZ707" s="3"/>
      <c r="BA707" s="3"/>
      <c r="BB707" s="3"/>
      <c r="BC707" s="3"/>
      <c r="BD707" s="3"/>
      <c r="BE707" s="3"/>
      <c r="BF707" s="3"/>
      <c r="BG707" s="316">
        <f t="shared" si="46"/>
        <v>0</v>
      </c>
      <c r="BH707" s="319">
        <f t="shared" si="48"/>
        <v>0</v>
      </c>
      <c r="BI707" s="320" t="str">
        <f t="shared" si="47"/>
        <v xml:space="preserve"> </v>
      </c>
      <c r="BJ707" s="3"/>
      <c r="BK707" s="3"/>
      <c r="BL707" s="3"/>
      <c r="BM707" s="3"/>
      <c r="BN707" s="3"/>
      <c r="BO707" s="3"/>
      <c r="BP707" s="379" t="s">
        <v>201</v>
      </c>
      <c r="BQ707" s="499">
        <v>1364</v>
      </c>
      <c r="BR707" s="500">
        <v>1462</v>
      </c>
      <c r="BS707" s="499">
        <v>1754</v>
      </c>
      <c r="BT707" s="500">
        <v>2026</v>
      </c>
      <c r="BU707" s="500">
        <v>2260</v>
      </c>
      <c r="BV707" s="501">
        <v>2492</v>
      </c>
      <c r="BW707" s="3"/>
      <c r="BX707" s="897">
        <v>682</v>
      </c>
      <c r="BY707" s="897">
        <v>722</v>
      </c>
      <c r="BZ707" s="897">
        <v>950</v>
      </c>
      <c r="CA707" s="897">
        <v>1270</v>
      </c>
      <c r="CB707" s="897">
        <v>1495</v>
      </c>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708" s="2" t="s">
        <v>320</v>
      </c>
      <c r="B708" s="2"/>
      <c r="C708" s="2" t="s">
        <v>19</v>
      </c>
      <c r="AZ708" s="3"/>
      <c r="BA708" s="3"/>
      <c r="BB708" s="3"/>
      <c r="BC708" s="3"/>
      <c r="BD708" s="3"/>
      <c r="BE708" s="3"/>
      <c r="BF708" s="3"/>
      <c r="BG708" s="316">
        <f t="shared" si="46"/>
        <v>0</v>
      </c>
      <c r="BH708" s="319">
        <f t="shared" si="48"/>
        <v>0</v>
      </c>
      <c r="BI708" s="320" t="str">
        <f t="shared" si="47"/>
        <v xml:space="preserve"> </v>
      </c>
      <c r="BJ708" s="3"/>
      <c r="BK708" s="3"/>
      <c r="BL708" s="3"/>
      <c r="BM708" s="3"/>
      <c r="BN708" s="3"/>
      <c r="BO708" s="3"/>
      <c r="BP708" s="379" t="s">
        <v>202</v>
      </c>
      <c r="BQ708" s="499">
        <v>1364</v>
      </c>
      <c r="BR708" s="500">
        <v>1462</v>
      </c>
      <c r="BS708" s="499">
        <v>1754</v>
      </c>
      <c r="BT708" s="500">
        <v>2026</v>
      </c>
      <c r="BU708" s="500">
        <v>2260</v>
      </c>
      <c r="BV708" s="501">
        <v>2492</v>
      </c>
      <c r="BW708" s="3"/>
      <c r="BX708" s="897">
        <v>592</v>
      </c>
      <c r="BY708" s="897">
        <v>670</v>
      </c>
      <c r="BZ708" s="897">
        <v>877</v>
      </c>
      <c r="CA708" s="897">
        <v>1246</v>
      </c>
      <c r="CB708" s="897">
        <v>1394</v>
      </c>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2"/>
      <c r="B709" s="547"/>
      <c r="C709" s="2"/>
      <c r="AZ709" s="3"/>
      <c r="BA709" s="3"/>
      <c r="BB709" s="3"/>
      <c r="BC709" s="3"/>
      <c r="BD709" s="3"/>
      <c r="BE709" s="3"/>
      <c r="BF709" s="3"/>
      <c r="BG709" s="316">
        <f t="shared" si="46"/>
        <v>0</v>
      </c>
      <c r="BH709" s="319">
        <f t="shared" si="48"/>
        <v>0</v>
      </c>
      <c r="BI709" s="320" t="str">
        <f t="shared" si="47"/>
        <v xml:space="preserve"> </v>
      </c>
      <c r="BK709" s="3"/>
      <c r="BL709" s="3"/>
      <c r="BM709" s="3"/>
      <c r="BN709" s="3"/>
      <c r="BO709" s="3"/>
      <c r="BP709" s="379" t="s">
        <v>203</v>
      </c>
      <c r="BQ709" s="499">
        <v>1364</v>
      </c>
      <c r="BR709" s="500">
        <v>1462</v>
      </c>
      <c r="BS709" s="499">
        <v>1754</v>
      </c>
      <c r="BT709" s="500">
        <v>2026</v>
      </c>
      <c r="BU709" s="500">
        <v>2260</v>
      </c>
      <c r="BV709" s="501">
        <v>2492</v>
      </c>
      <c r="BW709" s="3"/>
      <c r="BX709" s="897">
        <v>746</v>
      </c>
      <c r="BY709" s="897">
        <v>764</v>
      </c>
      <c r="BZ709" s="897">
        <v>1005</v>
      </c>
      <c r="CA709" s="897">
        <v>1405</v>
      </c>
      <c r="CB709" s="897">
        <v>1629</v>
      </c>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B710" s="1405" t="s">
        <v>390</v>
      </c>
      <c r="C710" s="1394"/>
      <c r="D710" s="1394"/>
      <c r="E710" s="1394"/>
      <c r="F710" s="1395"/>
      <c r="G710" s="1405" t="s">
        <v>286</v>
      </c>
      <c r="H710" s="1394"/>
      <c r="I710" s="1394"/>
      <c r="J710" s="1395"/>
      <c r="K710" s="1629" t="s">
        <v>1938</v>
      </c>
      <c r="L710" s="1630"/>
      <c r="M710" s="1630"/>
      <c r="N710" s="1631"/>
      <c r="O710" s="1405" t="s">
        <v>456</v>
      </c>
      <c r="P710" s="1394"/>
      <c r="Q710" s="1394"/>
      <c r="R710" s="1394"/>
      <c r="S710" s="1395"/>
      <c r="T710" s="1393" t="s">
        <v>2335</v>
      </c>
      <c r="U710" s="1394"/>
      <c r="V710" s="1394"/>
      <c r="W710" s="1395"/>
      <c r="X710" s="1393" t="s">
        <v>2337</v>
      </c>
      <c r="Y710" s="1394"/>
      <c r="Z710" s="1394"/>
      <c r="AA710" s="1394"/>
      <c r="AB710" s="1395"/>
      <c r="AC710" s="1393" t="s">
        <v>2336</v>
      </c>
      <c r="AD710" s="1394"/>
      <c r="AE710" s="1394"/>
      <c r="AF710" s="1394"/>
      <c r="AG710" s="1395"/>
      <c r="AH710" s="1393" t="s">
        <v>2338</v>
      </c>
      <c r="AI710" s="1394"/>
      <c r="AJ710" s="1395"/>
      <c r="AK710" s="1393" t="s">
        <v>2372</v>
      </c>
      <c r="AL710" s="1394"/>
      <c r="AM710" s="1394"/>
      <c r="AN710" s="1394"/>
      <c r="AO710" s="1395"/>
      <c r="AP710" s="3"/>
      <c r="AQ710" s="3"/>
      <c r="AR710" s="3"/>
      <c r="AS710" s="3"/>
      <c r="AY710" s="116"/>
      <c r="AZ710" s="116"/>
      <c r="BA710" s="116"/>
      <c r="BB710" s="116"/>
      <c r="BC710" s="116"/>
      <c r="BD710" s="3"/>
      <c r="BE710" s="3"/>
      <c r="BF710" s="3"/>
      <c r="BG710" s="316">
        <f t="shared" si="46"/>
        <v>0</v>
      </c>
      <c r="BH710" s="319">
        <f t="shared" si="48"/>
        <v>0</v>
      </c>
      <c r="BI710" s="320" t="str">
        <f t="shared" si="47"/>
        <v xml:space="preserve"> </v>
      </c>
      <c r="BK710" s="3"/>
      <c r="BL710" s="3"/>
      <c r="BM710" s="3"/>
      <c r="BN710" s="3"/>
      <c r="BO710" s="3"/>
      <c r="BP710" s="379" t="s">
        <v>131</v>
      </c>
      <c r="BQ710" s="499">
        <v>1456</v>
      </c>
      <c r="BR710" s="500">
        <v>1560</v>
      </c>
      <c r="BS710" s="499">
        <v>1872</v>
      </c>
      <c r="BT710" s="500">
        <v>2162</v>
      </c>
      <c r="BU710" s="500">
        <v>2414</v>
      </c>
      <c r="BV710" s="501">
        <v>2662</v>
      </c>
      <c r="BW710" s="3"/>
      <c r="BX710" s="897">
        <v>752</v>
      </c>
      <c r="BY710" s="897">
        <v>860</v>
      </c>
      <c r="BZ710" s="897">
        <v>1132</v>
      </c>
      <c r="CA710" s="897">
        <v>1556</v>
      </c>
      <c r="CB710" s="897">
        <v>1938</v>
      </c>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B711" s="1396"/>
      <c r="C711" s="1397"/>
      <c r="D711" s="1397"/>
      <c r="E711" s="1397"/>
      <c r="F711" s="1398"/>
      <c r="G711" s="1396"/>
      <c r="H711" s="1397"/>
      <c r="I711" s="1397"/>
      <c r="J711" s="1398"/>
      <c r="K711" s="1632"/>
      <c r="L711" s="1633"/>
      <c r="M711" s="1633"/>
      <c r="N711" s="1634"/>
      <c r="O711" s="1396"/>
      <c r="P711" s="1397"/>
      <c r="Q711" s="1397"/>
      <c r="R711" s="1397"/>
      <c r="S711" s="1398"/>
      <c r="T711" s="1396"/>
      <c r="U711" s="1397"/>
      <c r="V711" s="1397"/>
      <c r="W711" s="1398"/>
      <c r="X711" s="1396"/>
      <c r="Y711" s="1397"/>
      <c r="Z711" s="1397"/>
      <c r="AA711" s="1397"/>
      <c r="AB711" s="1398"/>
      <c r="AC711" s="1396"/>
      <c r="AD711" s="1397"/>
      <c r="AE711" s="1397"/>
      <c r="AF711" s="1397"/>
      <c r="AG711" s="1398"/>
      <c r="AH711" s="1396"/>
      <c r="AI711" s="1397"/>
      <c r="AJ711" s="1398"/>
      <c r="AK711" s="1396"/>
      <c r="AL711" s="1397"/>
      <c r="AM711" s="1397"/>
      <c r="AN711" s="1397"/>
      <c r="AO711" s="1398"/>
      <c r="AP711" s="3"/>
      <c r="AQ711" s="3"/>
      <c r="AR711" s="3"/>
      <c r="AS711" s="3"/>
      <c r="AY711" s="116"/>
      <c r="AZ711" s="116"/>
      <c r="BA711" s="116"/>
      <c r="BB711" s="116"/>
      <c r="BC711" s="116"/>
      <c r="BD711" s="3"/>
      <c r="BE711" s="3"/>
      <c r="BF711" s="3"/>
      <c r="BG711" s="316">
        <f t="shared" si="46"/>
        <v>0</v>
      </c>
      <c r="BH711" s="319">
        <f t="shared" si="48"/>
        <v>0</v>
      </c>
      <c r="BI711" s="320" t="str">
        <f t="shared" si="47"/>
        <v xml:space="preserve"> </v>
      </c>
      <c r="BK711" s="3"/>
      <c r="BL711" s="3"/>
      <c r="BM711" s="3"/>
      <c r="BN711" s="3"/>
      <c r="BO711" s="3"/>
      <c r="BP711" s="379" t="s">
        <v>204</v>
      </c>
      <c r="BQ711" s="502">
        <v>2194</v>
      </c>
      <c r="BR711" s="503">
        <v>2352</v>
      </c>
      <c r="BS711" s="502">
        <v>2822</v>
      </c>
      <c r="BT711" s="503">
        <v>3260</v>
      </c>
      <c r="BU711" s="503">
        <v>3636</v>
      </c>
      <c r="BV711" s="504">
        <v>4012</v>
      </c>
      <c r="BW711" s="3"/>
      <c r="BX711" s="897">
        <v>1507</v>
      </c>
      <c r="BY711" s="897">
        <v>1792</v>
      </c>
      <c r="BZ711" s="897">
        <v>2218</v>
      </c>
      <c r="CA711" s="897">
        <v>3101</v>
      </c>
      <c r="CB711" s="897">
        <v>3655</v>
      </c>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4"/>
      <c r="B712" s="1396"/>
      <c r="C712" s="1397"/>
      <c r="D712" s="1397"/>
      <c r="E712" s="1397"/>
      <c r="F712" s="1398"/>
      <c r="G712" s="1396"/>
      <c r="H712" s="1397"/>
      <c r="I712" s="1397"/>
      <c r="J712" s="1398"/>
      <c r="K712" s="1632"/>
      <c r="L712" s="1633"/>
      <c r="M712" s="1633"/>
      <c r="N712" s="1634"/>
      <c r="O712" s="1396"/>
      <c r="P712" s="1397"/>
      <c r="Q712" s="1397"/>
      <c r="R712" s="1397"/>
      <c r="S712" s="1398"/>
      <c r="T712" s="1396"/>
      <c r="U712" s="1397"/>
      <c r="V712" s="1397"/>
      <c r="W712" s="1398"/>
      <c r="X712" s="1396"/>
      <c r="Y712" s="1397"/>
      <c r="Z712" s="1397"/>
      <c r="AA712" s="1397"/>
      <c r="AB712" s="1398"/>
      <c r="AC712" s="1396"/>
      <c r="AD712" s="1397"/>
      <c r="AE712" s="1397"/>
      <c r="AF712" s="1397"/>
      <c r="AG712" s="1398"/>
      <c r="AH712" s="1396"/>
      <c r="AI712" s="1397"/>
      <c r="AJ712" s="1398"/>
      <c r="AK712" s="1396"/>
      <c r="AL712" s="1397"/>
      <c r="AM712" s="1397"/>
      <c r="AN712" s="1397"/>
      <c r="AO712" s="1398"/>
      <c r="AP712" s="3"/>
      <c r="AQ712" s="3"/>
      <c r="AR712" s="3"/>
      <c r="AS712" s="3"/>
      <c r="AY712" s="116"/>
      <c r="AZ712" s="116"/>
      <c r="BA712" s="116"/>
      <c r="BB712" s="116"/>
      <c r="BC712" s="116"/>
      <c r="BD712" s="3"/>
      <c r="BE712" s="3"/>
      <c r="BF712" s="3"/>
      <c r="BG712" s="316">
        <f t="shared" si="46"/>
        <v>0</v>
      </c>
      <c r="BH712" s="319">
        <f t="shared" si="48"/>
        <v>0</v>
      </c>
      <c r="BI712" s="320" t="str">
        <f t="shared" si="47"/>
        <v xml:space="preserve"> </v>
      </c>
      <c r="BK712" s="3"/>
      <c r="BL712" s="3"/>
      <c r="BM712" s="3"/>
      <c r="BN712" s="3"/>
      <c r="BO712" s="3"/>
      <c r="BP712" s="379" t="s">
        <v>205</v>
      </c>
      <c r="BQ712" s="505">
        <v>1734</v>
      </c>
      <c r="BR712" s="506">
        <v>1858</v>
      </c>
      <c r="BS712" s="505">
        <v>2230</v>
      </c>
      <c r="BT712" s="506">
        <v>2576</v>
      </c>
      <c r="BU712" s="506">
        <v>2874</v>
      </c>
      <c r="BV712" s="507">
        <v>3172</v>
      </c>
      <c r="BW712" s="3"/>
      <c r="BX712" s="897">
        <v>1212</v>
      </c>
      <c r="BY712" s="897">
        <v>1280</v>
      </c>
      <c r="BZ712" s="897">
        <v>1684</v>
      </c>
      <c r="CA712" s="897">
        <v>2353</v>
      </c>
      <c r="CB712" s="897">
        <v>2843</v>
      </c>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thickBot="1">
      <c r="A713" s="4"/>
      <c r="B713" s="1399"/>
      <c r="C713" s="1400"/>
      <c r="D713" s="1400"/>
      <c r="E713" s="1400"/>
      <c r="F713" s="1401"/>
      <c r="G713" s="1399"/>
      <c r="H713" s="1400"/>
      <c r="I713" s="1400"/>
      <c r="J713" s="1401"/>
      <c r="K713" s="1632"/>
      <c r="L713" s="1633"/>
      <c r="M713" s="1633"/>
      <c r="N713" s="1634"/>
      <c r="O713" s="1399"/>
      <c r="P713" s="1400"/>
      <c r="Q713" s="1400"/>
      <c r="R713" s="1400"/>
      <c r="S713" s="1401"/>
      <c r="T713" s="1399"/>
      <c r="U713" s="1400"/>
      <c r="V713" s="1400"/>
      <c r="W713" s="1401"/>
      <c r="X713" s="1399"/>
      <c r="Y713" s="1400"/>
      <c r="Z713" s="1400"/>
      <c r="AA713" s="1400"/>
      <c r="AB713" s="1401"/>
      <c r="AC713" s="1399"/>
      <c r="AD713" s="1400"/>
      <c r="AE713" s="1400"/>
      <c r="AF713" s="1400"/>
      <c r="AG713" s="1401"/>
      <c r="AH713" s="1399"/>
      <c r="AI713" s="1400"/>
      <c r="AJ713" s="1401"/>
      <c r="AK713" s="1399"/>
      <c r="AL713" s="1400"/>
      <c r="AM713" s="1400"/>
      <c r="AN713" s="1400"/>
      <c r="AO713" s="1401"/>
      <c r="AP713" s="3"/>
      <c r="AQ713" s="3"/>
      <c r="AR713" s="3"/>
      <c r="AS713" s="3"/>
      <c r="AY713" s="116"/>
      <c r="AZ713" s="116"/>
      <c r="BA713" s="116"/>
      <c r="BB713" s="116"/>
      <c r="BC713" s="116"/>
      <c r="BD713" s="3"/>
      <c r="BE713" s="3"/>
      <c r="BF713" s="3"/>
      <c r="BG713" s="896">
        <f t="shared" si="46"/>
        <v>0</v>
      </c>
      <c r="BH713" s="319">
        <f t="shared" si="48"/>
        <v>0</v>
      </c>
      <c r="BI713" s="320" t="str">
        <f t="shared" si="47"/>
        <v xml:space="preserve"> </v>
      </c>
      <c r="BK713" s="3"/>
      <c r="BL713" s="3"/>
      <c r="BM713" s="3"/>
      <c r="BN713" s="3"/>
      <c r="BO713" s="3"/>
      <c r="BP713" s="379" t="s">
        <v>206</v>
      </c>
      <c r="BQ713" s="508">
        <v>1364</v>
      </c>
      <c r="BR713" s="509">
        <v>1462</v>
      </c>
      <c r="BS713" s="508">
        <v>1754</v>
      </c>
      <c r="BT713" s="509">
        <v>2026</v>
      </c>
      <c r="BU713" s="509">
        <v>2260</v>
      </c>
      <c r="BV713" s="510">
        <v>2492</v>
      </c>
      <c r="BW713" s="3"/>
      <c r="BX713" s="897">
        <v>920</v>
      </c>
      <c r="BY713" s="897">
        <v>926</v>
      </c>
      <c r="BZ713" s="897">
        <v>1173</v>
      </c>
      <c r="CA713" s="897">
        <v>1666</v>
      </c>
      <c r="CB713" s="897">
        <v>2008</v>
      </c>
      <c r="CC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A714" s="4"/>
      <c r="B714" s="1383" t="s">
        <v>326</v>
      </c>
      <c r="C714" s="1384"/>
      <c r="D714" s="1384"/>
      <c r="E714" s="1384"/>
      <c r="F714" s="1385"/>
      <c r="G714" s="1570">
        <v>3</v>
      </c>
      <c r="H714" s="1571"/>
      <c r="I714" s="1571"/>
      <c r="J714" s="1572"/>
      <c r="K714" s="1567">
        <v>538</v>
      </c>
      <c r="L714" s="1568"/>
      <c r="M714" s="1568"/>
      <c r="N714" s="1569"/>
      <c r="O714" s="1564">
        <v>521</v>
      </c>
      <c r="P714" s="1565"/>
      <c r="Q714" s="1565"/>
      <c r="R714" s="1565"/>
      <c r="S714" s="1566"/>
      <c r="T714" s="1564">
        <v>49</v>
      </c>
      <c r="U714" s="1565"/>
      <c r="V714" s="1565"/>
      <c r="W714" s="1566"/>
      <c r="X714" s="1390">
        <f t="shared" ref="X714:X738" si="49">O714+T714</f>
        <v>570</v>
      </c>
      <c r="Y714" s="1391"/>
      <c r="Z714" s="1391"/>
      <c r="AA714" s="1391"/>
      <c r="AB714" s="1392"/>
      <c r="AC714" s="1402">
        <v>0.3</v>
      </c>
      <c r="AD714" s="1403"/>
      <c r="AE714" s="1403"/>
      <c r="AF714" s="1403"/>
      <c r="AG714" s="1404"/>
      <c r="AH714" s="1386">
        <f t="shared" ref="AH714:AH738" si="50">IF($AC714&gt;0,($X714/$BA656), " ")</f>
        <v>0.3</v>
      </c>
      <c r="AI714" s="1387"/>
      <c r="AJ714" s="1388"/>
      <c r="AK714" s="1383" t="s">
        <v>600</v>
      </c>
      <c r="AL714" s="1384"/>
      <c r="AM714" s="1384"/>
      <c r="AN714" s="1384"/>
      <c r="AO714" s="1385"/>
      <c r="AP714" s="3"/>
      <c r="AQ714" s="3"/>
      <c r="AR714" s="3"/>
      <c r="AS714" s="3"/>
      <c r="AY714" s="1134"/>
      <c r="AZ714" s="1134"/>
      <c r="BA714" s="1134"/>
      <c r="BB714" s="1134"/>
      <c r="BC714" s="1134"/>
      <c r="BD714" s="3"/>
      <c r="BE714" s="3"/>
      <c r="BF714" s="3"/>
      <c r="BG714" s="895">
        <f>SUM(BG689:BG713)</f>
        <v>166</v>
      </c>
      <c r="BH714" s="322">
        <f>SUM(BH689:BH713)</f>
        <v>1</v>
      </c>
      <c r="BI714" s="322">
        <f>SUM(BI689:BI713)</f>
        <v>0.5976501678696563</v>
      </c>
      <c r="BK714" s="3"/>
      <c r="BL714" s="3"/>
      <c r="BM714" s="3"/>
      <c r="BN714" s="3"/>
      <c r="BO714" s="3"/>
      <c r="BP714" s="305"/>
      <c r="BQ714" s="208"/>
      <c r="BR714" s="314"/>
      <c r="BS714" s="314"/>
      <c r="BT714" s="314"/>
      <c r="BU714" s="314"/>
      <c r="BV714" s="314"/>
      <c r="BW714" s="3"/>
      <c r="BX714" s="3"/>
      <c r="BY714" s="3"/>
      <c r="BZ714" s="3"/>
      <c r="CA714" s="3"/>
      <c r="CB714" s="3"/>
      <c r="CC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A715" s="4"/>
      <c r="B715" s="1383" t="s">
        <v>326</v>
      </c>
      <c r="C715" s="1384"/>
      <c r="D715" s="1384"/>
      <c r="E715" s="1384"/>
      <c r="F715" s="1385"/>
      <c r="G715" s="1570">
        <v>3</v>
      </c>
      <c r="H715" s="1571"/>
      <c r="I715" s="1571"/>
      <c r="J715" s="1572"/>
      <c r="K715" s="1567">
        <v>538</v>
      </c>
      <c r="L715" s="1568"/>
      <c r="M715" s="1568"/>
      <c r="N715" s="1569"/>
      <c r="O715" s="1564">
        <v>521</v>
      </c>
      <c r="P715" s="1565"/>
      <c r="Q715" s="1565"/>
      <c r="R715" s="1565"/>
      <c r="S715" s="1566"/>
      <c r="T715" s="1564">
        <v>49</v>
      </c>
      <c r="U715" s="1565"/>
      <c r="V715" s="1565"/>
      <c r="W715" s="1566"/>
      <c r="X715" s="1390">
        <f t="shared" si="49"/>
        <v>570</v>
      </c>
      <c r="Y715" s="1391"/>
      <c r="Z715" s="1391"/>
      <c r="AA715" s="1391"/>
      <c r="AB715" s="1392"/>
      <c r="AC715" s="1402">
        <v>0.3</v>
      </c>
      <c r="AD715" s="1403"/>
      <c r="AE715" s="1403"/>
      <c r="AF715" s="1403"/>
      <c r="AG715" s="1404"/>
      <c r="AH715" s="1386">
        <f t="shared" si="50"/>
        <v>0.3</v>
      </c>
      <c r="AI715" s="1387"/>
      <c r="AJ715" s="1388"/>
      <c r="AK715" s="1383" t="s">
        <v>600</v>
      </c>
      <c r="AL715" s="1384"/>
      <c r="AM715" s="1384"/>
      <c r="AN715" s="1384"/>
      <c r="AO715" s="1385"/>
      <c r="AP715" s="3"/>
      <c r="AQ715" s="3"/>
      <c r="AR715" s="3"/>
      <c r="AS715" s="3"/>
      <c r="AY715" s="1134"/>
      <c r="AZ715" s="1134"/>
      <c r="BA715" s="1134"/>
      <c r="BB715" s="1134"/>
      <c r="BC715" s="1134"/>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3" t="s">
        <v>326</v>
      </c>
      <c r="C716" s="1384"/>
      <c r="D716" s="1384"/>
      <c r="E716" s="1384"/>
      <c r="F716" s="1385"/>
      <c r="G716" s="1570">
        <v>17</v>
      </c>
      <c r="H716" s="1571"/>
      <c r="I716" s="1571"/>
      <c r="J716" s="1572"/>
      <c r="K716" s="1567">
        <v>538</v>
      </c>
      <c r="L716" s="1568"/>
      <c r="M716" s="1568"/>
      <c r="N716" s="1569"/>
      <c r="O716" s="1564">
        <v>901</v>
      </c>
      <c r="P716" s="1565"/>
      <c r="Q716" s="1565"/>
      <c r="R716" s="1565"/>
      <c r="S716" s="1566"/>
      <c r="T716" s="1564">
        <v>49</v>
      </c>
      <c r="U716" s="1565"/>
      <c r="V716" s="1565"/>
      <c r="W716" s="1566"/>
      <c r="X716" s="1390">
        <f t="shared" si="49"/>
        <v>950</v>
      </c>
      <c r="Y716" s="1391"/>
      <c r="Z716" s="1391"/>
      <c r="AA716" s="1391"/>
      <c r="AB716" s="1392"/>
      <c r="AC716" s="1402">
        <v>0.5</v>
      </c>
      <c r="AD716" s="1403"/>
      <c r="AE716" s="1403"/>
      <c r="AF716" s="1403"/>
      <c r="AG716" s="1404"/>
      <c r="AH716" s="1386">
        <f t="shared" si="50"/>
        <v>0.5</v>
      </c>
      <c r="AI716" s="1387"/>
      <c r="AJ716" s="1388"/>
      <c r="AK716" s="1383" t="s">
        <v>600</v>
      </c>
      <c r="AL716" s="1384"/>
      <c r="AM716" s="1384"/>
      <c r="AN716" s="1384"/>
      <c r="AO716" s="1385"/>
      <c r="AP716" s="3"/>
      <c r="AQ716" s="3"/>
      <c r="AR716" s="3"/>
      <c r="AS716" s="3"/>
      <c r="AY716" s="1134"/>
      <c r="AZ716" s="1134"/>
      <c r="BA716" s="1134"/>
      <c r="BB716" s="1134"/>
      <c r="BC716" s="1134"/>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B717" s="1383" t="s">
        <v>326</v>
      </c>
      <c r="C717" s="1384"/>
      <c r="D717" s="1384"/>
      <c r="E717" s="1384"/>
      <c r="F717" s="1385"/>
      <c r="G717" s="1570">
        <v>34</v>
      </c>
      <c r="H717" s="1571"/>
      <c r="I717" s="1571"/>
      <c r="J717" s="1572"/>
      <c r="K717" s="1567">
        <v>538</v>
      </c>
      <c r="L717" s="1568"/>
      <c r="M717" s="1568"/>
      <c r="N717" s="1569"/>
      <c r="O717" s="1564">
        <v>1281</v>
      </c>
      <c r="P717" s="1565"/>
      <c r="Q717" s="1565"/>
      <c r="R717" s="1565"/>
      <c r="S717" s="1566"/>
      <c r="T717" s="1564">
        <v>49</v>
      </c>
      <c r="U717" s="1565"/>
      <c r="V717" s="1565"/>
      <c r="W717" s="1566"/>
      <c r="X717" s="1390">
        <f t="shared" si="49"/>
        <v>1330</v>
      </c>
      <c r="Y717" s="1391"/>
      <c r="Z717" s="1391"/>
      <c r="AA717" s="1391"/>
      <c r="AB717" s="1392"/>
      <c r="AC717" s="1402">
        <v>0.7</v>
      </c>
      <c r="AD717" s="1403"/>
      <c r="AE717" s="1403"/>
      <c r="AF717" s="1403"/>
      <c r="AG717" s="1404"/>
      <c r="AH717" s="1386">
        <f t="shared" si="50"/>
        <v>0.7</v>
      </c>
      <c r="AI717" s="1387"/>
      <c r="AJ717" s="1388"/>
      <c r="AK717" s="1383" t="s">
        <v>600</v>
      </c>
      <c r="AL717" s="1384"/>
      <c r="AM717" s="1384"/>
      <c r="AN717" s="1384"/>
      <c r="AO717" s="1385"/>
      <c r="AP717" s="3"/>
      <c r="AQ717" s="3"/>
      <c r="AR717" s="3"/>
      <c r="AS717" s="3"/>
      <c r="AY717" s="1134"/>
      <c r="AZ717" s="1134"/>
      <c r="BA717" s="1134"/>
      <c r="BB717" s="1134"/>
      <c r="BC717" s="1134"/>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B718" s="1383" t="s">
        <v>164</v>
      </c>
      <c r="C718" s="1384"/>
      <c r="D718" s="1384"/>
      <c r="E718" s="1384"/>
      <c r="F718" s="1385"/>
      <c r="G718" s="1570">
        <v>2</v>
      </c>
      <c r="H718" s="1571"/>
      <c r="I718" s="1571"/>
      <c r="J718" s="1572"/>
      <c r="K718" s="1567">
        <v>716</v>
      </c>
      <c r="L718" s="1568"/>
      <c r="M718" s="1568"/>
      <c r="N718" s="1569"/>
      <c r="O718" s="1564">
        <v>624</v>
      </c>
      <c r="P718" s="1565"/>
      <c r="Q718" s="1565"/>
      <c r="R718" s="1565"/>
      <c r="S718" s="1566"/>
      <c r="T718" s="1564">
        <v>60</v>
      </c>
      <c r="U718" s="1565"/>
      <c r="V718" s="1565"/>
      <c r="W718" s="1566"/>
      <c r="X718" s="1390">
        <f t="shared" si="49"/>
        <v>684</v>
      </c>
      <c r="Y718" s="1391"/>
      <c r="Z718" s="1391"/>
      <c r="AA718" s="1391"/>
      <c r="AB718" s="1392"/>
      <c r="AC718" s="1402">
        <v>0.3</v>
      </c>
      <c r="AD718" s="1403"/>
      <c r="AE718" s="1403"/>
      <c r="AF718" s="1403"/>
      <c r="AG718" s="1404"/>
      <c r="AH718" s="1386">
        <f t="shared" si="50"/>
        <v>0.3</v>
      </c>
      <c r="AI718" s="1387"/>
      <c r="AJ718" s="1388"/>
      <c r="AK718" s="1383" t="s">
        <v>600</v>
      </c>
      <c r="AL718" s="1384"/>
      <c r="AM718" s="1384"/>
      <c r="AN718" s="1384"/>
      <c r="AO718" s="1385"/>
      <c r="AP718" s="3"/>
      <c r="AQ718" s="3"/>
      <c r="AR718" s="3"/>
      <c r="AS718" s="3"/>
      <c r="AY718" s="1134"/>
      <c r="AZ718" s="1134"/>
      <c r="BA718" s="1134"/>
      <c r="BB718" s="1134"/>
      <c r="BC718" s="1134"/>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B719" s="1383" t="s">
        <v>164</v>
      </c>
      <c r="C719" s="1384"/>
      <c r="D719" s="1384"/>
      <c r="E719" s="1384"/>
      <c r="F719" s="1385"/>
      <c r="G719" s="1570">
        <v>2</v>
      </c>
      <c r="H719" s="1571"/>
      <c r="I719" s="1571"/>
      <c r="J719" s="1572"/>
      <c r="K719" s="1567">
        <v>716</v>
      </c>
      <c r="L719" s="1568"/>
      <c r="M719" s="1568"/>
      <c r="N719" s="1569"/>
      <c r="O719" s="1564">
        <v>624</v>
      </c>
      <c r="P719" s="1565"/>
      <c r="Q719" s="1565"/>
      <c r="R719" s="1565"/>
      <c r="S719" s="1566"/>
      <c r="T719" s="1564">
        <v>60</v>
      </c>
      <c r="U719" s="1565"/>
      <c r="V719" s="1565"/>
      <c r="W719" s="1566"/>
      <c r="X719" s="1390">
        <f t="shared" si="49"/>
        <v>684</v>
      </c>
      <c r="Y719" s="1391"/>
      <c r="Z719" s="1391"/>
      <c r="AA719" s="1391"/>
      <c r="AB719" s="1392"/>
      <c r="AC719" s="1402">
        <v>0.3</v>
      </c>
      <c r="AD719" s="1403"/>
      <c r="AE719" s="1403"/>
      <c r="AF719" s="1403"/>
      <c r="AG719" s="1404"/>
      <c r="AH719" s="1386">
        <f t="shared" si="50"/>
        <v>0.3</v>
      </c>
      <c r="AI719" s="1387"/>
      <c r="AJ719" s="1388"/>
      <c r="AK719" s="1383" t="s">
        <v>600</v>
      </c>
      <c r="AL719" s="1384"/>
      <c r="AM719" s="1384"/>
      <c r="AN719" s="1384"/>
      <c r="AO719" s="1385"/>
      <c r="AP719" s="3"/>
      <c r="AQ719" s="3"/>
      <c r="AR719" s="3"/>
      <c r="AS719" s="3"/>
      <c r="AY719" s="1134"/>
      <c r="AZ719" s="1134"/>
      <c r="BA719" s="1134"/>
      <c r="BB719" s="1134"/>
      <c r="BC719" s="1134"/>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B720" s="1383" t="s">
        <v>164</v>
      </c>
      <c r="C720" s="1384"/>
      <c r="D720" s="1384"/>
      <c r="E720" s="1384"/>
      <c r="F720" s="1385"/>
      <c r="G720" s="1570">
        <v>11</v>
      </c>
      <c r="H720" s="1571"/>
      <c r="I720" s="1571"/>
      <c r="J720" s="1572"/>
      <c r="K720" s="1567">
        <v>716</v>
      </c>
      <c r="L720" s="1568"/>
      <c r="M720" s="1568"/>
      <c r="N720" s="1569"/>
      <c r="O720" s="1564">
        <v>1080</v>
      </c>
      <c r="P720" s="1565"/>
      <c r="Q720" s="1565"/>
      <c r="R720" s="1565"/>
      <c r="S720" s="1566"/>
      <c r="T720" s="1564">
        <v>60</v>
      </c>
      <c r="U720" s="1565"/>
      <c r="V720" s="1565"/>
      <c r="W720" s="1566"/>
      <c r="X720" s="1390">
        <f t="shared" si="49"/>
        <v>1140</v>
      </c>
      <c r="Y720" s="1391"/>
      <c r="Z720" s="1391"/>
      <c r="AA720" s="1391"/>
      <c r="AB720" s="1392"/>
      <c r="AC720" s="1402">
        <v>0.5</v>
      </c>
      <c r="AD720" s="1403"/>
      <c r="AE720" s="1403"/>
      <c r="AF720" s="1403"/>
      <c r="AG720" s="1404"/>
      <c r="AH720" s="1386">
        <f t="shared" si="50"/>
        <v>0.5</v>
      </c>
      <c r="AI720" s="1387"/>
      <c r="AJ720" s="1388"/>
      <c r="AK720" s="1383" t="s">
        <v>600</v>
      </c>
      <c r="AL720" s="1384"/>
      <c r="AM720" s="1384"/>
      <c r="AN720" s="1384"/>
      <c r="AO720" s="1385"/>
      <c r="AP720" s="3"/>
      <c r="AQ720" s="3"/>
      <c r="AR720" s="3"/>
      <c r="AS720" s="3"/>
      <c r="AY720" s="1134"/>
      <c r="AZ720" s="1134"/>
      <c r="BA720" s="1134"/>
      <c r="BB720" s="1134"/>
      <c r="BC720" s="1134"/>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83" t="s">
        <v>164</v>
      </c>
      <c r="C721" s="1384"/>
      <c r="D721" s="1384"/>
      <c r="E721" s="1384"/>
      <c r="F721" s="1385"/>
      <c r="G721" s="1570">
        <v>23</v>
      </c>
      <c r="H721" s="1571"/>
      <c r="I721" s="1571"/>
      <c r="J721" s="1572"/>
      <c r="K721" s="1567">
        <v>716</v>
      </c>
      <c r="L721" s="1568"/>
      <c r="M721" s="1568"/>
      <c r="N721" s="1569"/>
      <c r="O721" s="1564">
        <v>1517</v>
      </c>
      <c r="P721" s="1565"/>
      <c r="Q721" s="1565"/>
      <c r="R721" s="1565"/>
      <c r="S721" s="1566"/>
      <c r="T721" s="1564">
        <v>60</v>
      </c>
      <c r="U721" s="1565"/>
      <c r="V721" s="1565"/>
      <c r="W721" s="1566"/>
      <c r="X721" s="1390">
        <f t="shared" si="49"/>
        <v>1577</v>
      </c>
      <c r="Y721" s="1391"/>
      <c r="Z721" s="1391"/>
      <c r="AA721" s="1391"/>
      <c r="AB721" s="1392"/>
      <c r="AC721" s="1402">
        <v>0.7</v>
      </c>
      <c r="AD721" s="1403"/>
      <c r="AE721" s="1403"/>
      <c r="AF721" s="1403"/>
      <c r="AG721" s="1404"/>
      <c r="AH721" s="1386">
        <f t="shared" si="50"/>
        <v>0.69166666666666665</v>
      </c>
      <c r="AI721" s="1387"/>
      <c r="AJ721" s="1388"/>
      <c r="AK721" s="1383" t="s">
        <v>600</v>
      </c>
      <c r="AL721" s="1384"/>
      <c r="AM721" s="1384"/>
      <c r="AN721" s="1384"/>
      <c r="AO721" s="1385"/>
      <c r="AP721" s="3"/>
      <c r="AQ721" s="3"/>
      <c r="AR721" s="3"/>
      <c r="AS721" s="3"/>
      <c r="AY721" s="1134"/>
      <c r="AZ721" s="1134"/>
      <c r="BA721" s="1134"/>
      <c r="BB721" s="1134"/>
      <c r="BC721" s="1134"/>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83" t="s">
        <v>164</v>
      </c>
      <c r="C722" s="1384"/>
      <c r="D722" s="1384"/>
      <c r="E722" s="1384"/>
      <c r="F722" s="1385"/>
      <c r="G722" s="1570">
        <v>2</v>
      </c>
      <c r="H722" s="1571"/>
      <c r="I722" s="1571"/>
      <c r="J722" s="1572"/>
      <c r="K722" s="1567">
        <v>843</v>
      </c>
      <c r="L722" s="1568"/>
      <c r="M722" s="1568"/>
      <c r="N722" s="1569"/>
      <c r="O722" s="1564">
        <v>624</v>
      </c>
      <c r="P722" s="1565"/>
      <c r="Q722" s="1565"/>
      <c r="R722" s="1565"/>
      <c r="S722" s="1566"/>
      <c r="T722" s="1564">
        <v>60</v>
      </c>
      <c r="U722" s="1565"/>
      <c r="V722" s="1565"/>
      <c r="W722" s="1566"/>
      <c r="X722" s="1390">
        <f t="shared" si="49"/>
        <v>684</v>
      </c>
      <c r="Y722" s="1391"/>
      <c r="Z722" s="1391"/>
      <c r="AA722" s="1391"/>
      <c r="AB722" s="1392"/>
      <c r="AC722" s="1402">
        <v>0.3</v>
      </c>
      <c r="AD722" s="1403"/>
      <c r="AE722" s="1403"/>
      <c r="AF722" s="1403"/>
      <c r="AG722" s="1404"/>
      <c r="AH722" s="1386">
        <f t="shared" si="50"/>
        <v>0.3</v>
      </c>
      <c r="AI722" s="1387"/>
      <c r="AJ722" s="1388"/>
      <c r="AK722" s="1383" t="s">
        <v>600</v>
      </c>
      <c r="AL722" s="1384"/>
      <c r="AM722" s="1384"/>
      <c r="AN722" s="1384"/>
      <c r="AO722" s="1385"/>
      <c r="AP722" s="3"/>
      <c r="AQ722" s="3"/>
      <c r="AR722" s="3"/>
      <c r="AS722" s="3"/>
      <c r="AY722" s="1134"/>
      <c r="AZ722" s="1134"/>
      <c r="BA722" s="1134"/>
      <c r="BB722" s="1134"/>
      <c r="BC722" s="1134"/>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A723" s="4"/>
      <c r="B723" s="1383" t="s">
        <v>164</v>
      </c>
      <c r="C723" s="1384"/>
      <c r="D723" s="1384"/>
      <c r="E723" s="1384"/>
      <c r="F723" s="1385"/>
      <c r="G723" s="1570">
        <v>1</v>
      </c>
      <c r="H723" s="1571"/>
      <c r="I723" s="1571"/>
      <c r="J723" s="1572"/>
      <c r="K723" s="1567">
        <v>843</v>
      </c>
      <c r="L723" s="1568"/>
      <c r="M723" s="1568"/>
      <c r="N723" s="1569"/>
      <c r="O723" s="1564">
        <v>624</v>
      </c>
      <c r="P723" s="1565"/>
      <c r="Q723" s="1565"/>
      <c r="R723" s="1565"/>
      <c r="S723" s="1566"/>
      <c r="T723" s="1564">
        <v>60</v>
      </c>
      <c r="U723" s="1565"/>
      <c r="V723" s="1565"/>
      <c r="W723" s="1566"/>
      <c r="X723" s="1390">
        <f t="shared" si="49"/>
        <v>684</v>
      </c>
      <c r="Y723" s="1391"/>
      <c r="Z723" s="1391"/>
      <c r="AA723" s="1391"/>
      <c r="AB723" s="1392"/>
      <c r="AC723" s="1402">
        <v>0.3</v>
      </c>
      <c r="AD723" s="1403"/>
      <c r="AE723" s="1403"/>
      <c r="AF723" s="1403"/>
      <c r="AG723" s="1404"/>
      <c r="AH723" s="1386">
        <f t="shared" si="50"/>
        <v>0.3</v>
      </c>
      <c r="AI723" s="1387"/>
      <c r="AJ723" s="1388"/>
      <c r="AK723" s="1383" t="s">
        <v>600</v>
      </c>
      <c r="AL723" s="1384"/>
      <c r="AM723" s="1384"/>
      <c r="AN723" s="1384"/>
      <c r="AO723" s="1385"/>
      <c r="AP723" s="3"/>
      <c r="AQ723" s="3"/>
      <c r="AR723" s="3"/>
      <c r="AS723" s="3"/>
      <c r="AY723" s="1134"/>
      <c r="AZ723" s="1134"/>
      <c r="BA723" s="1134"/>
      <c r="BB723" s="1134"/>
      <c r="BC723" s="1134"/>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A724" s="4"/>
      <c r="B724" s="1383" t="s">
        <v>164</v>
      </c>
      <c r="C724" s="1384"/>
      <c r="D724" s="1384"/>
      <c r="E724" s="1384"/>
      <c r="F724" s="1385"/>
      <c r="G724" s="1570">
        <v>9</v>
      </c>
      <c r="H724" s="1571"/>
      <c r="I724" s="1571"/>
      <c r="J724" s="1572"/>
      <c r="K724" s="1567">
        <v>843</v>
      </c>
      <c r="L724" s="1568"/>
      <c r="M724" s="1568"/>
      <c r="N724" s="1569"/>
      <c r="O724" s="1564">
        <v>1080</v>
      </c>
      <c r="P724" s="1565"/>
      <c r="Q724" s="1565"/>
      <c r="R724" s="1565"/>
      <c r="S724" s="1566"/>
      <c r="T724" s="1564">
        <v>60</v>
      </c>
      <c r="U724" s="1565"/>
      <c r="V724" s="1565"/>
      <c r="W724" s="1566"/>
      <c r="X724" s="1390">
        <f t="shared" si="49"/>
        <v>1140</v>
      </c>
      <c r="Y724" s="1391"/>
      <c r="Z724" s="1391"/>
      <c r="AA724" s="1391"/>
      <c r="AB724" s="1392"/>
      <c r="AC724" s="1402">
        <v>0.5</v>
      </c>
      <c r="AD724" s="1403"/>
      <c r="AE724" s="1403"/>
      <c r="AF724" s="1403"/>
      <c r="AG724" s="1404"/>
      <c r="AH724" s="1386">
        <f t="shared" si="50"/>
        <v>0.5</v>
      </c>
      <c r="AI724" s="1387"/>
      <c r="AJ724" s="1388"/>
      <c r="AK724" s="1383" t="s">
        <v>600</v>
      </c>
      <c r="AL724" s="1384"/>
      <c r="AM724" s="1384"/>
      <c r="AN724" s="1384"/>
      <c r="AO724" s="1385"/>
      <c r="AP724" s="3"/>
      <c r="AQ724" s="3"/>
      <c r="AR724" s="3"/>
      <c r="AS724" s="3"/>
      <c r="AY724" s="1134"/>
      <c r="AZ724" s="1134"/>
      <c r="BA724" s="1134"/>
      <c r="BB724" s="1134"/>
      <c r="BC724" s="1134"/>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A725" s="4"/>
      <c r="B725" s="1383" t="s">
        <v>164</v>
      </c>
      <c r="C725" s="1384"/>
      <c r="D725" s="1384"/>
      <c r="E725" s="1384"/>
      <c r="F725" s="1385"/>
      <c r="G725" s="1570">
        <v>17</v>
      </c>
      <c r="H725" s="1571"/>
      <c r="I725" s="1571"/>
      <c r="J725" s="1572"/>
      <c r="K725" s="1567">
        <v>843</v>
      </c>
      <c r="L725" s="1568"/>
      <c r="M725" s="1568"/>
      <c r="N725" s="1569"/>
      <c r="O725" s="1564">
        <v>1536</v>
      </c>
      <c r="P725" s="1565"/>
      <c r="Q725" s="1565"/>
      <c r="R725" s="1565"/>
      <c r="S725" s="1566"/>
      <c r="T725" s="1564">
        <v>60</v>
      </c>
      <c r="U725" s="1565"/>
      <c r="V725" s="1565"/>
      <c r="W725" s="1566"/>
      <c r="X725" s="1390">
        <f t="shared" si="49"/>
        <v>1596</v>
      </c>
      <c r="Y725" s="1391"/>
      <c r="Z725" s="1391"/>
      <c r="AA725" s="1391"/>
      <c r="AB725" s="1392"/>
      <c r="AC725" s="1402">
        <v>0.7</v>
      </c>
      <c r="AD725" s="1403"/>
      <c r="AE725" s="1403"/>
      <c r="AF725" s="1403"/>
      <c r="AG725" s="1404"/>
      <c r="AH725" s="1386">
        <f t="shared" si="50"/>
        <v>0.7</v>
      </c>
      <c r="AI725" s="1387"/>
      <c r="AJ725" s="1388"/>
      <c r="AK725" s="1383" t="s">
        <v>600</v>
      </c>
      <c r="AL725" s="1384"/>
      <c r="AM725" s="1384"/>
      <c r="AN725" s="1384"/>
      <c r="AO725" s="1385"/>
      <c r="AP725" s="3"/>
      <c r="AQ725" s="3"/>
      <c r="AR725" s="3"/>
      <c r="AS725" s="3"/>
      <c r="AY725" s="1134"/>
      <c r="AZ725" s="1134"/>
      <c r="BA725" s="1134"/>
      <c r="BB725" s="1134"/>
      <c r="BC725" s="1134"/>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83" t="s">
        <v>165</v>
      </c>
      <c r="C726" s="1384"/>
      <c r="D726" s="1384"/>
      <c r="E726" s="1384"/>
      <c r="F726" s="1385"/>
      <c r="G726" s="1570">
        <v>2</v>
      </c>
      <c r="H726" s="1571"/>
      <c r="I726" s="1571"/>
      <c r="J726" s="1572"/>
      <c r="K726" s="1567">
        <v>976</v>
      </c>
      <c r="L726" s="1568"/>
      <c r="M726" s="1568"/>
      <c r="N726" s="1569"/>
      <c r="O726" s="1564">
        <v>720</v>
      </c>
      <c r="P726" s="1565"/>
      <c r="Q726" s="1565"/>
      <c r="R726" s="1565"/>
      <c r="S726" s="1566"/>
      <c r="T726" s="1564">
        <v>70</v>
      </c>
      <c r="U726" s="1565"/>
      <c r="V726" s="1565"/>
      <c r="W726" s="1566"/>
      <c r="X726" s="1390">
        <f t="shared" si="49"/>
        <v>790</v>
      </c>
      <c r="Y726" s="1391"/>
      <c r="Z726" s="1391"/>
      <c r="AA726" s="1391"/>
      <c r="AB726" s="1392"/>
      <c r="AC726" s="1402">
        <v>0.3</v>
      </c>
      <c r="AD726" s="1403"/>
      <c r="AE726" s="1403"/>
      <c r="AF726" s="1403"/>
      <c r="AG726" s="1404"/>
      <c r="AH726" s="1386">
        <f t="shared" si="50"/>
        <v>0.29992406985573272</v>
      </c>
      <c r="AI726" s="1387"/>
      <c r="AJ726" s="1388"/>
      <c r="AK726" s="1383" t="s">
        <v>600</v>
      </c>
      <c r="AL726" s="1384"/>
      <c r="AM726" s="1384"/>
      <c r="AN726" s="1384"/>
      <c r="AO726" s="1385"/>
      <c r="AP726" s="3"/>
      <c r="AQ726" s="3"/>
      <c r="AR726" s="3"/>
      <c r="AS726" s="3"/>
      <c r="AY726" s="1134"/>
      <c r="AZ726" s="1134"/>
      <c r="BA726" s="1134"/>
      <c r="BB726" s="1134"/>
      <c r="BC726" s="1134"/>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B727" s="1383" t="s">
        <v>165</v>
      </c>
      <c r="C727" s="1384"/>
      <c r="D727" s="1384"/>
      <c r="E727" s="1384"/>
      <c r="F727" s="1385"/>
      <c r="G727" s="1570">
        <v>2</v>
      </c>
      <c r="H727" s="1571"/>
      <c r="I727" s="1571"/>
      <c r="J727" s="1572"/>
      <c r="K727" s="1567">
        <v>976</v>
      </c>
      <c r="L727" s="1568"/>
      <c r="M727" s="1568"/>
      <c r="N727" s="1569"/>
      <c r="O727" s="1564">
        <v>720</v>
      </c>
      <c r="P727" s="1565"/>
      <c r="Q727" s="1565"/>
      <c r="R727" s="1565"/>
      <c r="S727" s="1566"/>
      <c r="T727" s="1564">
        <v>70</v>
      </c>
      <c r="U727" s="1565"/>
      <c r="V727" s="1565"/>
      <c r="W727" s="1566"/>
      <c r="X727" s="1390">
        <f t="shared" si="49"/>
        <v>790</v>
      </c>
      <c r="Y727" s="1391"/>
      <c r="Z727" s="1391"/>
      <c r="AA727" s="1391"/>
      <c r="AB727" s="1392"/>
      <c r="AC727" s="1402">
        <v>0.3</v>
      </c>
      <c r="AD727" s="1403"/>
      <c r="AE727" s="1403"/>
      <c r="AF727" s="1403"/>
      <c r="AG727" s="1404"/>
      <c r="AH727" s="1386">
        <f t="shared" si="50"/>
        <v>0.29992406985573272</v>
      </c>
      <c r="AI727" s="1387"/>
      <c r="AJ727" s="1388"/>
      <c r="AK727" s="1383" t="s">
        <v>600</v>
      </c>
      <c r="AL727" s="1384"/>
      <c r="AM727" s="1384"/>
      <c r="AN727" s="1384"/>
      <c r="AO727" s="1385"/>
      <c r="AP727" s="3"/>
      <c r="AQ727" s="3"/>
      <c r="AR727" s="3"/>
      <c r="AS727" s="3"/>
      <c r="AY727" s="1134"/>
      <c r="AZ727" s="1134"/>
      <c r="BA727" s="1134"/>
      <c r="BB727" s="1134"/>
      <c r="BC727" s="1134"/>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B728" s="1383" t="s">
        <v>165</v>
      </c>
      <c r="C728" s="1384"/>
      <c r="D728" s="1384"/>
      <c r="E728" s="1384"/>
      <c r="F728" s="1385"/>
      <c r="G728" s="1570">
        <v>13</v>
      </c>
      <c r="H728" s="1571"/>
      <c r="I728" s="1571"/>
      <c r="J728" s="1572"/>
      <c r="K728" s="1567">
        <v>976</v>
      </c>
      <c r="L728" s="1568"/>
      <c r="M728" s="1568"/>
      <c r="N728" s="1569"/>
      <c r="O728" s="1564">
        <v>1247</v>
      </c>
      <c r="P728" s="1565"/>
      <c r="Q728" s="1565"/>
      <c r="R728" s="1565"/>
      <c r="S728" s="1566"/>
      <c r="T728" s="1564">
        <v>70</v>
      </c>
      <c r="U728" s="1565"/>
      <c r="V728" s="1565"/>
      <c r="W728" s="1566"/>
      <c r="X728" s="1390">
        <f t="shared" si="49"/>
        <v>1317</v>
      </c>
      <c r="Y728" s="1391"/>
      <c r="Z728" s="1391"/>
      <c r="AA728" s="1391"/>
      <c r="AB728" s="1392"/>
      <c r="AC728" s="1402">
        <v>0.5</v>
      </c>
      <c r="AD728" s="1403"/>
      <c r="AE728" s="1403"/>
      <c r="AF728" s="1403"/>
      <c r="AG728" s="1404"/>
      <c r="AH728" s="1386">
        <f t="shared" si="50"/>
        <v>0.5</v>
      </c>
      <c r="AI728" s="1387"/>
      <c r="AJ728" s="1388"/>
      <c r="AK728" s="1383" t="s">
        <v>600</v>
      </c>
      <c r="AL728" s="1384"/>
      <c r="AM728" s="1384"/>
      <c r="AN728" s="1384"/>
      <c r="AO728" s="1385"/>
      <c r="AP728" s="3"/>
      <c r="AQ728" s="3"/>
      <c r="AR728" s="3"/>
      <c r="AS728" s="3"/>
      <c r="AY728" s="1134"/>
      <c r="AZ728" s="1134"/>
      <c r="BA728" s="1134"/>
      <c r="BB728" s="1134"/>
      <c r="BC728" s="1134"/>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B729" s="1383" t="s">
        <v>165</v>
      </c>
      <c r="C729" s="1384"/>
      <c r="D729" s="1384"/>
      <c r="E729" s="1384"/>
      <c r="F729" s="1385"/>
      <c r="G729" s="1570">
        <v>25</v>
      </c>
      <c r="H729" s="1571"/>
      <c r="I729" s="1571"/>
      <c r="J729" s="1572"/>
      <c r="K729" s="1567">
        <v>976</v>
      </c>
      <c r="L729" s="1568"/>
      <c r="M729" s="1568"/>
      <c r="N729" s="1569"/>
      <c r="O729" s="1564">
        <v>1774</v>
      </c>
      <c r="P729" s="1565"/>
      <c r="Q729" s="1565"/>
      <c r="R729" s="1565"/>
      <c r="S729" s="1566"/>
      <c r="T729" s="1564">
        <v>70</v>
      </c>
      <c r="U729" s="1565"/>
      <c r="V729" s="1565"/>
      <c r="W729" s="1566"/>
      <c r="X729" s="1390">
        <f t="shared" si="49"/>
        <v>1844</v>
      </c>
      <c r="Y729" s="1391"/>
      <c r="Z729" s="1391"/>
      <c r="AA729" s="1391"/>
      <c r="AB729" s="1392"/>
      <c r="AC729" s="1402">
        <v>0.7</v>
      </c>
      <c r="AD729" s="1403"/>
      <c r="AE729" s="1403"/>
      <c r="AF729" s="1403"/>
      <c r="AG729" s="1404"/>
      <c r="AH729" s="1386">
        <f t="shared" si="50"/>
        <v>0.70007593014426728</v>
      </c>
      <c r="AI729" s="1387"/>
      <c r="AJ729" s="1388"/>
      <c r="AK729" s="1383" t="s">
        <v>600</v>
      </c>
      <c r="AL729" s="1384"/>
      <c r="AM729" s="1384"/>
      <c r="AN729" s="1384"/>
      <c r="AO729" s="1385"/>
      <c r="AP729" s="3"/>
      <c r="AQ729" s="3"/>
      <c r="AR729" s="3"/>
      <c r="AS729" s="3"/>
      <c r="AY729" s="1134"/>
      <c r="AZ729" s="1134"/>
      <c r="BA729" s="1134"/>
      <c r="BB729" s="1134"/>
      <c r="BC729" s="1134"/>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83"/>
      <c r="C730" s="1384"/>
      <c r="D730" s="1384"/>
      <c r="E730" s="1384"/>
      <c r="F730" s="1385"/>
      <c r="G730" s="1570"/>
      <c r="H730" s="1571"/>
      <c r="I730" s="1571"/>
      <c r="J730" s="1572"/>
      <c r="K730" s="1567"/>
      <c r="L730" s="1568"/>
      <c r="M730" s="1568"/>
      <c r="N730" s="1569"/>
      <c r="O730" s="1564"/>
      <c r="P730" s="1565"/>
      <c r="Q730" s="1565"/>
      <c r="R730" s="1565"/>
      <c r="S730" s="1566"/>
      <c r="T730" s="1564"/>
      <c r="U730" s="1565"/>
      <c r="V730" s="1565"/>
      <c r="W730" s="1566"/>
      <c r="X730" s="1390">
        <f t="shared" si="49"/>
        <v>0</v>
      </c>
      <c r="Y730" s="1391"/>
      <c r="Z730" s="1391"/>
      <c r="AA730" s="1391"/>
      <c r="AB730" s="1392"/>
      <c r="AC730" s="1402">
        <v>0</v>
      </c>
      <c r="AD730" s="1403"/>
      <c r="AE730" s="1403"/>
      <c r="AF730" s="1403"/>
      <c r="AG730" s="1404"/>
      <c r="AH730" s="1386" t="str">
        <f t="shared" si="50"/>
        <v xml:space="preserve"> </v>
      </c>
      <c r="AI730" s="1387"/>
      <c r="AJ730" s="1388"/>
      <c r="AK730" s="1383" t="s">
        <v>600</v>
      </c>
      <c r="AL730" s="1384"/>
      <c r="AM730" s="1384"/>
      <c r="AN730" s="1384"/>
      <c r="AO730" s="1385"/>
      <c r="AP730" s="3"/>
      <c r="AQ730" s="3"/>
      <c r="AR730" s="3"/>
      <c r="AS730" s="3"/>
      <c r="AY730" s="1134"/>
      <c r="AZ730" s="1134"/>
      <c r="BA730" s="1134"/>
      <c r="BB730" s="1134"/>
      <c r="BC730" s="1134"/>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83"/>
      <c r="C731" s="1384"/>
      <c r="D731" s="1384"/>
      <c r="E731" s="1384"/>
      <c r="F731" s="1385"/>
      <c r="G731" s="1570"/>
      <c r="H731" s="1571"/>
      <c r="I731" s="1571"/>
      <c r="J731" s="1572"/>
      <c r="K731" s="1567"/>
      <c r="L731" s="1568"/>
      <c r="M731" s="1568"/>
      <c r="N731" s="1569"/>
      <c r="O731" s="1564"/>
      <c r="P731" s="1565"/>
      <c r="Q731" s="1565"/>
      <c r="R731" s="1565"/>
      <c r="S731" s="1566"/>
      <c r="T731" s="1564"/>
      <c r="U731" s="1565"/>
      <c r="V731" s="1565"/>
      <c r="W731" s="1566"/>
      <c r="X731" s="1390">
        <f t="shared" si="49"/>
        <v>0</v>
      </c>
      <c r="Y731" s="1391"/>
      <c r="Z731" s="1391"/>
      <c r="AA731" s="1391"/>
      <c r="AB731" s="1392"/>
      <c r="AC731" s="1402">
        <v>0</v>
      </c>
      <c r="AD731" s="1403"/>
      <c r="AE731" s="1403"/>
      <c r="AF731" s="1403"/>
      <c r="AG731" s="1404"/>
      <c r="AH731" s="1386" t="str">
        <f t="shared" si="50"/>
        <v xml:space="preserve"> </v>
      </c>
      <c r="AI731" s="1387"/>
      <c r="AJ731" s="1388"/>
      <c r="AK731" s="1383" t="s">
        <v>600</v>
      </c>
      <c r="AL731" s="1384"/>
      <c r="AM731" s="1384"/>
      <c r="AN731" s="1384"/>
      <c r="AO731" s="1385"/>
      <c r="AP731" s="3"/>
      <c r="AQ731" s="3"/>
      <c r="AR731" s="3"/>
      <c r="AS731" s="3"/>
      <c r="AY731" s="1134"/>
      <c r="AZ731" s="1134"/>
      <c r="BA731" s="1134"/>
      <c r="BB731" s="1134"/>
      <c r="BC731" s="1134"/>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83"/>
      <c r="C732" s="1384"/>
      <c r="D732" s="1384"/>
      <c r="E732" s="1384"/>
      <c r="F732" s="1385"/>
      <c r="G732" s="1570"/>
      <c r="H732" s="1571"/>
      <c r="I732" s="1571"/>
      <c r="J732" s="1572"/>
      <c r="K732" s="1567"/>
      <c r="L732" s="1568"/>
      <c r="M732" s="1568"/>
      <c r="N732" s="1569"/>
      <c r="O732" s="1564"/>
      <c r="P732" s="1565"/>
      <c r="Q732" s="1565"/>
      <c r="R732" s="1565"/>
      <c r="S732" s="1566"/>
      <c r="T732" s="1564"/>
      <c r="U732" s="1565"/>
      <c r="V732" s="1565"/>
      <c r="W732" s="1566"/>
      <c r="X732" s="1390">
        <f t="shared" si="49"/>
        <v>0</v>
      </c>
      <c r="Y732" s="1391"/>
      <c r="Z732" s="1391"/>
      <c r="AA732" s="1391"/>
      <c r="AB732" s="1392"/>
      <c r="AC732" s="1402">
        <v>0</v>
      </c>
      <c r="AD732" s="1403"/>
      <c r="AE732" s="1403"/>
      <c r="AF732" s="1403"/>
      <c r="AG732" s="1404"/>
      <c r="AH732" s="1386" t="str">
        <f t="shared" si="50"/>
        <v xml:space="preserve"> </v>
      </c>
      <c r="AI732" s="1387"/>
      <c r="AJ732" s="1388"/>
      <c r="AK732" s="1383" t="s">
        <v>600</v>
      </c>
      <c r="AL732" s="1384"/>
      <c r="AM732" s="1384"/>
      <c r="AN732" s="1384"/>
      <c r="AO732" s="1385"/>
      <c r="AP732" s="3"/>
      <c r="AQ732" s="3"/>
      <c r="AR732" s="3"/>
      <c r="AS732" s="3"/>
      <c r="AY732" s="1134"/>
      <c r="AZ732" s="1134"/>
      <c r="BA732" s="1134"/>
      <c r="BB732" s="1134"/>
      <c r="BC732" s="1134"/>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83"/>
      <c r="C733" s="1384"/>
      <c r="D733" s="1384"/>
      <c r="E733" s="1384"/>
      <c r="F733" s="1385"/>
      <c r="G733" s="1570"/>
      <c r="H733" s="1571"/>
      <c r="I733" s="1571"/>
      <c r="J733" s="1572"/>
      <c r="K733" s="1567"/>
      <c r="L733" s="1568"/>
      <c r="M733" s="1568"/>
      <c r="N733" s="1569"/>
      <c r="O733" s="1564"/>
      <c r="P733" s="1565"/>
      <c r="Q733" s="1565"/>
      <c r="R733" s="1565"/>
      <c r="S733" s="1566"/>
      <c r="T733" s="1564"/>
      <c r="U733" s="1565"/>
      <c r="V733" s="1565"/>
      <c r="W733" s="1566"/>
      <c r="X733" s="1390">
        <f t="shared" si="49"/>
        <v>0</v>
      </c>
      <c r="Y733" s="1391"/>
      <c r="Z733" s="1391"/>
      <c r="AA733" s="1391"/>
      <c r="AB733" s="1392"/>
      <c r="AC733" s="1402">
        <v>0</v>
      </c>
      <c r="AD733" s="1403"/>
      <c r="AE733" s="1403"/>
      <c r="AF733" s="1403"/>
      <c r="AG733" s="1404"/>
      <c r="AH733" s="1386" t="str">
        <f t="shared" si="50"/>
        <v xml:space="preserve"> </v>
      </c>
      <c r="AI733" s="1387"/>
      <c r="AJ733" s="1388"/>
      <c r="AK733" s="1383" t="s">
        <v>600</v>
      </c>
      <c r="AL733" s="1384"/>
      <c r="AM733" s="1384"/>
      <c r="AN733" s="1384"/>
      <c r="AO733" s="1385"/>
      <c r="AP733" s="3"/>
      <c r="AQ733" s="3"/>
      <c r="AR733" s="3"/>
      <c r="AS733" s="3"/>
      <c r="AY733" s="1134"/>
      <c r="AZ733" s="1134"/>
      <c r="BA733" s="1134"/>
      <c r="BB733" s="1134"/>
      <c r="BC733" s="1134"/>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83"/>
      <c r="C734" s="1384"/>
      <c r="D734" s="1384"/>
      <c r="E734" s="1384"/>
      <c r="F734" s="1385"/>
      <c r="G734" s="1570"/>
      <c r="H734" s="1571"/>
      <c r="I734" s="1571"/>
      <c r="J734" s="1572"/>
      <c r="K734" s="1567"/>
      <c r="L734" s="1568"/>
      <c r="M734" s="1568"/>
      <c r="N734" s="1569"/>
      <c r="O734" s="1564"/>
      <c r="P734" s="1565"/>
      <c r="Q734" s="1565"/>
      <c r="R734" s="1565"/>
      <c r="S734" s="1566"/>
      <c r="T734" s="1564"/>
      <c r="U734" s="1565"/>
      <c r="V734" s="1565"/>
      <c r="W734" s="1566"/>
      <c r="X734" s="1390">
        <f t="shared" si="49"/>
        <v>0</v>
      </c>
      <c r="Y734" s="1391"/>
      <c r="Z734" s="1391"/>
      <c r="AA734" s="1391"/>
      <c r="AB734" s="1392"/>
      <c r="AC734" s="1402">
        <v>0</v>
      </c>
      <c r="AD734" s="1403"/>
      <c r="AE734" s="1403"/>
      <c r="AF734" s="1403"/>
      <c r="AG734" s="1404"/>
      <c r="AH734" s="1386" t="str">
        <f t="shared" si="50"/>
        <v xml:space="preserve"> </v>
      </c>
      <c r="AI734" s="1387"/>
      <c r="AJ734" s="1388"/>
      <c r="AK734" s="1383" t="s">
        <v>600</v>
      </c>
      <c r="AL734" s="1384"/>
      <c r="AM734" s="1384"/>
      <c r="AN734" s="1384"/>
      <c r="AO734" s="1385"/>
      <c r="AP734" s="3"/>
      <c r="AQ734" s="3"/>
      <c r="AR734" s="3"/>
      <c r="AS734" s="3"/>
      <c r="AY734" s="1134"/>
      <c r="AZ734" s="1134"/>
      <c r="BA734" s="1134"/>
      <c r="BB734" s="1134"/>
      <c r="BC734" s="1134"/>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83"/>
      <c r="C735" s="1384"/>
      <c r="D735" s="1384"/>
      <c r="E735" s="1384"/>
      <c r="F735" s="1385"/>
      <c r="G735" s="1570"/>
      <c r="H735" s="1571"/>
      <c r="I735" s="1571"/>
      <c r="J735" s="1572"/>
      <c r="K735" s="1567"/>
      <c r="L735" s="1568"/>
      <c r="M735" s="1568"/>
      <c r="N735" s="1569"/>
      <c r="O735" s="1564"/>
      <c r="P735" s="1565"/>
      <c r="Q735" s="1565"/>
      <c r="R735" s="1565"/>
      <c r="S735" s="1566"/>
      <c r="T735" s="1564"/>
      <c r="U735" s="1565"/>
      <c r="V735" s="1565"/>
      <c r="W735" s="1566"/>
      <c r="X735" s="1390">
        <f t="shared" si="49"/>
        <v>0</v>
      </c>
      <c r="Y735" s="1391"/>
      <c r="Z735" s="1391"/>
      <c r="AA735" s="1391"/>
      <c r="AB735" s="1392"/>
      <c r="AC735" s="1402">
        <v>0</v>
      </c>
      <c r="AD735" s="1403"/>
      <c r="AE735" s="1403"/>
      <c r="AF735" s="1403"/>
      <c r="AG735" s="1404"/>
      <c r="AH735" s="1386" t="str">
        <f t="shared" si="50"/>
        <v xml:space="preserve"> </v>
      </c>
      <c r="AI735" s="1387"/>
      <c r="AJ735" s="1388"/>
      <c r="AK735" s="1383" t="s">
        <v>600</v>
      </c>
      <c r="AL735" s="1384"/>
      <c r="AM735" s="1384"/>
      <c r="AN735" s="1384"/>
      <c r="AO735" s="1385"/>
      <c r="AP735" s="3"/>
      <c r="AQ735" s="3"/>
      <c r="AR735" s="3"/>
      <c r="AS735" s="3"/>
      <c r="AY735" s="1134"/>
      <c r="AZ735" s="1134"/>
      <c r="BA735" s="1134"/>
      <c r="BB735" s="1134"/>
      <c r="BC735" s="1134"/>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83"/>
      <c r="C736" s="1384"/>
      <c r="D736" s="1384"/>
      <c r="E736" s="1384"/>
      <c r="F736" s="1385"/>
      <c r="G736" s="1570"/>
      <c r="H736" s="1571"/>
      <c r="I736" s="1571"/>
      <c r="J736" s="1572"/>
      <c r="K736" s="1567"/>
      <c r="L736" s="1568"/>
      <c r="M736" s="1568"/>
      <c r="N736" s="1569"/>
      <c r="O736" s="1564"/>
      <c r="P736" s="1565"/>
      <c r="Q736" s="1565"/>
      <c r="R736" s="1565"/>
      <c r="S736" s="1566"/>
      <c r="T736" s="1564"/>
      <c r="U736" s="1565"/>
      <c r="V736" s="1565"/>
      <c r="W736" s="1566"/>
      <c r="X736" s="1390">
        <f t="shared" si="49"/>
        <v>0</v>
      </c>
      <c r="Y736" s="1391"/>
      <c r="Z736" s="1391"/>
      <c r="AA736" s="1391"/>
      <c r="AB736" s="1392"/>
      <c r="AC736" s="1402">
        <v>0</v>
      </c>
      <c r="AD736" s="1403"/>
      <c r="AE736" s="1403"/>
      <c r="AF736" s="1403"/>
      <c r="AG736" s="1404"/>
      <c r="AH736" s="1386" t="str">
        <f t="shared" si="50"/>
        <v xml:space="preserve"> </v>
      </c>
      <c r="AI736" s="1387"/>
      <c r="AJ736" s="1388"/>
      <c r="AK736" s="1383" t="s">
        <v>600</v>
      </c>
      <c r="AL736" s="1384"/>
      <c r="AM736" s="1384"/>
      <c r="AN736" s="1384"/>
      <c r="AO736" s="1385"/>
      <c r="AP736" s="3"/>
      <c r="AQ736" s="3"/>
      <c r="AR736" s="3"/>
      <c r="AS736" s="3"/>
      <c r="AY736" s="1134"/>
      <c r="AZ736" s="1134"/>
      <c r="BA736" s="1134"/>
      <c r="BB736" s="1134"/>
      <c r="BC736" s="1134"/>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83"/>
      <c r="C737" s="1384"/>
      <c r="D737" s="1384"/>
      <c r="E737" s="1384"/>
      <c r="F737" s="1385"/>
      <c r="G737" s="1570"/>
      <c r="H737" s="1571"/>
      <c r="I737" s="1571"/>
      <c r="J737" s="1572"/>
      <c r="K737" s="1567"/>
      <c r="L737" s="1568"/>
      <c r="M737" s="1568"/>
      <c r="N737" s="1569"/>
      <c r="O737" s="1564"/>
      <c r="P737" s="1565"/>
      <c r="Q737" s="1565"/>
      <c r="R737" s="1565"/>
      <c r="S737" s="1566"/>
      <c r="T737" s="1564"/>
      <c r="U737" s="1565"/>
      <c r="V737" s="1565"/>
      <c r="W737" s="1566"/>
      <c r="X737" s="1390">
        <f t="shared" si="49"/>
        <v>0</v>
      </c>
      <c r="Y737" s="1391"/>
      <c r="Z737" s="1391"/>
      <c r="AA737" s="1391"/>
      <c r="AB737" s="1392"/>
      <c r="AC737" s="1402">
        <v>0</v>
      </c>
      <c r="AD737" s="1403"/>
      <c r="AE737" s="1403"/>
      <c r="AF737" s="1403"/>
      <c r="AG737" s="1404"/>
      <c r="AH737" s="1386" t="str">
        <f t="shared" si="50"/>
        <v xml:space="preserve"> </v>
      </c>
      <c r="AI737" s="1387"/>
      <c r="AJ737" s="1388"/>
      <c r="AK737" s="1383" t="s">
        <v>600</v>
      </c>
      <c r="AL737" s="1384"/>
      <c r="AM737" s="1384"/>
      <c r="AN737" s="1384"/>
      <c r="AO737" s="1385"/>
      <c r="AP737" s="3"/>
      <c r="AQ737" s="3"/>
      <c r="AR737" s="3"/>
      <c r="AS737" s="3"/>
      <c r="AY737" s="1134"/>
      <c r="AZ737" s="1134"/>
      <c r="BA737" s="1134"/>
      <c r="BB737" s="1134"/>
      <c r="BC737" s="1134"/>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83"/>
      <c r="C738" s="1384"/>
      <c r="D738" s="1384"/>
      <c r="E738" s="1384"/>
      <c r="F738" s="1385"/>
      <c r="G738" s="1570"/>
      <c r="H738" s="1571"/>
      <c r="I738" s="1571"/>
      <c r="J738" s="1572"/>
      <c r="K738" s="1567"/>
      <c r="L738" s="1568"/>
      <c r="M738" s="1568"/>
      <c r="N738" s="1569"/>
      <c r="O738" s="1564"/>
      <c r="P738" s="1565"/>
      <c r="Q738" s="1565"/>
      <c r="R738" s="1565"/>
      <c r="S738" s="1566"/>
      <c r="T738" s="1564"/>
      <c r="U738" s="1565"/>
      <c r="V738" s="1565"/>
      <c r="W738" s="1566"/>
      <c r="X738" s="1390">
        <f t="shared" si="49"/>
        <v>0</v>
      </c>
      <c r="Y738" s="1391"/>
      <c r="Z738" s="1391"/>
      <c r="AA738" s="1391"/>
      <c r="AB738" s="1392"/>
      <c r="AC738" s="1402">
        <v>0</v>
      </c>
      <c r="AD738" s="1403"/>
      <c r="AE738" s="1403"/>
      <c r="AF738" s="1403"/>
      <c r="AG738" s="1404"/>
      <c r="AH738" s="1386" t="str">
        <f t="shared" si="50"/>
        <v xml:space="preserve"> </v>
      </c>
      <c r="AI738" s="1387"/>
      <c r="AJ738" s="1388"/>
      <c r="AK738" s="1383" t="s">
        <v>600</v>
      </c>
      <c r="AL738" s="1384"/>
      <c r="AM738" s="1384"/>
      <c r="AN738" s="1384"/>
      <c r="AO738" s="1385"/>
      <c r="AP738" s="3"/>
      <c r="AQ738" s="3"/>
      <c r="AR738" s="3"/>
      <c r="AS738" s="3"/>
      <c r="AY738" s="1134"/>
      <c r="AZ738" s="1134"/>
      <c r="BA738" s="1134"/>
      <c r="BB738" s="1134"/>
      <c r="BC738" s="1134"/>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577" t="s">
        <v>126</v>
      </c>
      <c r="C739" s="1578"/>
      <c r="D739" s="1578"/>
      <c r="E739" s="1578"/>
      <c r="F739" s="1579"/>
      <c r="G739" s="1574">
        <f>SUM(G714:J738)</f>
        <v>166</v>
      </c>
      <c r="H739" s="1575"/>
      <c r="I739" s="1575"/>
      <c r="J739" s="1576"/>
      <c r="K739" s="939" t="s">
        <v>125</v>
      </c>
      <c r="L739" s="5"/>
      <c r="M739" s="5"/>
      <c r="N739" s="46"/>
      <c r="O739" s="1390">
        <f>SUMPRODUCT(G714:G738,O714:O738)</f>
        <v>212409</v>
      </c>
      <c r="P739" s="1391"/>
      <c r="Q739" s="1391"/>
      <c r="R739" s="1391"/>
      <c r="S739" s="1392"/>
      <c r="X739" s="941" t="s">
        <v>933</v>
      </c>
      <c r="Y739" s="940"/>
      <c r="Z739" s="940"/>
      <c r="AA739" s="940"/>
      <c r="AB739" s="942"/>
      <c r="AC739" s="1580">
        <f>BI682</f>
        <v>0.59879518072289151</v>
      </c>
      <c r="AD739" s="1581"/>
      <c r="AE739" s="1581"/>
      <c r="AF739" s="1581"/>
      <c r="AG739" s="1582"/>
      <c r="AH739" s="1580">
        <f>BI714</f>
        <v>0.5976501678696563</v>
      </c>
      <c r="AI739" s="1581"/>
      <c r="AJ739" s="1582"/>
      <c r="AP739" s="219"/>
      <c r="AQ739" s="219"/>
      <c r="AR739" s="219"/>
      <c r="AS739" s="219"/>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806" t="s">
        <v>2257</v>
      </c>
      <c r="C740" s="1806"/>
      <c r="D740" s="1806"/>
      <c r="E740" s="1806"/>
      <c r="F740" s="1806"/>
      <c r="G740" s="1806"/>
      <c r="H740" s="1806"/>
      <c r="I740" s="1806"/>
      <c r="J740" s="1806"/>
      <c r="K740" s="1806"/>
      <c r="L740" s="1806"/>
      <c r="M740" s="1806"/>
      <c r="N740" s="1806"/>
      <c r="O740" s="1806"/>
      <c r="P740" s="1806"/>
      <c r="Q740" s="1806"/>
      <c r="R740" s="1806"/>
      <c r="S740" s="1806"/>
      <c r="T740" s="1806"/>
      <c r="U740" s="1806"/>
      <c r="V740" s="1806"/>
      <c r="W740" s="1806"/>
      <c r="X740" s="1806"/>
      <c r="Y740" s="1806"/>
      <c r="Z740" s="1806"/>
      <c r="AA740" s="1806"/>
      <c r="AB740" s="1806"/>
      <c r="AC740" s="1806"/>
      <c r="AD740" s="1806"/>
      <c r="AE740" s="1806"/>
      <c r="AF740" s="1806"/>
      <c r="AG740" s="1806"/>
      <c r="AH740" s="1806"/>
      <c r="AL740" s="3"/>
      <c r="AM740" s="3"/>
      <c r="AN740" s="3"/>
      <c r="AO740" s="3"/>
      <c r="AP740" s="3"/>
      <c r="AQ740" s="3"/>
      <c r="AR740" s="3"/>
      <c r="AS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806"/>
      <c r="C741" s="1806"/>
      <c r="D741" s="1806"/>
      <c r="E741" s="1806"/>
      <c r="F741" s="1806"/>
      <c r="G741" s="1806"/>
      <c r="H741" s="1806"/>
      <c r="I741" s="1806"/>
      <c r="J741" s="1806"/>
      <c r="K741" s="1806"/>
      <c r="L741" s="1806"/>
      <c r="M741" s="1806"/>
      <c r="N741" s="1806"/>
      <c r="O741" s="1806"/>
      <c r="P741" s="1806"/>
      <c r="Q741" s="1806"/>
      <c r="R741" s="1806"/>
      <c r="S741" s="1806"/>
      <c r="T741" s="1806"/>
      <c r="U741" s="1806"/>
      <c r="V741" s="1806"/>
      <c r="W741" s="1806"/>
      <c r="X741" s="1806"/>
      <c r="Y741" s="1806"/>
      <c r="Z741" s="1806"/>
      <c r="AA741" s="1806"/>
      <c r="AB741" s="1806"/>
      <c r="AC741" s="1806"/>
      <c r="AD741" s="1806"/>
      <c r="AE741" s="1806"/>
      <c r="AF741" s="1806"/>
      <c r="AG741" s="1806"/>
      <c r="AH741" s="1806"/>
      <c r="AL741" s="3"/>
      <c r="AM741" s="3"/>
      <c r="AN741" s="3"/>
      <c r="AO741" s="3"/>
      <c r="AP741" s="3"/>
      <c r="AQ741" s="3"/>
      <c r="AR741" s="3"/>
      <c r="AS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s="3" customFormat="1" ht="12.95" customHeight="1">
      <c r="C742" s="118" t="s">
        <v>2255</v>
      </c>
      <c r="D742" s="1076"/>
      <c r="E742" s="1076"/>
      <c r="F742" s="1076"/>
      <c r="G742" s="1077"/>
      <c r="H742" s="1077"/>
      <c r="I742" s="1077"/>
      <c r="J742" s="1077"/>
      <c r="K742" s="1076"/>
      <c r="L742" s="1076"/>
      <c r="M742" s="1076"/>
      <c r="N742" s="1076"/>
      <c r="O742" s="1419">
        <f>CS623</f>
        <v>317</v>
      </c>
      <c r="P742" s="1419"/>
      <c r="Q742" s="1419"/>
      <c r="R742" s="1419"/>
      <c r="S742" s="1006"/>
      <c r="T742" s="1006"/>
      <c r="U742" s="118" t="s">
        <v>2256</v>
      </c>
      <c r="V742" s="1076"/>
      <c r="W742" s="1076"/>
      <c r="X742" s="1076"/>
      <c r="Y742" s="1077"/>
      <c r="Z742" s="1077"/>
      <c r="AA742" s="1077"/>
      <c r="AB742" s="1077"/>
      <c r="AC742" s="1076"/>
      <c r="AD742" s="1076"/>
      <c r="AE742" s="1076"/>
      <c r="AF742" s="1076"/>
      <c r="AG742" s="1681"/>
      <c r="AH742" s="1681"/>
      <c r="AI742" s="1681"/>
      <c r="AJ742" s="1681"/>
      <c r="AT742"/>
      <c r="AU742"/>
      <c r="AV742"/>
      <c r="AW742"/>
      <c r="AX742"/>
      <c r="AY742"/>
    </row>
    <row r="743" spans="1:16383" ht="12.95" customHeight="1">
      <c r="B743" s="57"/>
      <c r="E743" s="56"/>
      <c r="F743" s="56"/>
      <c r="G743" s="341"/>
      <c r="H743" s="341"/>
      <c r="I743" s="341"/>
      <c r="J743" s="341"/>
      <c r="K743" s="56"/>
      <c r="L743" s="56"/>
      <c r="M743" s="56"/>
      <c r="N743" s="56"/>
      <c r="O743" s="56"/>
      <c r="P743" s="185"/>
      <c r="Q743" s="185"/>
      <c r="R743" s="185"/>
      <c r="S743" s="185"/>
      <c r="T743" s="185"/>
      <c r="Y743" s="312"/>
      <c r="Z743" s="312"/>
      <c r="AA743" s="312"/>
      <c r="AB743" s="312"/>
      <c r="AH743" s="312"/>
      <c r="AI743" s="312"/>
      <c r="AJ743" s="312"/>
      <c r="AK743" s="312"/>
      <c r="AL743" s="312"/>
      <c r="AP743" s="312"/>
      <c r="AQ743" s="312"/>
      <c r="AR743" s="312"/>
      <c r="AS743" s="312"/>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row>
    <row r="744" spans="1:16383" ht="12.95" customHeight="1">
      <c r="B744" s="3"/>
      <c r="C744" s="118" t="s">
        <v>2254</v>
      </c>
      <c r="D744" s="1078"/>
      <c r="E744" s="1078"/>
      <c r="F744" s="1078"/>
      <c r="G744" s="1078"/>
      <c r="H744" s="1078"/>
      <c r="I744" s="1078"/>
      <c r="J744" s="1078"/>
      <c r="K744" s="1078"/>
      <c r="L744" s="1078"/>
      <c r="M744" s="1078"/>
      <c r="N744" s="1078"/>
      <c r="O744" s="1078"/>
      <c r="P744" s="1078"/>
      <c r="Q744" s="1078"/>
      <c r="R744" s="1078"/>
      <c r="S744" s="1078"/>
      <c r="T744" s="1078"/>
      <c r="U744" s="1078"/>
      <c r="V744" s="1078"/>
      <c r="W744" s="1078"/>
      <c r="X744" s="1078"/>
      <c r="Y744" s="1078"/>
      <c r="Z744" s="1078"/>
      <c r="AA744" s="1078"/>
      <c r="AB744" s="1078"/>
      <c r="AC744" s="1078"/>
      <c r="AD744" s="1740" t="s">
        <v>600</v>
      </c>
      <c r="AE744" s="1740"/>
      <c r="AF744" s="1740"/>
      <c r="AG744" s="1078"/>
      <c r="AH744" s="1078"/>
      <c r="AI744" s="1078"/>
      <c r="AJ744" s="1078"/>
      <c r="AK744" s="1078"/>
      <c r="AL744" s="1078"/>
      <c r="AM744" s="1078"/>
      <c r="AN744" s="1078"/>
      <c r="AO744" s="1078"/>
      <c r="AP744" s="1078"/>
      <c r="AQ744" s="1078"/>
      <c r="AR744" s="1078"/>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C745" s="1079" t="s">
        <v>2511</v>
      </c>
      <c r="D745" s="1078"/>
      <c r="E745" s="1078"/>
      <c r="F745" s="1078"/>
      <c r="G745" s="1078"/>
      <c r="H745" s="1078"/>
      <c r="I745" s="1078"/>
      <c r="J745" s="1078"/>
      <c r="K745" s="1078"/>
      <c r="L745" s="1078"/>
      <c r="M745" s="1078"/>
      <c r="N745" s="1078"/>
      <c r="O745" s="1078"/>
      <c r="P745" s="1078"/>
      <c r="Q745" s="1078"/>
      <c r="R745" s="1078"/>
      <c r="S745" s="1078"/>
      <c r="T745" s="1078"/>
      <c r="U745" s="1078"/>
      <c r="V745" s="1078"/>
      <c r="W745" s="1078"/>
      <c r="X745" s="1078"/>
      <c r="Y745" s="1078"/>
      <c r="Z745" s="1078"/>
      <c r="AA745" s="1078"/>
      <c r="AB745" s="1078"/>
      <c r="AC745" s="1078"/>
      <c r="AD745" s="1078"/>
      <c r="AE745" s="1078"/>
      <c r="AF745" s="1078"/>
      <c r="AG745" s="1078"/>
      <c r="AH745" s="1078"/>
      <c r="AI745" s="1078"/>
      <c r="AJ745" s="1078"/>
      <c r="AK745" s="1078"/>
      <c r="AL745" s="1078"/>
      <c r="AM745" s="1078"/>
      <c r="AN745" s="1078"/>
      <c r="AO745" s="1078"/>
      <c r="AP745" s="1078"/>
      <c r="AQ745" s="1078"/>
      <c r="AR745" s="1078"/>
      <c r="AZ745" s="3"/>
      <c r="BA745" s="3"/>
      <c r="BB745" s="312"/>
      <c r="BC745" s="312"/>
      <c r="BD745" s="312"/>
      <c r="BE745" s="312"/>
      <c r="BF745" s="312"/>
      <c r="BG745" s="312"/>
      <c r="BH745" s="312"/>
      <c r="BI745" s="312"/>
      <c r="BJ745" s="312"/>
      <c r="BK745" s="312"/>
      <c r="BL745" s="312"/>
      <c r="BM745" s="312"/>
      <c r="BN745" s="312"/>
      <c r="BO745" s="312"/>
      <c r="BP745" s="312"/>
      <c r="BQ745" s="312"/>
      <c r="BR745" s="312"/>
      <c r="BS745" s="312"/>
      <c r="BT745" s="312"/>
      <c r="BU745" s="312"/>
      <c r="BV745" s="312"/>
      <c r="BW745" s="312"/>
      <c r="BX745" s="312"/>
      <c r="BY745" s="312"/>
      <c r="BZ745" s="312"/>
      <c r="CA745" s="312"/>
      <c r="CB745" s="312"/>
      <c r="CC745" s="312"/>
      <c r="CE745" s="3"/>
      <c r="CF745" s="312"/>
      <c r="CG745" s="312"/>
      <c r="CH745" s="312"/>
      <c r="CI745" s="312"/>
      <c r="CJ745" s="312"/>
      <c r="CK745" s="312"/>
      <c r="CL745" s="312"/>
      <c r="CM745" s="312"/>
      <c r="CN745" s="312"/>
      <c r="CO745" s="312"/>
      <c r="CP745" s="312"/>
      <c r="CQ745" s="312"/>
      <c r="CR745" s="312"/>
      <c r="CS745" s="312"/>
      <c r="CT745" s="312"/>
      <c r="CU745" s="312"/>
      <c r="CV745" s="312"/>
      <c r="CW745" s="312"/>
      <c r="CX745" s="312"/>
      <c r="CY745" s="312"/>
      <c r="CZ745" s="312"/>
      <c r="DA745" s="312"/>
      <c r="DB745" s="312"/>
      <c r="DC745" s="312"/>
      <c r="DD745" s="312"/>
      <c r="DE745" s="312"/>
      <c r="DF745" s="312"/>
      <c r="DG745" s="312"/>
      <c r="DH745" s="312"/>
      <c r="DI745" s="312"/>
      <c r="DJ745" s="312"/>
      <c r="DK745" s="312"/>
      <c r="DL745" s="312"/>
      <c r="DM745" s="312"/>
      <c r="DN745" s="312"/>
      <c r="DO745" s="312"/>
      <c r="DP745" s="312"/>
      <c r="DQ745" s="312"/>
      <c r="DR745" s="312"/>
      <c r="DS745" s="312"/>
      <c r="DT745" s="312"/>
      <c r="DU745" s="312"/>
      <c r="DV745" s="312"/>
      <c r="DW745" s="312"/>
      <c r="DX745" s="312"/>
      <c r="DY745" s="312"/>
      <c r="DZ745" s="312"/>
      <c r="EA745" s="312"/>
      <c r="EB745" s="312"/>
      <c r="EC745" s="312"/>
      <c r="ED745" s="312"/>
      <c r="EE745" s="312"/>
      <c r="EF745" s="312"/>
      <c r="EG745" s="312"/>
      <c r="EH745" s="312"/>
      <c r="EI745" s="312"/>
      <c r="EJ745" s="312"/>
      <c r="EK745" s="312"/>
      <c r="EL745" s="312"/>
      <c r="EM745" s="312"/>
      <c r="EN745" s="312"/>
      <c r="EO745" s="312"/>
      <c r="EP745" s="312"/>
      <c r="EQ745" s="312"/>
      <c r="ER745" s="312"/>
      <c r="ES745" s="312"/>
      <c r="ET745" s="312"/>
      <c r="EU745" s="312"/>
      <c r="EV745" s="312"/>
      <c r="EW745" s="312"/>
      <c r="EX745" s="312"/>
      <c r="EY745" s="312"/>
      <c r="EZ745" s="312"/>
      <c r="FA745" s="312"/>
      <c r="FB745" s="312"/>
      <c r="FC745" s="312"/>
      <c r="FD745" s="312"/>
      <c r="FE745" s="312"/>
      <c r="FF745" s="312"/>
      <c r="FG745" s="312"/>
      <c r="FH745" s="312"/>
      <c r="FI745" s="312"/>
      <c r="FJ745" s="312"/>
      <c r="FK745" s="312"/>
      <c r="FL745" s="312"/>
      <c r="FM745" s="312"/>
      <c r="FN745" s="312"/>
      <c r="FO745" s="312"/>
      <c r="FP745" s="312"/>
      <c r="FQ745" s="312"/>
      <c r="FR745" s="312"/>
      <c r="FS745" s="312"/>
      <c r="FT745" s="312"/>
      <c r="FU745" s="312"/>
      <c r="FV745" s="312"/>
      <c r="FW745" s="312"/>
      <c r="FX745" s="312"/>
      <c r="FY745" s="312"/>
      <c r="FZ745" s="312"/>
      <c r="GA745" s="312"/>
      <c r="GB745" s="312"/>
      <c r="GC745" s="312"/>
      <c r="GD745" s="312"/>
      <c r="GE745" s="312"/>
      <c r="GF745" s="312"/>
      <c r="GG745" s="312"/>
      <c r="GH745" s="312"/>
      <c r="GI745" s="312"/>
      <c r="GJ745" s="312"/>
      <c r="GK745" s="312"/>
      <c r="GL745" s="312"/>
      <c r="GM745" s="312"/>
      <c r="GN745" s="312"/>
      <c r="GO745" s="312"/>
      <c r="GP745" s="312"/>
      <c r="GQ745" s="312"/>
      <c r="GR745" s="312"/>
      <c r="GS745" s="312"/>
      <c r="GT745" s="312"/>
      <c r="GU745" s="312"/>
      <c r="GV745" s="312"/>
      <c r="GW745" s="312"/>
      <c r="GX745" s="312"/>
      <c r="GY745" s="312"/>
      <c r="GZ745" s="312"/>
      <c r="HA745" s="312"/>
      <c r="HB745" s="312"/>
      <c r="HC745" s="312"/>
      <c r="HD745" s="312"/>
      <c r="HE745" s="312"/>
      <c r="HF745" s="312"/>
      <c r="HG745" s="312"/>
      <c r="HH745" s="312"/>
      <c r="HI745" s="312"/>
      <c r="HJ745" s="312"/>
      <c r="HK745" s="312"/>
      <c r="HL745" s="312"/>
      <c r="HM745" s="312"/>
      <c r="HN745" s="312"/>
      <c r="HO745" s="312"/>
      <c r="HP745" s="312"/>
      <c r="HQ745" s="312"/>
      <c r="HR745" s="312"/>
      <c r="HS745" s="312"/>
      <c r="HT745" s="312"/>
      <c r="HU745" s="312"/>
      <c r="HV745" s="312"/>
      <c r="HW745" s="312"/>
      <c r="HX745" s="312"/>
      <c r="HY745" s="312"/>
      <c r="HZ745" s="312"/>
      <c r="IA745" s="312"/>
      <c r="IB745" s="312"/>
      <c r="IC745" s="312"/>
      <c r="ID745" s="312"/>
      <c r="IE745" s="312"/>
      <c r="IF745" s="312"/>
      <c r="IG745" s="312"/>
      <c r="IH745" s="312"/>
      <c r="II745" s="312"/>
      <c r="IJ745" s="312"/>
      <c r="IK745" s="312"/>
      <c r="IL745" s="312"/>
      <c r="IM745" s="312"/>
      <c r="IN745" s="312"/>
      <c r="IO745" s="312"/>
      <c r="IP745" s="312"/>
      <c r="IQ745" s="312"/>
      <c r="IR745" s="312"/>
      <c r="IS745" s="312"/>
      <c r="IT745" s="312"/>
      <c r="IU745" s="312"/>
      <c r="IV745" s="312"/>
      <c r="IW745" s="312"/>
      <c r="IX745" s="312"/>
      <c r="IY745" s="312"/>
      <c r="IZ745" s="312"/>
      <c r="JA745" s="312"/>
      <c r="JB745" s="312"/>
      <c r="JC745" s="312"/>
      <c r="JD745" s="312"/>
      <c r="JE745" s="312"/>
      <c r="JF745" s="312"/>
      <c r="JG745" s="312"/>
      <c r="JH745" s="312"/>
      <c r="JI745" s="312"/>
      <c r="JJ745" s="312"/>
      <c r="JK745" s="312"/>
      <c r="JL745" s="312"/>
      <c r="JM745" s="312"/>
      <c r="JN745" s="312"/>
      <c r="JO745" s="312"/>
      <c r="JP745" s="312"/>
      <c r="JQ745" s="312"/>
      <c r="JR745" s="312"/>
      <c r="JS745" s="312"/>
      <c r="JT745" s="312"/>
      <c r="JU745" s="312"/>
      <c r="JV745" s="312"/>
      <c r="JW745" s="312"/>
      <c r="JX745" s="312"/>
      <c r="JY745" s="312"/>
      <c r="JZ745" s="312"/>
      <c r="KA745" s="312"/>
      <c r="KB745" s="312"/>
      <c r="KC745" s="312"/>
      <c r="KD745" s="312"/>
      <c r="KE745" s="312"/>
      <c r="KF745" s="312"/>
      <c r="KG745" s="312"/>
      <c r="KH745" s="312"/>
      <c r="KI745" s="312"/>
      <c r="KJ745" s="312"/>
      <c r="KK745" s="312"/>
      <c r="KL745" s="312"/>
      <c r="KM745" s="312"/>
      <c r="KN745" s="312"/>
      <c r="KO745" s="312"/>
      <c r="KP745" s="312"/>
      <c r="KQ745" s="312"/>
      <c r="KR745" s="312"/>
      <c r="KS745" s="312"/>
      <c r="KT745" s="312"/>
      <c r="KU745" s="312"/>
      <c r="KV745" s="312"/>
      <c r="KW745" s="312"/>
      <c r="KX745" s="312"/>
      <c r="KY745" s="312"/>
      <c r="KZ745" s="312"/>
      <c r="LA745" s="312"/>
      <c r="LB745" s="312"/>
      <c r="LC745" s="312"/>
      <c r="LD745" s="312"/>
      <c r="LE745" s="312"/>
      <c r="LF745" s="312"/>
      <c r="LG745" s="312"/>
      <c r="LH745" s="312"/>
      <c r="LI745" s="312"/>
      <c r="LJ745" s="312"/>
      <c r="LK745" s="312"/>
      <c r="LL745" s="312"/>
      <c r="LM745" s="312"/>
      <c r="LN745" s="312"/>
      <c r="LO745" s="312"/>
      <c r="LP745" s="312"/>
      <c r="LQ745" s="312"/>
      <c r="LR745" s="312"/>
      <c r="LS745" s="312"/>
      <c r="LT745" s="312"/>
      <c r="LU745" s="312"/>
      <c r="LV745" s="312"/>
      <c r="LW745" s="312"/>
      <c r="LX745" s="312"/>
      <c r="LY745" s="312"/>
      <c r="LZ745" s="312"/>
      <c r="MA745" s="312"/>
      <c r="MB745" s="312"/>
      <c r="MC745" s="312"/>
      <c r="MD745" s="312"/>
      <c r="ME745" s="312"/>
      <c r="MF745" s="312"/>
      <c r="MG745" s="312"/>
      <c r="MH745" s="312"/>
      <c r="MI745" s="312"/>
      <c r="MJ745" s="312"/>
      <c r="MK745" s="312"/>
      <c r="ML745" s="312"/>
      <c r="MM745" s="312"/>
      <c r="MN745" s="312"/>
      <c r="MO745" s="312"/>
      <c r="MP745" s="312"/>
      <c r="MQ745" s="312"/>
      <c r="MR745" s="312"/>
      <c r="MS745" s="312"/>
      <c r="MT745" s="312"/>
      <c r="MU745" s="312"/>
      <c r="MV745" s="312"/>
      <c r="MW745" s="312"/>
      <c r="MX745" s="312"/>
      <c r="MY745" s="312"/>
      <c r="MZ745" s="312"/>
      <c r="NA745" s="312"/>
      <c r="NB745" s="312"/>
      <c r="NC745" s="312"/>
      <c r="ND745" s="312"/>
      <c r="NE745" s="312"/>
      <c r="NF745" s="312"/>
      <c r="NG745" s="312"/>
      <c r="NH745" s="312"/>
      <c r="NI745" s="312"/>
      <c r="NJ745" s="312"/>
      <c r="NK745" s="312"/>
      <c r="NL745" s="312"/>
      <c r="NM745" s="312"/>
      <c r="NN745" s="312"/>
      <c r="NO745" s="312"/>
      <c r="NP745" s="312"/>
      <c r="NQ745" s="312"/>
      <c r="NR745" s="312"/>
      <c r="NS745" s="312"/>
      <c r="NT745" s="312"/>
      <c r="NU745" s="312"/>
      <c r="NV745" s="312"/>
      <c r="NW745" s="312"/>
      <c r="NX745" s="312"/>
      <c r="NY745" s="312"/>
      <c r="NZ745" s="312"/>
      <c r="OA745" s="312"/>
      <c r="OB745" s="312"/>
      <c r="OC745" s="312"/>
      <c r="OD745" s="312"/>
      <c r="OE745" s="312"/>
      <c r="OF745" s="312"/>
      <c r="OG745" s="312"/>
      <c r="OH745" s="312"/>
      <c r="OI745" s="312"/>
      <c r="OJ745" s="312"/>
      <c r="OK745" s="312"/>
      <c r="OL745" s="312"/>
      <c r="OM745" s="312"/>
      <c r="ON745" s="312"/>
      <c r="OO745" s="312"/>
      <c r="OP745" s="312"/>
      <c r="OQ745" s="312"/>
      <c r="OR745" s="312"/>
      <c r="OS745" s="312"/>
      <c r="OT745" s="312"/>
      <c r="OU745" s="312"/>
      <c r="OV745" s="312"/>
      <c r="OW745" s="312"/>
      <c r="OX745" s="312"/>
      <c r="OY745" s="312"/>
      <c r="OZ745" s="312"/>
      <c r="PA745" s="312"/>
      <c r="PB745" s="312"/>
      <c r="PC745" s="312"/>
      <c r="PD745" s="312"/>
      <c r="PE745" s="312"/>
      <c r="PF745" s="312"/>
      <c r="PG745" s="312"/>
      <c r="PH745" s="312"/>
      <c r="PI745" s="312"/>
      <c r="PJ745" s="312"/>
      <c r="PK745" s="312"/>
      <c r="PL745" s="312"/>
      <c r="PM745" s="312"/>
      <c r="PN745" s="312"/>
      <c r="PO745" s="312"/>
      <c r="PP745" s="312"/>
      <c r="PQ745" s="312"/>
      <c r="PR745" s="312"/>
      <c r="PS745" s="312"/>
      <c r="PT745" s="312"/>
      <c r="PU745" s="312"/>
      <c r="PV745" s="312"/>
      <c r="PW745" s="312"/>
      <c r="PX745" s="312"/>
      <c r="PY745" s="312"/>
      <c r="PZ745" s="312"/>
      <c r="QA745" s="312"/>
      <c r="QB745" s="312"/>
      <c r="QC745" s="312"/>
      <c r="QD745" s="312"/>
      <c r="QE745" s="312"/>
      <c r="QF745" s="312"/>
      <c r="QG745" s="312"/>
      <c r="QH745" s="312"/>
      <c r="QI745" s="312"/>
      <c r="QJ745" s="312"/>
      <c r="QK745" s="312"/>
      <c r="QL745" s="312"/>
      <c r="QM745" s="312"/>
      <c r="QN745" s="312"/>
      <c r="QO745" s="312"/>
      <c r="QP745" s="312"/>
      <c r="QQ745" s="312"/>
      <c r="QR745" s="312"/>
      <c r="QS745" s="312"/>
      <c r="QT745" s="312"/>
      <c r="QU745" s="312"/>
      <c r="QV745" s="312"/>
      <c r="QW745" s="312"/>
      <c r="QX745" s="312"/>
      <c r="QY745" s="312"/>
      <c r="QZ745" s="312"/>
      <c r="RA745" s="312"/>
      <c r="RB745" s="312"/>
      <c r="RC745" s="312"/>
      <c r="RD745" s="312"/>
      <c r="RE745" s="312"/>
      <c r="RF745" s="312"/>
      <c r="RG745" s="312"/>
      <c r="RH745" s="312"/>
      <c r="RI745" s="312"/>
      <c r="RJ745" s="312"/>
      <c r="RK745" s="312"/>
      <c r="RL745" s="312"/>
      <c r="RM745" s="312"/>
      <c r="RN745" s="312"/>
      <c r="RO745" s="312"/>
      <c r="RP745" s="312"/>
      <c r="RQ745" s="312"/>
      <c r="RR745" s="312"/>
      <c r="RS745" s="312"/>
      <c r="RT745" s="312"/>
      <c r="RU745" s="312"/>
      <c r="RV745" s="312"/>
      <c r="RW745" s="312"/>
      <c r="RX745" s="312"/>
      <c r="RY745" s="312"/>
      <c r="RZ745" s="312"/>
      <c r="SA745" s="312"/>
      <c r="SB745" s="312"/>
      <c r="SC745" s="312"/>
      <c r="SD745" s="312"/>
      <c r="SE745" s="312"/>
      <c r="SF745" s="312"/>
      <c r="SG745" s="312"/>
      <c r="SH745" s="312"/>
      <c r="SI745" s="312"/>
      <c r="SJ745" s="312"/>
      <c r="SK745" s="312"/>
      <c r="SL745" s="312"/>
      <c r="SM745" s="312"/>
      <c r="SN745" s="312"/>
      <c r="SO745" s="312"/>
      <c r="SP745" s="312"/>
      <c r="SQ745" s="312"/>
      <c r="SR745" s="312"/>
      <c r="SS745" s="312"/>
      <c r="ST745" s="312"/>
      <c r="SU745" s="312"/>
      <c r="SV745" s="312"/>
      <c r="SW745" s="312"/>
      <c r="SX745" s="312"/>
      <c r="SY745" s="312"/>
      <c r="SZ745" s="312"/>
      <c r="TA745" s="312"/>
      <c r="TB745" s="312"/>
      <c r="TC745" s="312"/>
      <c r="TD745" s="312"/>
      <c r="TE745" s="312"/>
      <c r="TF745" s="312"/>
      <c r="TG745" s="312"/>
      <c r="TH745" s="312"/>
      <c r="TI745" s="312"/>
      <c r="TJ745" s="312"/>
      <c r="TK745" s="312"/>
      <c r="TL745" s="312"/>
      <c r="TM745" s="312"/>
      <c r="TN745" s="312"/>
      <c r="TO745" s="312"/>
      <c r="TP745" s="312"/>
      <c r="TQ745" s="312"/>
      <c r="TR745" s="312"/>
      <c r="TS745" s="312"/>
      <c r="TT745" s="312"/>
      <c r="TU745" s="312"/>
      <c r="TV745" s="312"/>
      <c r="TW745" s="312"/>
      <c r="TX745" s="312"/>
      <c r="TY745" s="312"/>
      <c r="TZ745" s="312"/>
      <c r="UA745" s="312"/>
      <c r="UB745" s="312"/>
      <c r="UC745" s="312"/>
      <c r="UD745" s="312"/>
      <c r="UE745" s="312"/>
      <c r="UF745" s="312"/>
      <c r="UG745" s="312"/>
      <c r="UH745" s="312"/>
      <c r="UI745" s="312"/>
      <c r="UJ745" s="312"/>
      <c r="UK745" s="312"/>
      <c r="UL745" s="312"/>
      <c r="UM745" s="312"/>
      <c r="UN745" s="312"/>
      <c r="UO745" s="312"/>
      <c r="UP745" s="312"/>
      <c r="UQ745" s="312"/>
      <c r="UR745" s="312"/>
      <c r="US745" s="312"/>
      <c r="UT745" s="312"/>
      <c r="UU745" s="312"/>
      <c r="UV745" s="312"/>
      <c r="UW745" s="312"/>
      <c r="UX745" s="312"/>
      <c r="UY745" s="312"/>
      <c r="UZ745" s="312"/>
      <c r="VA745" s="312"/>
      <c r="VB745" s="312"/>
      <c r="VC745" s="312"/>
      <c r="VD745" s="312"/>
      <c r="VE745" s="312"/>
      <c r="VF745" s="312"/>
      <c r="VG745" s="312"/>
      <c r="VH745" s="312"/>
      <c r="VI745" s="312"/>
      <c r="VJ745" s="312"/>
      <c r="VK745" s="312"/>
      <c r="VL745" s="312"/>
      <c r="VM745" s="312"/>
      <c r="VN745" s="312"/>
      <c r="VO745" s="312"/>
      <c r="VP745" s="312"/>
      <c r="VQ745" s="312"/>
      <c r="VR745" s="312"/>
      <c r="VS745" s="312"/>
      <c r="VT745" s="312"/>
      <c r="VU745" s="312"/>
      <c r="VV745" s="312"/>
      <c r="VW745" s="312"/>
      <c r="VX745" s="312"/>
      <c r="VY745" s="312"/>
      <c r="VZ745" s="312"/>
      <c r="WA745" s="312"/>
      <c r="WB745" s="312"/>
      <c r="WC745" s="312"/>
      <c r="WD745" s="312"/>
      <c r="WE745" s="312"/>
      <c r="WF745" s="312"/>
      <c r="WG745" s="312"/>
      <c r="WH745" s="312"/>
      <c r="WI745" s="312"/>
      <c r="WJ745" s="312"/>
      <c r="WK745" s="312"/>
      <c r="WL745" s="312"/>
      <c r="WM745" s="312"/>
      <c r="WN745" s="312"/>
      <c r="WO745" s="312"/>
      <c r="WP745" s="312"/>
      <c r="WQ745" s="312"/>
      <c r="WR745" s="312"/>
      <c r="WS745" s="312"/>
      <c r="WT745" s="312"/>
      <c r="WU745" s="312"/>
      <c r="WV745" s="312"/>
      <c r="WW745" s="312"/>
      <c r="WX745" s="312"/>
      <c r="WY745" s="312"/>
      <c r="WZ745" s="312"/>
      <c r="XA745" s="312"/>
      <c r="XB745" s="312"/>
      <c r="XC745" s="312"/>
      <c r="XD745" s="312"/>
      <c r="XE745" s="312"/>
      <c r="XF745" s="312"/>
      <c r="XG745" s="312"/>
      <c r="XH745" s="312"/>
      <c r="XI745" s="312"/>
      <c r="XJ745" s="312"/>
      <c r="XK745" s="312"/>
      <c r="XL745" s="312"/>
      <c r="XM745" s="312"/>
      <c r="XN745" s="312"/>
      <c r="XO745" s="312"/>
      <c r="XP745" s="312"/>
      <c r="XQ745" s="312"/>
      <c r="XR745" s="312"/>
      <c r="XS745" s="312"/>
      <c r="XT745" s="312"/>
      <c r="XU745" s="312"/>
      <c r="XV745" s="312"/>
      <c r="XW745" s="312"/>
      <c r="XX745" s="312"/>
      <c r="XY745" s="312"/>
      <c r="XZ745" s="312"/>
      <c r="YA745" s="312"/>
      <c r="YB745" s="312"/>
      <c r="YC745" s="312"/>
      <c r="YD745" s="312"/>
      <c r="YE745" s="312"/>
      <c r="YF745" s="312"/>
      <c r="YG745" s="312"/>
      <c r="YH745" s="312"/>
      <c r="YI745" s="312"/>
      <c r="YJ745" s="312"/>
      <c r="YK745" s="312"/>
      <c r="YL745" s="312"/>
      <c r="YM745" s="312"/>
      <c r="YN745" s="312"/>
      <c r="YO745" s="312"/>
      <c r="YP745" s="312"/>
      <c r="YQ745" s="312"/>
      <c r="YR745" s="312"/>
      <c r="YS745" s="312"/>
      <c r="YT745" s="312"/>
      <c r="YU745" s="312"/>
      <c r="YV745" s="312"/>
      <c r="YW745" s="312"/>
      <c r="YX745" s="312"/>
      <c r="YY745" s="312"/>
      <c r="YZ745" s="312"/>
      <c r="ZA745" s="312"/>
      <c r="ZB745" s="312"/>
      <c r="ZC745" s="312"/>
      <c r="ZD745" s="312"/>
      <c r="ZE745" s="312"/>
      <c r="ZF745" s="312"/>
      <c r="ZG745" s="312"/>
      <c r="ZH745" s="312"/>
      <c r="ZI745" s="312"/>
      <c r="ZJ745" s="312"/>
      <c r="ZK745" s="312"/>
      <c r="ZL745" s="312"/>
      <c r="ZM745" s="312"/>
      <c r="ZN745" s="312"/>
      <c r="ZO745" s="312"/>
      <c r="ZP745" s="312"/>
      <c r="ZQ745" s="312"/>
      <c r="ZR745" s="312"/>
      <c r="ZS745" s="312"/>
      <c r="ZT745" s="312"/>
      <c r="ZU745" s="312"/>
      <c r="ZV745" s="312"/>
      <c r="ZW745" s="312"/>
      <c r="ZX745" s="312"/>
      <c r="ZY745" s="312"/>
      <c r="ZZ745" s="312"/>
      <c r="AAA745" s="312"/>
      <c r="AAB745" s="312"/>
      <c r="AAC745" s="312"/>
      <c r="AAD745" s="312"/>
      <c r="AAE745" s="312"/>
      <c r="AAF745" s="312"/>
      <c r="AAG745" s="312"/>
      <c r="AAH745" s="312"/>
      <c r="AAI745" s="312"/>
      <c r="AAJ745" s="312"/>
      <c r="AAK745" s="312"/>
      <c r="AAL745" s="312"/>
      <c r="AAM745" s="312"/>
      <c r="AAN745" s="312"/>
      <c r="AAO745" s="312"/>
      <c r="AAP745" s="312"/>
      <c r="AAQ745" s="312"/>
      <c r="AAR745" s="312"/>
      <c r="AAS745" s="312"/>
      <c r="AAT745" s="312"/>
      <c r="AAU745" s="312"/>
      <c r="AAV745" s="312"/>
      <c r="AAW745" s="312"/>
      <c r="AAX745" s="312"/>
      <c r="AAY745" s="312"/>
      <c r="AAZ745" s="312"/>
      <c r="ABA745" s="312"/>
      <c r="ABB745" s="312"/>
      <c r="ABC745" s="312"/>
      <c r="ABD745" s="312"/>
      <c r="ABE745" s="312"/>
      <c r="ABF745" s="312"/>
      <c r="ABG745" s="312"/>
      <c r="ABH745" s="312"/>
      <c r="ABI745" s="312"/>
      <c r="ABJ745" s="312"/>
      <c r="ABK745" s="312"/>
      <c r="ABL745" s="312"/>
      <c r="ABM745" s="312"/>
      <c r="ABN745" s="312"/>
      <c r="ABO745" s="312"/>
      <c r="ABP745" s="312"/>
      <c r="ABQ745" s="312"/>
      <c r="ABR745" s="312"/>
      <c r="ABS745" s="312"/>
      <c r="ABT745" s="312"/>
      <c r="ABU745" s="312"/>
      <c r="ABV745" s="312"/>
      <c r="ABW745" s="312"/>
      <c r="ABX745" s="312"/>
      <c r="ABY745" s="312"/>
      <c r="ABZ745" s="312"/>
      <c r="ACA745" s="312"/>
      <c r="ACB745" s="312"/>
      <c r="ACC745" s="312"/>
      <c r="ACD745" s="312"/>
      <c r="ACE745" s="312"/>
      <c r="ACF745" s="312"/>
      <c r="ACG745" s="312"/>
      <c r="ACH745" s="312"/>
      <c r="ACI745" s="312"/>
      <c r="ACJ745" s="312"/>
      <c r="ACK745" s="312"/>
      <c r="ACL745" s="312"/>
      <c r="ACM745" s="312"/>
      <c r="ACN745" s="312"/>
      <c r="ACO745" s="312"/>
      <c r="ACP745" s="312"/>
      <c r="ACQ745" s="312"/>
      <c r="ACR745" s="312"/>
      <c r="ACS745" s="312"/>
      <c r="ACT745" s="312"/>
      <c r="ACU745" s="312"/>
      <c r="ACV745" s="312"/>
      <c r="ACW745" s="312"/>
      <c r="ACX745" s="312"/>
      <c r="ACY745" s="312"/>
      <c r="ACZ745" s="312"/>
      <c r="ADA745" s="312"/>
      <c r="ADB745" s="312"/>
      <c r="ADC745" s="312"/>
      <c r="ADD745" s="312"/>
      <c r="ADE745" s="312"/>
      <c r="ADF745" s="312"/>
      <c r="ADG745" s="312"/>
      <c r="ADH745" s="312"/>
      <c r="ADI745" s="312"/>
      <c r="ADJ745" s="312"/>
      <c r="ADK745" s="312"/>
      <c r="ADL745" s="312"/>
      <c r="ADM745" s="312"/>
      <c r="ADN745" s="312"/>
      <c r="ADO745" s="312"/>
      <c r="ADP745" s="312"/>
      <c r="ADQ745" s="312"/>
      <c r="ADR745" s="312"/>
      <c r="ADS745" s="312"/>
      <c r="ADT745" s="312"/>
      <c r="ADU745" s="312"/>
      <c r="ADV745" s="312"/>
      <c r="ADW745" s="312"/>
      <c r="ADX745" s="312"/>
      <c r="ADY745" s="312"/>
      <c r="ADZ745" s="312"/>
      <c r="AEA745" s="312"/>
      <c r="AEB745" s="312"/>
      <c r="AEC745" s="312"/>
      <c r="AED745" s="312"/>
      <c r="AEE745" s="312"/>
      <c r="AEF745" s="312"/>
      <c r="AEG745" s="312"/>
      <c r="AEH745" s="312"/>
      <c r="AEI745" s="312"/>
      <c r="AEJ745" s="312"/>
      <c r="AEK745" s="312"/>
      <c r="AEL745" s="312"/>
      <c r="AEM745" s="312"/>
      <c r="AEN745" s="312"/>
      <c r="AEO745" s="312"/>
      <c r="AEP745" s="312"/>
      <c r="AEQ745" s="312"/>
      <c r="AER745" s="312"/>
      <c r="AES745" s="312"/>
      <c r="AET745" s="312"/>
      <c r="AEU745" s="312"/>
      <c r="AEV745" s="312"/>
      <c r="AEW745" s="312"/>
      <c r="AEX745" s="312"/>
      <c r="AEY745" s="312"/>
      <c r="AEZ745" s="312"/>
      <c r="AFA745" s="312"/>
      <c r="AFB745" s="312"/>
      <c r="AFC745" s="312"/>
      <c r="AFD745" s="312"/>
      <c r="AFE745" s="312"/>
      <c r="AFF745" s="312"/>
      <c r="AFG745" s="312"/>
      <c r="AFH745" s="312"/>
      <c r="AFI745" s="312"/>
      <c r="AFJ745" s="312"/>
      <c r="AFK745" s="312"/>
      <c r="AFL745" s="312"/>
      <c r="AFM745" s="312"/>
      <c r="AFN745" s="312"/>
      <c r="AFO745" s="312"/>
      <c r="AFP745" s="312"/>
      <c r="AFQ745" s="312"/>
      <c r="AFR745" s="312"/>
      <c r="AFS745" s="312"/>
      <c r="AFT745" s="312"/>
      <c r="AFU745" s="312"/>
      <c r="AFV745" s="312"/>
      <c r="AFW745" s="312"/>
      <c r="AFX745" s="312"/>
      <c r="AFY745" s="312"/>
      <c r="AFZ745" s="312"/>
      <c r="AGA745" s="312"/>
      <c r="AGB745" s="312"/>
      <c r="AGC745" s="312"/>
      <c r="AGD745" s="312"/>
      <c r="AGE745" s="312"/>
      <c r="AGF745" s="312"/>
      <c r="AGG745" s="312"/>
      <c r="AGH745" s="312"/>
      <c r="AGI745" s="312"/>
      <c r="AGJ745" s="312"/>
      <c r="AGK745" s="312"/>
      <c r="AGL745" s="312"/>
      <c r="AGM745" s="312"/>
      <c r="AGN745" s="312"/>
      <c r="AGO745" s="312"/>
      <c r="AGP745" s="312"/>
      <c r="AGQ745" s="312"/>
      <c r="AGR745" s="312"/>
      <c r="AGS745" s="312"/>
      <c r="AGT745" s="312"/>
      <c r="AGU745" s="312"/>
      <c r="AGV745" s="312"/>
      <c r="AGW745" s="312"/>
      <c r="AGX745" s="312"/>
      <c r="AGY745" s="312"/>
      <c r="AGZ745" s="312"/>
      <c r="AHA745" s="312"/>
      <c r="AHB745" s="312"/>
      <c r="AHC745" s="312"/>
      <c r="AHD745" s="312"/>
      <c r="AHE745" s="312"/>
      <c r="AHF745" s="312"/>
      <c r="AHG745" s="312"/>
      <c r="AHH745" s="312"/>
      <c r="AHI745" s="312"/>
      <c r="AHJ745" s="312"/>
      <c r="AHK745" s="312"/>
      <c r="AHL745" s="312"/>
      <c r="AHM745" s="312"/>
      <c r="AHN745" s="312"/>
      <c r="AHO745" s="312"/>
      <c r="AHP745" s="312"/>
      <c r="AHQ745" s="312"/>
      <c r="AHR745" s="312"/>
      <c r="AHS745" s="312"/>
      <c r="AHT745" s="312"/>
      <c r="AHU745" s="312"/>
      <c r="AHV745" s="312"/>
      <c r="AHW745" s="312"/>
      <c r="AHX745" s="312"/>
      <c r="AHY745" s="312"/>
      <c r="AHZ745" s="312"/>
      <c r="AIA745" s="312"/>
      <c r="AIB745" s="312"/>
      <c r="AIC745" s="312"/>
      <c r="AID745" s="312"/>
      <c r="AIE745" s="312"/>
      <c r="AIF745" s="312"/>
      <c r="AIG745" s="312"/>
      <c r="AIH745" s="312"/>
      <c r="AII745" s="312"/>
      <c r="AIJ745" s="312"/>
      <c r="AIK745" s="312"/>
      <c r="AIL745" s="312"/>
      <c r="AIM745" s="312"/>
      <c r="AIN745" s="312"/>
      <c r="AIO745" s="312"/>
      <c r="AIP745" s="312"/>
      <c r="AIQ745" s="312"/>
      <c r="AIR745" s="312"/>
      <c r="AIS745" s="312"/>
      <c r="AIT745" s="312"/>
      <c r="AIU745" s="312"/>
      <c r="AIV745" s="312"/>
      <c r="AIW745" s="312"/>
      <c r="AIX745" s="312"/>
      <c r="AIY745" s="312"/>
      <c r="AIZ745" s="312"/>
      <c r="AJA745" s="312"/>
      <c r="AJB745" s="312"/>
      <c r="AJC745" s="312"/>
      <c r="AJD745" s="312"/>
      <c r="AJE745" s="312"/>
      <c r="AJF745" s="312"/>
      <c r="AJG745" s="312"/>
      <c r="AJH745" s="312"/>
      <c r="AJI745" s="312"/>
      <c r="AJJ745" s="312"/>
      <c r="AJK745" s="312"/>
      <c r="AJL745" s="312"/>
      <c r="AJM745" s="312"/>
      <c r="AJN745" s="312"/>
      <c r="AJO745" s="312"/>
      <c r="AJP745" s="312"/>
      <c r="AJQ745" s="312"/>
      <c r="AJR745" s="312"/>
      <c r="AJS745" s="312"/>
      <c r="AJT745" s="312"/>
      <c r="AJU745" s="312"/>
      <c r="AJV745" s="312"/>
      <c r="AJW745" s="312"/>
      <c r="AJX745" s="312"/>
      <c r="AJY745" s="312"/>
      <c r="AJZ745" s="312"/>
      <c r="AKA745" s="312"/>
      <c r="AKB745" s="312"/>
      <c r="AKC745" s="312"/>
      <c r="AKD745" s="312"/>
      <c r="AKE745" s="312"/>
      <c r="AKF745" s="312"/>
      <c r="AKG745" s="312"/>
      <c r="AKH745" s="312"/>
      <c r="AKI745" s="312"/>
      <c r="AKJ745" s="312"/>
      <c r="AKK745" s="312"/>
      <c r="AKL745" s="312"/>
      <c r="AKM745" s="312"/>
      <c r="AKN745" s="312"/>
      <c r="AKO745" s="312"/>
      <c r="AKP745" s="312"/>
      <c r="AKQ745" s="312"/>
      <c r="AKR745" s="312"/>
      <c r="AKS745" s="312"/>
      <c r="AKT745" s="312"/>
      <c r="AKU745" s="312"/>
      <c r="AKV745" s="312"/>
      <c r="AKW745" s="312"/>
      <c r="AKX745" s="312"/>
      <c r="AKY745" s="312"/>
      <c r="AKZ745" s="312"/>
      <c r="ALA745" s="312"/>
      <c r="ALB745" s="312"/>
      <c r="ALC745" s="312"/>
      <c r="ALD745" s="312"/>
      <c r="ALE745" s="312"/>
      <c r="ALF745" s="312"/>
      <c r="ALG745" s="312"/>
      <c r="ALH745" s="312"/>
      <c r="ALI745" s="312"/>
      <c r="ALJ745" s="312"/>
      <c r="ALK745" s="312"/>
      <c r="ALL745" s="312"/>
      <c r="ALM745" s="312"/>
      <c r="ALN745" s="312"/>
      <c r="ALO745" s="312"/>
      <c r="ALP745" s="312"/>
      <c r="ALQ745" s="312"/>
      <c r="ALR745" s="312"/>
      <c r="ALS745" s="312"/>
      <c r="ALT745" s="312"/>
      <c r="ALU745" s="312"/>
      <c r="ALV745" s="312"/>
      <c r="ALW745" s="312"/>
      <c r="ALX745" s="312"/>
      <c r="ALY745" s="312"/>
      <c r="ALZ745" s="312"/>
      <c r="AMA745" s="312"/>
      <c r="AMB745" s="312"/>
      <c r="AMC745" s="312"/>
      <c r="AMD745" s="312"/>
      <c r="AME745" s="312"/>
      <c r="AMF745" s="312"/>
      <c r="AMG745" s="312"/>
      <c r="AMH745" s="312"/>
      <c r="AMI745" s="312"/>
      <c r="AMJ745" s="312"/>
      <c r="AMK745" s="312"/>
      <c r="AML745" s="312"/>
      <c r="AMM745" s="312"/>
      <c r="AMN745" s="312"/>
      <c r="AMO745" s="312"/>
      <c r="AMP745" s="312"/>
      <c r="AMQ745" s="312"/>
      <c r="AMR745" s="312"/>
      <c r="AMS745" s="312"/>
      <c r="AMT745" s="312"/>
      <c r="AMU745" s="312"/>
      <c r="AMV745" s="312"/>
      <c r="AMW745" s="312"/>
      <c r="AMX745" s="312"/>
      <c r="AMY745" s="312"/>
      <c r="AMZ745" s="312"/>
      <c r="ANA745" s="312"/>
      <c r="ANB745" s="312"/>
      <c r="ANC745" s="312"/>
      <c r="AND745" s="312"/>
      <c r="ANE745" s="312"/>
      <c r="ANF745" s="312"/>
      <c r="ANG745" s="312"/>
      <c r="ANH745" s="312"/>
      <c r="ANI745" s="312"/>
      <c r="ANJ745" s="312"/>
      <c r="ANK745" s="312"/>
      <c r="ANL745" s="312"/>
      <c r="ANM745" s="312"/>
      <c r="ANN745" s="312"/>
      <c r="ANO745" s="312"/>
      <c r="ANP745" s="312"/>
      <c r="ANQ745" s="312"/>
      <c r="ANR745" s="312"/>
      <c r="ANS745" s="312"/>
      <c r="ANT745" s="312"/>
      <c r="ANU745" s="312"/>
      <c r="ANV745" s="312"/>
      <c r="ANW745" s="312"/>
      <c r="ANX745" s="312"/>
      <c r="ANY745" s="312"/>
      <c r="ANZ745" s="312"/>
      <c r="AOA745" s="312"/>
      <c r="AOB745" s="312"/>
      <c r="AOC745" s="312"/>
      <c r="AOD745" s="312"/>
      <c r="AOE745" s="312"/>
      <c r="AOF745" s="312"/>
      <c r="AOG745" s="312"/>
      <c r="AOH745" s="312"/>
      <c r="AOI745" s="312"/>
      <c r="AOJ745" s="312"/>
      <c r="AOK745" s="312"/>
      <c r="AOL745" s="312"/>
      <c r="AOM745" s="312"/>
      <c r="AON745" s="312"/>
      <c r="AOO745" s="312"/>
      <c r="AOP745" s="312"/>
      <c r="AOQ745" s="312"/>
      <c r="AOR745" s="312"/>
      <c r="AOS745" s="312"/>
      <c r="AOT745" s="312"/>
      <c r="AOU745" s="312"/>
      <c r="AOV745" s="312"/>
      <c r="AOW745" s="312"/>
      <c r="AOX745" s="312"/>
      <c r="AOY745" s="312"/>
      <c r="AOZ745" s="312"/>
      <c r="APA745" s="312"/>
      <c r="APB745" s="312"/>
      <c r="APC745" s="312"/>
      <c r="APD745" s="312"/>
      <c r="APE745" s="312"/>
      <c r="APF745" s="312"/>
      <c r="APG745" s="312"/>
      <c r="APH745" s="312"/>
      <c r="API745" s="312"/>
      <c r="APJ745" s="312"/>
      <c r="APK745" s="312"/>
      <c r="APL745" s="312"/>
      <c r="APM745" s="312"/>
      <c r="APN745" s="312"/>
      <c r="APO745" s="312"/>
      <c r="APP745" s="312"/>
      <c r="APQ745" s="312"/>
      <c r="APR745" s="312"/>
      <c r="APS745" s="312"/>
      <c r="APT745" s="312"/>
      <c r="APU745" s="312"/>
      <c r="APV745" s="312"/>
      <c r="APW745" s="312"/>
      <c r="APX745" s="312"/>
      <c r="APY745" s="312"/>
      <c r="APZ745" s="312"/>
      <c r="AQA745" s="312"/>
      <c r="AQB745" s="312"/>
      <c r="AQC745" s="312"/>
      <c r="AQD745" s="312"/>
      <c r="AQE745" s="312"/>
      <c r="AQF745" s="312"/>
      <c r="AQG745" s="312"/>
      <c r="AQH745" s="312"/>
      <c r="AQI745" s="312"/>
      <c r="AQJ745" s="312"/>
      <c r="AQK745" s="312"/>
      <c r="AQL745" s="312"/>
      <c r="AQM745" s="312"/>
      <c r="AQN745" s="312"/>
      <c r="AQO745" s="312"/>
      <c r="AQP745" s="312"/>
      <c r="AQQ745" s="312"/>
      <c r="AQR745" s="312"/>
      <c r="AQS745" s="312"/>
      <c r="AQT745" s="312"/>
      <c r="AQU745" s="312"/>
      <c r="AQV745" s="312"/>
      <c r="AQW745" s="312"/>
      <c r="AQX745" s="312"/>
      <c r="AQY745" s="312"/>
      <c r="AQZ745" s="312"/>
      <c r="ARA745" s="312"/>
      <c r="ARB745" s="312"/>
      <c r="ARC745" s="312"/>
      <c r="ARD745" s="312"/>
      <c r="ARE745" s="312"/>
      <c r="ARF745" s="312"/>
      <c r="ARG745" s="312"/>
      <c r="ARH745" s="312"/>
      <c r="ARI745" s="312"/>
      <c r="ARJ745" s="312"/>
      <c r="ARK745" s="312"/>
      <c r="ARL745" s="312"/>
      <c r="ARM745" s="312"/>
      <c r="ARN745" s="312"/>
      <c r="ARO745" s="312"/>
      <c r="ARP745" s="312"/>
      <c r="ARQ745" s="312"/>
      <c r="ARR745" s="312"/>
      <c r="ARS745" s="312"/>
      <c r="ART745" s="312"/>
      <c r="ARU745" s="312"/>
      <c r="ARV745" s="312"/>
      <c r="ARW745" s="312"/>
      <c r="ARX745" s="312"/>
      <c r="ARY745" s="312"/>
      <c r="ARZ745" s="312"/>
      <c r="ASA745" s="312"/>
      <c r="ASB745" s="312"/>
      <c r="ASC745" s="312"/>
      <c r="ASD745" s="312"/>
      <c r="ASE745" s="312"/>
      <c r="ASF745" s="312"/>
      <c r="ASG745" s="312"/>
      <c r="ASH745" s="312"/>
      <c r="ASI745" s="312"/>
      <c r="ASJ745" s="312"/>
      <c r="ASK745" s="312"/>
      <c r="ASL745" s="312"/>
      <c r="ASM745" s="312"/>
      <c r="ASN745" s="312"/>
      <c r="ASO745" s="312"/>
      <c r="ASP745" s="312"/>
      <c r="ASQ745" s="312"/>
      <c r="ASR745" s="312"/>
      <c r="ASS745" s="312"/>
      <c r="AST745" s="312"/>
      <c r="ASU745" s="312"/>
      <c r="ASV745" s="312"/>
      <c r="ASW745" s="312"/>
      <c r="ASX745" s="312"/>
      <c r="ASY745" s="312"/>
      <c r="ASZ745" s="312"/>
      <c r="ATA745" s="312"/>
      <c r="ATB745" s="312"/>
      <c r="ATC745" s="312"/>
      <c r="ATD745" s="312"/>
      <c r="ATE745" s="312"/>
      <c r="ATF745" s="312"/>
      <c r="ATG745" s="312"/>
      <c r="ATH745" s="312"/>
      <c r="ATI745" s="312"/>
      <c r="ATJ745" s="312"/>
      <c r="ATK745" s="312"/>
      <c r="ATL745" s="312"/>
      <c r="ATM745" s="312"/>
      <c r="ATN745" s="312"/>
      <c r="ATO745" s="312"/>
      <c r="ATP745" s="312"/>
      <c r="ATQ745" s="312"/>
      <c r="ATR745" s="312"/>
      <c r="ATS745" s="312"/>
      <c r="ATT745" s="312"/>
      <c r="ATU745" s="312"/>
      <c r="ATV745" s="312"/>
      <c r="ATW745" s="312"/>
      <c r="ATX745" s="312"/>
      <c r="ATY745" s="312"/>
      <c r="ATZ745" s="312"/>
      <c r="AUA745" s="312"/>
      <c r="AUB745" s="312"/>
      <c r="AUC745" s="312"/>
      <c r="AUD745" s="312"/>
      <c r="AUE745" s="312"/>
      <c r="AUF745" s="312"/>
      <c r="AUG745" s="312"/>
      <c r="AUH745" s="312"/>
      <c r="AUI745" s="312"/>
      <c r="AUJ745" s="312"/>
      <c r="AUK745" s="312"/>
      <c r="AUL745" s="312"/>
      <c r="AUM745" s="312"/>
      <c r="AUN745" s="312"/>
      <c r="AUO745" s="312"/>
      <c r="AUP745" s="312"/>
      <c r="AUQ745" s="312"/>
      <c r="AUR745" s="312"/>
      <c r="AUS745" s="312"/>
      <c r="AUT745" s="312"/>
      <c r="AUU745" s="312"/>
      <c r="AUV745" s="312"/>
      <c r="AUW745" s="312"/>
      <c r="AUX745" s="312"/>
      <c r="AUY745" s="312"/>
      <c r="AUZ745" s="312"/>
      <c r="AVA745" s="312"/>
      <c r="AVB745" s="312"/>
      <c r="AVC745" s="312"/>
      <c r="AVD745" s="312"/>
      <c r="AVE745" s="312"/>
      <c r="AVF745" s="312"/>
      <c r="AVG745" s="312"/>
      <c r="AVH745" s="312"/>
      <c r="AVI745" s="312"/>
      <c r="AVJ745" s="312"/>
      <c r="AVK745" s="312"/>
      <c r="AVL745" s="312"/>
      <c r="AVM745" s="312"/>
      <c r="AVN745" s="312"/>
      <c r="AVO745" s="312"/>
      <c r="AVP745" s="312"/>
      <c r="AVQ745" s="312"/>
      <c r="AVR745" s="312"/>
      <c r="AVS745" s="312"/>
      <c r="AVT745" s="312"/>
      <c r="AVU745" s="312"/>
      <c r="AVV745" s="312"/>
      <c r="AVW745" s="312"/>
      <c r="AVX745" s="312"/>
      <c r="AVY745" s="312"/>
      <c r="AVZ745" s="312"/>
      <c r="AWA745" s="312"/>
      <c r="AWB745" s="312"/>
      <c r="AWC745" s="312"/>
      <c r="AWD745" s="312"/>
      <c r="AWE745" s="312"/>
      <c r="AWF745" s="312"/>
      <c r="AWG745" s="312"/>
      <c r="AWH745" s="312"/>
      <c r="AWI745" s="312"/>
      <c r="AWJ745" s="312"/>
      <c r="AWK745" s="312"/>
      <c r="AWL745" s="312"/>
      <c r="AWM745" s="312"/>
      <c r="AWN745" s="312"/>
      <c r="AWO745" s="312"/>
      <c r="AWP745" s="312"/>
      <c r="AWQ745" s="312"/>
      <c r="AWR745" s="312"/>
      <c r="AWS745" s="312"/>
      <c r="AWT745" s="312"/>
      <c r="AWU745" s="312"/>
      <c r="AWV745" s="312"/>
      <c r="AWW745" s="312"/>
      <c r="AWX745" s="312"/>
      <c r="AWY745" s="312"/>
      <c r="AWZ745" s="312"/>
      <c r="AXA745" s="312"/>
      <c r="AXB745" s="312"/>
      <c r="AXC745" s="312"/>
      <c r="AXD745" s="312"/>
      <c r="AXE745" s="312"/>
      <c r="AXF745" s="312"/>
      <c r="AXG745" s="312"/>
      <c r="AXH745" s="312"/>
      <c r="AXI745" s="312"/>
      <c r="AXJ745" s="312"/>
      <c r="AXK745" s="312"/>
      <c r="AXL745" s="312"/>
      <c r="AXM745" s="312"/>
      <c r="AXN745" s="312"/>
      <c r="AXO745" s="312"/>
      <c r="AXP745" s="312"/>
      <c r="AXQ745" s="312"/>
      <c r="AXR745" s="312"/>
      <c r="AXS745" s="312"/>
      <c r="AXT745" s="312"/>
      <c r="AXU745" s="312"/>
      <c r="AXV745" s="312"/>
      <c r="AXW745" s="312"/>
      <c r="AXX745" s="312"/>
      <c r="AXY745" s="312"/>
      <c r="AXZ745" s="312"/>
      <c r="AYA745" s="312"/>
      <c r="AYB745" s="312"/>
      <c r="AYC745" s="312"/>
      <c r="AYD745" s="312"/>
      <c r="AYE745" s="312"/>
      <c r="AYF745" s="312"/>
      <c r="AYG745" s="312"/>
      <c r="AYH745" s="312"/>
      <c r="AYI745" s="312"/>
      <c r="AYJ745" s="312"/>
      <c r="AYK745" s="312"/>
      <c r="AYL745" s="312"/>
      <c r="AYM745" s="312"/>
      <c r="AYN745" s="312"/>
      <c r="AYO745" s="312"/>
      <c r="AYP745" s="312"/>
      <c r="AYQ745" s="312"/>
      <c r="AYR745" s="312"/>
      <c r="AYS745" s="312"/>
      <c r="AYT745" s="312"/>
      <c r="AYU745" s="312"/>
      <c r="AYV745" s="312"/>
      <c r="AYW745" s="312"/>
      <c r="AYX745" s="312"/>
      <c r="AYY745" s="312"/>
      <c r="AYZ745" s="312"/>
      <c r="AZA745" s="312"/>
      <c r="AZB745" s="312"/>
      <c r="AZC745" s="312"/>
      <c r="AZD745" s="312"/>
      <c r="AZE745" s="312"/>
      <c r="AZF745" s="312"/>
      <c r="AZG745" s="312"/>
      <c r="AZH745" s="312"/>
      <c r="AZI745" s="312"/>
      <c r="AZJ745" s="312"/>
      <c r="AZK745" s="312"/>
      <c r="AZL745" s="312"/>
      <c r="AZM745" s="312"/>
      <c r="AZN745" s="312"/>
      <c r="AZO745" s="312"/>
      <c r="AZP745" s="312"/>
      <c r="AZQ745" s="312"/>
      <c r="AZR745" s="312"/>
      <c r="AZS745" s="312"/>
      <c r="AZT745" s="312"/>
      <c r="AZU745" s="312"/>
      <c r="AZV745" s="312"/>
      <c r="AZW745" s="312"/>
      <c r="AZX745" s="312"/>
      <c r="AZY745" s="312"/>
      <c r="AZZ745" s="312"/>
      <c r="BAA745" s="312"/>
      <c r="BAB745" s="312"/>
      <c r="BAC745" s="312"/>
      <c r="BAD745" s="312"/>
      <c r="BAE745" s="312"/>
      <c r="BAF745" s="312"/>
      <c r="BAG745" s="312"/>
      <c r="BAH745" s="312"/>
      <c r="BAI745" s="312"/>
      <c r="BAJ745" s="312"/>
      <c r="BAK745" s="312"/>
      <c r="BAL745" s="312"/>
      <c r="BAM745" s="312"/>
      <c r="BAN745" s="312"/>
      <c r="BAO745" s="312"/>
      <c r="BAP745" s="312"/>
      <c r="BAQ745" s="312"/>
      <c r="BAR745" s="312"/>
      <c r="BAS745" s="312"/>
      <c r="BAT745" s="312"/>
      <c r="BAU745" s="312"/>
      <c r="BAV745" s="312"/>
      <c r="BAW745" s="312"/>
      <c r="BAX745" s="312"/>
      <c r="BAY745" s="312"/>
      <c r="BAZ745" s="312"/>
      <c r="BBA745" s="312"/>
      <c r="BBB745" s="312"/>
      <c r="BBC745" s="312"/>
      <c r="BBD745" s="312"/>
      <c r="BBE745" s="312"/>
      <c r="BBF745" s="312"/>
      <c r="BBG745" s="312"/>
      <c r="BBH745" s="312"/>
      <c r="BBI745" s="312"/>
      <c r="BBJ745" s="312"/>
      <c r="BBK745" s="312"/>
      <c r="BBL745" s="312"/>
      <c r="BBM745" s="312"/>
      <c r="BBN745" s="312"/>
      <c r="BBO745" s="312"/>
      <c r="BBP745" s="312"/>
      <c r="BBQ745" s="312"/>
      <c r="BBR745" s="312"/>
      <c r="BBS745" s="312"/>
      <c r="BBT745" s="312"/>
      <c r="BBU745" s="312"/>
      <c r="BBV745" s="312"/>
      <c r="BBW745" s="312"/>
      <c r="BBX745" s="312"/>
      <c r="BBY745" s="312"/>
      <c r="BBZ745" s="312"/>
      <c r="BCA745" s="312"/>
      <c r="BCB745" s="312"/>
      <c r="BCC745" s="312"/>
      <c r="BCD745" s="312"/>
      <c r="BCE745" s="312"/>
      <c r="BCF745" s="312"/>
      <c r="BCG745" s="312"/>
      <c r="BCH745" s="312"/>
      <c r="BCI745" s="312"/>
      <c r="BCJ745" s="312"/>
      <c r="BCK745" s="312"/>
      <c r="BCL745" s="312"/>
      <c r="BCM745" s="312"/>
      <c r="BCN745" s="312"/>
      <c r="BCO745" s="312"/>
      <c r="BCP745" s="312"/>
      <c r="BCQ745" s="312"/>
      <c r="BCR745" s="312"/>
      <c r="BCS745" s="312"/>
      <c r="BCT745" s="312"/>
      <c r="BCU745" s="312"/>
      <c r="BCV745" s="312"/>
      <c r="BCW745" s="312"/>
      <c r="BCX745" s="312"/>
      <c r="BCY745" s="312"/>
      <c r="BCZ745" s="312"/>
      <c r="BDA745" s="312"/>
      <c r="BDB745" s="312"/>
      <c r="BDC745" s="312"/>
      <c r="BDD745" s="312"/>
      <c r="BDE745" s="312"/>
      <c r="BDF745" s="312"/>
      <c r="BDG745" s="312"/>
      <c r="BDH745" s="312"/>
      <c r="BDI745" s="312"/>
      <c r="BDJ745" s="312"/>
      <c r="BDK745" s="312"/>
      <c r="BDL745" s="312"/>
      <c r="BDM745" s="312"/>
      <c r="BDN745" s="312"/>
      <c r="BDO745" s="312"/>
      <c r="BDP745" s="312"/>
      <c r="BDQ745" s="312"/>
      <c r="BDR745" s="312"/>
      <c r="BDS745" s="312"/>
      <c r="BDT745" s="312"/>
      <c r="BDU745" s="312"/>
      <c r="BDV745" s="312"/>
      <c r="BDW745" s="312"/>
      <c r="BDX745" s="312"/>
      <c r="BDY745" s="312"/>
      <c r="BDZ745" s="312"/>
      <c r="BEA745" s="312"/>
      <c r="BEB745" s="312"/>
      <c r="BEC745" s="312"/>
      <c r="BED745" s="312"/>
      <c r="BEE745" s="312"/>
      <c r="BEF745" s="312"/>
      <c r="BEG745" s="312"/>
      <c r="BEH745" s="312"/>
      <c r="BEI745" s="312"/>
      <c r="BEJ745" s="312"/>
      <c r="BEK745" s="312"/>
      <c r="BEL745" s="312"/>
      <c r="BEM745" s="312"/>
      <c r="BEN745" s="312"/>
      <c r="BEO745" s="312"/>
      <c r="BEP745" s="312"/>
      <c r="BEQ745" s="312"/>
      <c r="BER745" s="312"/>
      <c r="BES745" s="312"/>
      <c r="BET745" s="312"/>
      <c r="BEU745" s="312"/>
      <c r="BEV745" s="312"/>
      <c r="BEW745" s="312"/>
      <c r="BEX745" s="312"/>
      <c r="BEY745" s="312"/>
      <c r="BEZ745" s="312"/>
      <c r="BFA745" s="312"/>
      <c r="BFB745" s="312"/>
      <c r="BFC745" s="312"/>
      <c r="BFD745" s="312"/>
      <c r="BFE745" s="312"/>
      <c r="BFF745" s="312"/>
      <c r="BFG745" s="312"/>
      <c r="BFH745" s="312"/>
      <c r="BFI745" s="312"/>
      <c r="BFJ745" s="312"/>
      <c r="BFK745" s="312"/>
      <c r="BFL745" s="312"/>
      <c r="BFM745" s="312"/>
      <c r="BFN745" s="312"/>
      <c r="BFO745" s="312"/>
      <c r="BFP745" s="312"/>
      <c r="BFQ745" s="312"/>
      <c r="BFR745" s="312"/>
      <c r="BFS745" s="312"/>
      <c r="BFT745" s="312"/>
      <c r="BFU745" s="312"/>
      <c r="BFV745" s="312"/>
      <c r="BFW745" s="312"/>
      <c r="BFX745" s="312"/>
      <c r="BFY745" s="312"/>
      <c r="BFZ745" s="312"/>
      <c r="BGA745" s="312"/>
      <c r="BGB745" s="312"/>
      <c r="BGC745" s="312"/>
      <c r="BGD745" s="312"/>
      <c r="BGE745" s="312"/>
      <c r="BGF745" s="312"/>
      <c r="BGG745" s="312"/>
      <c r="BGH745" s="312"/>
      <c r="BGI745" s="312"/>
      <c r="BGJ745" s="312"/>
      <c r="BGK745" s="312"/>
      <c r="BGL745" s="312"/>
      <c r="BGM745" s="312"/>
      <c r="BGN745" s="312"/>
      <c r="BGO745" s="312"/>
      <c r="BGP745" s="312"/>
      <c r="BGQ745" s="312"/>
      <c r="BGR745" s="312"/>
      <c r="BGS745" s="312"/>
      <c r="BGT745" s="312"/>
      <c r="BGU745" s="312"/>
      <c r="BGV745" s="312"/>
      <c r="BGW745" s="312"/>
      <c r="BGX745" s="312"/>
      <c r="BGY745" s="312"/>
      <c r="BGZ745" s="312"/>
      <c r="BHA745" s="312"/>
      <c r="BHB745" s="312"/>
      <c r="BHC745" s="312"/>
      <c r="BHD745" s="312"/>
      <c r="BHE745" s="312"/>
      <c r="BHF745" s="312"/>
      <c r="BHG745" s="312"/>
      <c r="BHH745" s="312"/>
      <c r="BHI745" s="312"/>
      <c r="BHJ745" s="312"/>
      <c r="BHK745" s="312"/>
      <c r="BHL745" s="312"/>
      <c r="BHM745" s="312"/>
      <c r="BHN745" s="312"/>
      <c r="BHO745" s="312"/>
      <c r="BHP745" s="312"/>
      <c r="BHQ745" s="312"/>
      <c r="BHR745" s="312"/>
      <c r="BHS745" s="312"/>
      <c r="BHT745" s="312"/>
      <c r="BHU745" s="312"/>
      <c r="BHV745" s="312"/>
      <c r="BHW745" s="312"/>
      <c r="BHX745" s="312"/>
      <c r="BHY745" s="312"/>
      <c r="BHZ745" s="312"/>
      <c r="BIA745" s="312"/>
      <c r="BIB745" s="312"/>
      <c r="BIC745" s="312"/>
      <c r="BID745" s="312"/>
      <c r="BIE745" s="312"/>
      <c r="BIF745" s="312"/>
      <c r="BIG745" s="312"/>
      <c r="BIH745" s="312"/>
      <c r="BII745" s="312"/>
      <c r="BIJ745" s="312"/>
      <c r="BIK745" s="312"/>
      <c r="BIL745" s="312"/>
      <c r="BIM745" s="312"/>
      <c r="BIN745" s="312"/>
      <c r="BIO745" s="312"/>
      <c r="BIP745" s="312"/>
      <c r="BIQ745" s="312"/>
      <c r="BIR745" s="312"/>
      <c r="BIS745" s="312"/>
      <c r="BIT745" s="312"/>
      <c r="BIU745" s="312"/>
      <c r="BIV745" s="312"/>
      <c r="BIW745" s="312"/>
      <c r="BIX745" s="312"/>
      <c r="BIY745" s="312"/>
      <c r="BIZ745" s="312"/>
      <c r="BJA745" s="312"/>
      <c r="BJB745" s="312"/>
      <c r="BJC745" s="312"/>
      <c r="BJD745" s="312"/>
      <c r="BJE745" s="312"/>
      <c r="BJF745" s="312"/>
      <c r="BJG745" s="312"/>
      <c r="BJH745" s="312"/>
      <c r="BJI745" s="312"/>
      <c r="BJJ745" s="312"/>
      <c r="BJK745" s="312"/>
      <c r="BJL745" s="312"/>
      <c r="BJM745" s="312"/>
      <c r="BJN745" s="312"/>
      <c r="BJO745" s="312"/>
      <c r="BJP745" s="312"/>
      <c r="BJQ745" s="312"/>
      <c r="BJR745" s="312"/>
      <c r="BJS745" s="312"/>
      <c r="BJT745" s="312"/>
      <c r="BJU745" s="312"/>
      <c r="BJV745" s="312"/>
      <c r="BJW745" s="312"/>
      <c r="BJX745" s="312"/>
      <c r="BJY745" s="312"/>
      <c r="BJZ745" s="312"/>
      <c r="BKA745" s="312"/>
      <c r="BKB745" s="312"/>
      <c r="BKC745" s="312"/>
      <c r="BKD745" s="312"/>
      <c r="BKE745" s="312"/>
      <c r="BKF745" s="312"/>
      <c r="BKG745" s="312"/>
      <c r="BKH745" s="312"/>
      <c r="BKI745" s="312"/>
      <c r="BKJ745" s="312"/>
      <c r="BKK745" s="312"/>
      <c r="BKL745" s="312"/>
      <c r="BKM745" s="312"/>
      <c r="BKN745" s="312"/>
      <c r="BKO745" s="312"/>
      <c r="BKP745" s="312"/>
      <c r="BKQ745" s="312"/>
      <c r="BKR745" s="312"/>
      <c r="BKS745" s="312"/>
      <c r="BKT745" s="312"/>
      <c r="BKU745" s="312"/>
      <c r="BKV745" s="312"/>
      <c r="BKW745" s="312"/>
      <c r="BKX745" s="312"/>
      <c r="BKY745" s="312"/>
      <c r="BKZ745" s="312"/>
      <c r="BLA745" s="312"/>
      <c r="BLB745" s="312"/>
      <c r="BLC745" s="312"/>
      <c r="BLD745" s="312"/>
      <c r="BLE745" s="312"/>
      <c r="BLF745" s="312"/>
      <c r="BLG745" s="312"/>
      <c r="BLH745" s="312"/>
      <c r="BLI745" s="312"/>
      <c r="BLJ745" s="312"/>
      <c r="BLK745" s="312"/>
      <c r="BLL745" s="312"/>
      <c r="BLM745" s="312"/>
      <c r="BLN745" s="312"/>
      <c r="BLO745" s="312"/>
      <c r="BLP745" s="312"/>
      <c r="BLQ745" s="312"/>
      <c r="BLR745" s="312"/>
      <c r="BLS745" s="312"/>
      <c r="BLT745" s="312"/>
      <c r="BLU745" s="312"/>
      <c r="BLV745" s="312"/>
      <c r="BLW745" s="312"/>
      <c r="BLX745" s="312"/>
      <c r="BLY745" s="312"/>
      <c r="BLZ745" s="312"/>
      <c r="BMA745" s="312"/>
      <c r="BMB745" s="312"/>
      <c r="BMC745" s="312"/>
      <c r="BMD745" s="312"/>
      <c r="BME745" s="312"/>
      <c r="BMF745" s="312"/>
      <c r="BMG745" s="312"/>
      <c r="BMH745" s="312"/>
      <c r="BMI745" s="312"/>
      <c r="BMJ745" s="312"/>
      <c r="BMK745" s="312"/>
      <c r="BML745" s="312"/>
      <c r="BMM745" s="312"/>
      <c r="BMN745" s="312"/>
      <c r="BMO745" s="312"/>
      <c r="BMP745" s="312"/>
      <c r="BMQ745" s="312"/>
      <c r="BMR745" s="312"/>
      <c r="BMS745" s="312"/>
      <c r="BMT745" s="312"/>
      <c r="BMU745" s="312"/>
      <c r="BMV745" s="312"/>
      <c r="BMW745" s="312"/>
      <c r="BMX745" s="312"/>
      <c r="BMY745" s="312"/>
      <c r="BMZ745" s="312"/>
      <c r="BNA745" s="312"/>
      <c r="BNB745" s="312"/>
      <c r="BNC745" s="312"/>
      <c r="BND745" s="312"/>
      <c r="BNE745" s="312"/>
      <c r="BNF745" s="312"/>
      <c r="BNG745" s="312"/>
      <c r="BNH745" s="312"/>
      <c r="BNI745" s="312"/>
      <c r="BNJ745" s="312"/>
      <c r="BNK745" s="312"/>
      <c r="BNL745" s="312"/>
      <c r="BNM745" s="312"/>
      <c r="BNN745" s="312"/>
      <c r="BNO745" s="312"/>
      <c r="BNP745" s="312"/>
      <c r="BNQ745" s="312"/>
      <c r="BNR745" s="312"/>
      <c r="BNS745" s="312"/>
      <c r="BNT745" s="312"/>
      <c r="BNU745" s="312"/>
      <c r="BNV745" s="312"/>
      <c r="BNW745" s="312"/>
      <c r="BNX745" s="312"/>
      <c r="BNY745" s="312"/>
      <c r="BNZ745" s="312"/>
      <c r="BOA745" s="312"/>
      <c r="BOB745" s="312"/>
      <c r="BOC745" s="312"/>
      <c r="BOD745" s="312"/>
      <c r="BOE745" s="312"/>
      <c r="BOF745" s="312"/>
      <c r="BOG745" s="312"/>
      <c r="BOH745" s="312"/>
      <c r="BOI745" s="312"/>
      <c r="BOJ745" s="312"/>
      <c r="BOK745" s="312"/>
      <c r="BOL745" s="312"/>
      <c r="BOM745" s="312"/>
      <c r="BON745" s="312"/>
      <c r="BOO745" s="312"/>
      <c r="BOP745" s="312"/>
      <c r="BOQ745" s="312"/>
      <c r="BOR745" s="312"/>
      <c r="BOS745" s="312"/>
      <c r="BOT745" s="312"/>
      <c r="BOU745" s="312"/>
      <c r="BOV745" s="312"/>
      <c r="BOW745" s="312"/>
      <c r="BOX745" s="312"/>
      <c r="BOY745" s="312"/>
      <c r="BOZ745" s="312"/>
      <c r="BPA745" s="312"/>
      <c r="BPB745" s="312"/>
      <c r="BPC745" s="312"/>
      <c r="BPD745" s="312"/>
      <c r="BPE745" s="312"/>
      <c r="BPF745" s="312"/>
      <c r="BPG745" s="312"/>
      <c r="BPH745" s="312"/>
      <c r="BPI745" s="312"/>
      <c r="BPJ745" s="312"/>
      <c r="BPK745" s="312"/>
      <c r="BPL745" s="312"/>
      <c r="BPM745" s="312"/>
      <c r="BPN745" s="312"/>
      <c r="BPO745" s="312"/>
      <c r="BPP745" s="312"/>
      <c r="BPQ745" s="312"/>
      <c r="BPR745" s="312"/>
      <c r="BPS745" s="312"/>
      <c r="BPT745" s="312"/>
      <c r="BPU745" s="312"/>
      <c r="BPV745" s="312"/>
      <c r="BPW745" s="312"/>
      <c r="BPX745" s="312"/>
      <c r="BPY745" s="312"/>
      <c r="BPZ745" s="312"/>
      <c r="BQA745" s="312"/>
      <c r="BQB745" s="312"/>
      <c r="BQC745" s="312"/>
      <c r="BQD745" s="312"/>
      <c r="BQE745" s="312"/>
      <c r="BQF745" s="312"/>
      <c r="BQG745" s="312"/>
      <c r="BQH745" s="312"/>
      <c r="BQI745" s="312"/>
      <c r="BQJ745" s="312"/>
      <c r="BQK745" s="312"/>
      <c r="BQL745" s="312"/>
      <c r="BQM745" s="312"/>
      <c r="BQN745" s="312"/>
      <c r="BQO745" s="312"/>
      <c r="BQP745" s="312"/>
      <c r="BQQ745" s="312"/>
      <c r="BQR745" s="312"/>
      <c r="BQS745" s="312"/>
      <c r="BQT745" s="312"/>
      <c r="BQU745" s="312"/>
      <c r="BQV745" s="312"/>
      <c r="BQW745" s="312"/>
      <c r="BQX745" s="312"/>
      <c r="BQY745" s="312"/>
      <c r="BQZ745" s="312"/>
      <c r="BRA745" s="312"/>
      <c r="BRB745" s="312"/>
      <c r="BRC745" s="312"/>
      <c r="BRD745" s="312"/>
      <c r="BRE745" s="312"/>
      <c r="BRF745" s="312"/>
      <c r="BRG745" s="312"/>
      <c r="BRH745" s="312"/>
      <c r="BRI745" s="312"/>
      <c r="BRJ745" s="312"/>
      <c r="BRK745" s="312"/>
      <c r="BRL745" s="312"/>
      <c r="BRM745" s="312"/>
      <c r="BRN745" s="312"/>
      <c r="BRO745" s="312"/>
      <c r="BRP745" s="312"/>
      <c r="BRQ745" s="312"/>
      <c r="BRR745" s="312"/>
      <c r="BRS745" s="312"/>
      <c r="BRT745" s="312"/>
      <c r="BRU745" s="312"/>
      <c r="BRV745" s="312"/>
      <c r="BRW745" s="312"/>
      <c r="BRX745" s="312"/>
      <c r="BRY745" s="312"/>
      <c r="BRZ745" s="312"/>
      <c r="BSA745" s="312"/>
      <c r="BSB745" s="312"/>
      <c r="BSC745" s="312"/>
      <c r="BSD745" s="312"/>
      <c r="BSE745" s="312"/>
      <c r="BSF745" s="312"/>
      <c r="BSG745" s="312"/>
      <c r="BSH745" s="312"/>
      <c r="BSI745" s="312"/>
      <c r="BSJ745" s="312"/>
      <c r="BSK745" s="312"/>
      <c r="BSL745" s="312"/>
      <c r="BSM745" s="312"/>
      <c r="BSN745" s="312"/>
      <c r="BSO745" s="312"/>
      <c r="BSP745" s="312"/>
      <c r="BSQ745" s="312"/>
      <c r="BSR745" s="312"/>
      <c r="BSS745" s="312"/>
      <c r="BST745" s="312"/>
      <c r="BSU745" s="312"/>
      <c r="BSV745" s="312"/>
      <c r="BSW745" s="312"/>
      <c r="BSX745" s="312"/>
      <c r="BSY745" s="312"/>
      <c r="BSZ745" s="312"/>
      <c r="BTA745" s="312"/>
      <c r="BTB745" s="312"/>
      <c r="BTC745" s="312"/>
      <c r="BTD745" s="312"/>
      <c r="BTE745" s="312"/>
      <c r="BTF745" s="312"/>
      <c r="BTG745" s="312"/>
      <c r="BTH745" s="312"/>
      <c r="BTI745" s="312"/>
      <c r="BTJ745" s="312"/>
      <c r="BTK745" s="312"/>
      <c r="BTL745" s="312"/>
      <c r="BTM745" s="312"/>
      <c r="BTN745" s="312"/>
      <c r="BTO745" s="312"/>
      <c r="BTP745" s="312"/>
      <c r="BTQ745" s="312"/>
      <c r="BTR745" s="312"/>
      <c r="BTS745" s="312"/>
      <c r="BTT745" s="312"/>
      <c r="BTU745" s="312"/>
      <c r="BTV745" s="312"/>
      <c r="BTW745" s="312"/>
      <c r="BTX745" s="312"/>
      <c r="BTY745" s="312"/>
      <c r="BTZ745" s="312"/>
      <c r="BUA745" s="312"/>
      <c r="BUB745" s="312"/>
      <c r="BUC745" s="312"/>
      <c r="BUD745" s="312"/>
      <c r="BUE745" s="312"/>
      <c r="BUF745" s="312"/>
      <c r="BUG745" s="312"/>
      <c r="BUH745" s="312"/>
      <c r="BUI745" s="312"/>
      <c r="BUJ745" s="312"/>
      <c r="BUK745" s="312"/>
      <c r="BUL745" s="312"/>
      <c r="BUM745" s="312"/>
      <c r="BUN745" s="312"/>
      <c r="BUO745" s="312"/>
      <c r="BUP745" s="312"/>
      <c r="BUQ745" s="312"/>
      <c r="BUR745" s="312"/>
      <c r="BUS745" s="312"/>
      <c r="BUT745" s="312"/>
      <c r="BUU745" s="312"/>
      <c r="BUV745" s="312"/>
      <c r="BUW745" s="312"/>
      <c r="BUX745" s="312"/>
      <c r="BUY745" s="312"/>
      <c r="BUZ745" s="312"/>
      <c r="BVA745" s="312"/>
      <c r="BVB745" s="312"/>
      <c r="BVC745" s="312"/>
      <c r="BVD745" s="312"/>
      <c r="BVE745" s="312"/>
      <c r="BVF745" s="312"/>
      <c r="BVG745" s="312"/>
      <c r="BVH745" s="312"/>
      <c r="BVI745" s="312"/>
      <c r="BVJ745" s="312"/>
      <c r="BVK745" s="312"/>
      <c r="BVL745" s="312"/>
      <c r="BVM745" s="312"/>
      <c r="BVN745" s="312"/>
      <c r="BVO745" s="312"/>
      <c r="BVP745" s="312"/>
      <c r="BVQ745" s="312"/>
      <c r="BVR745" s="312"/>
      <c r="BVS745" s="312"/>
      <c r="BVT745" s="312"/>
      <c r="BVU745" s="312"/>
      <c r="BVV745" s="312"/>
      <c r="BVW745" s="312"/>
      <c r="BVX745" s="312"/>
      <c r="BVY745" s="312"/>
      <c r="BVZ745" s="312"/>
      <c r="BWA745" s="312"/>
      <c r="BWB745" s="312"/>
      <c r="BWC745" s="312"/>
      <c r="BWD745" s="312"/>
      <c r="BWE745" s="312"/>
      <c r="BWF745" s="312"/>
      <c r="BWG745" s="312"/>
      <c r="BWH745" s="312"/>
      <c r="BWI745" s="312"/>
      <c r="BWJ745" s="312"/>
      <c r="BWK745" s="312"/>
      <c r="BWL745" s="312"/>
      <c r="BWM745" s="312"/>
      <c r="BWN745" s="312"/>
      <c r="BWO745" s="312"/>
      <c r="BWP745" s="312"/>
      <c r="BWQ745" s="312"/>
      <c r="BWR745" s="312"/>
      <c r="BWS745" s="312"/>
      <c r="BWT745" s="312"/>
      <c r="BWU745" s="312"/>
      <c r="BWV745" s="312"/>
      <c r="BWW745" s="312"/>
      <c r="BWX745" s="312"/>
      <c r="BWY745" s="312"/>
      <c r="BWZ745" s="312"/>
      <c r="BXA745" s="312"/>
      <c r="BXB745" s="312"/>
      <c r="BXC745" s="312"/>
      <c r="BXD745" s="312"/>
      <c r="BXE745" s="312"/>
      <c r="BXF745" s="312"/>
      <c r="BXG745" s="312"/>
      <c r="BXH745" s="312"/>
      <c r="BXI745" s="312"/>
      <c r="BXJ745" s="312"/>
      <c r="BXK745" s="312"/>
      <c r="BXL745" s="312"/>
      <c r="BXM745" s="312"/>
      <c r="BXN745" s="312"/>
      <c r="BXO745" s="312"/>
      <c r="BXP745" s="312"/>
      <c r="BXQ745" s="312"/>
      <c r="BXR745" s="312"/>
      <c r="BXS745" s="312"/>
      <c r="BXT745" s="312"/>
      <c r="BXU745" s="312"/>
      <c r="BXV745" s="312"/>
      <c r="BXW745" s="312"/>
      <c r="BXX745" s="312"/>
      <c r="BXY745" s="312"/>
      <c r="BXZ745" s="312"/>
      <c r="BYA745" s="312"/>
      <c r="BYB745" s="312"/>
      <c r="BYC745" s="312"/>
      <c r="BYD745" s="312"/>
      <c r="BYE745" s="312"/>
      <c r="BYF745" s="312"/>
      <c r="BYG745" s="312"/>
      <c r="BYH745" s="312"/>
      <c r="BYI745" s="312"/>
      <c r="BYJ745" s="312"/>
      <c r="BYK745" s="312"/>
      <c r="BYL745" s="312"/>
      <c r="BYM745" s="312"/>
      <c r="BYN745" s="312"/>
      <c r="BYO745" s="312"/>
      <c r="BYP745" s="312"/>
      <c r="BYQ745" s="312"/>
      <c r="BYR745" s="312"/>
      <c r="BYS745" s="312"/>
      <c r="BYT745" s="312"/>
      <c r="BYU745" s="312"/>
      <c r="BYV745" s="312"/>
      <c r="BYW745" s="312"/>
      <c r="BYX745" s="312"/>
      <c r="BYY745" s="312"/>
      <c r="BYZ745" s="312"/>
      <c r="BZA745" s="312"/>
      <c r="BZB745" s="312"/>
      <c r="BZC745" s="312"/>
      <c r="BZD745" s="312"/>
      <c r="BZE745" s="312"/>
      <c r="BZF745" s="312"/>
      <c r="BZG745" s="312"/>
      <c r="BZH745" s="312"/>
      <c r="BZI745" s="312"/>
      <c r="BZJ745" s="312"/>
      <c r="BZK745" s="312"/>
      <c r="BZL745" s="312"/>
      <c r="BZM745" s="312"/>
      <c r="BZN745" s="312"/>
      <c r="BZO745" s="312"/>
      <c r="BZP745" s="312"/>
      <c r="BZQ745" s="312"/>
      <c r="BZR745" s="312"/>
      <c r="BZS745" s="312"/>
      <c r="BZT745" s="312"/>
      <c r="BZU745" s="312"/>
      <c r="BZV745" s="312"/>
      <c r="BZW745" s="312"/>
      <c r="BZX745" s="312"/>
      <c r="BZY745" s="312"/>
      <c r="BZZ745" s="312"/>
      <c r="CAA745" s="312"/>
      <c r="CAB745" s="312"/>
      <c r="CAC745" s="312"/>
      <c r="CAD745" s="312"/>
      <c r="CAE745" s="312"/>
      <c r="CAF745" s="312"/>
      <c r="CAG745" s="312"/>
      <c r="CAH745" s="312"/>
      <c r="CAI745" s="312"/>
      <c r="CAJ745" s="312"/>
      <c r="CAK745" s="312"/>
      <c r="CAL745" s="312"/>
      <c r="CAM745" s="312"/>
      <c r="CAN745" s="312"/>
      <c r="CAO745" s="312"/>
      <c r="CAP745" s="312"/>
      <c r="CAQ745" s="312"/>
      <c r="CAR745" s="312"/>
      <c r="CAS745" s="312"/>
      <c r="CAT745" s="312"/>
      <c r="CAU745" s="312"/>
      <c r="CAV745" s="312"/>
      <c r="CAW745" s="312"/>
      <c r="CAX745" s="312"/>
      <c r="CAY745" s="312"/>
      <c r="CAZ745" s="312"/>
      <c r="CBA745" s="312"/>
      <c r="CBB745" s="312"/>
      <c r="CBC745" s="312"/>
      <c r="CBD745" s="312"/>
      <c r="CBE745" s="312"/>
      <c r="CBF745" s="312"/>
      <c r="CBG745" s="312"/>
      <c r="CBH745" s="312"/>
      <c r="CBI745" s="312"/>
      <c r="CBJ745" s="312"/>
      <c r="CBK745" s="312"/>
      <c r="CBL745" s="312"/>
      <c r="CBM745" s="312"/>
      <c r="CBN745" s="312"/>
      <c r="CBO745" s="312"/>
      <c r="CBP745" s="312"/>
      <c r="CBQ745" s="312"/>
      <c r="CBR745" s="312"/>
      <c r="CBS745" s="312"/>
      <c r="CBT745" s="312"/>
      <c r="CBU745" s="312"/>
      <c r="CBV745" s="312"/>
      <c r="CBW745" s="312"/>
      <c r="CBX745" s="312"/>
      <c r="CBY745" s="312"/>
      <c r="CBZ745" s="312"/>
      <c r="CCA745" s="312"/>
      <c r="CCB745" s="312"/>
      <c r="CCC745" s="312"/>
      <c r="CCD745" s="312"/>
      <c r="CCE745" s="312"/>
      <c r="CCF745" s="312"/>
      <c r="CCG745" s="312"/>
      <c r="CCH745" s="312"/>
      <c r="CCI745" s="312"/>
      <c r="CCJ745" s="312"/>
      <c r="CCK745" s="312"/>
      <c r="CCL745" s="312"/>
      <c r="CCM745" s="312"/>
      <c r="CCN745" s="312"/>
      <c r="CCO745" s="312"/>
      <c r="CCP745" s="312"/>
      <c r="CCQ745" s="312"/>
      <c r="CCR745" s="312"/>
      <c r="CCS745" s="312"/>
      <c r="CCT745" s="312"/>
      <c r="CCU745" s="312"/>
      <c r="CCV745" s="312"/>
      <c r="CCW745" s="312"/>
      <c r="CCX745" s="312"/>
      <c r="CCY745" s="312"/>
      <c r="CCZ745" s="312"/>
      <c r="CDA745" s="312"/>
      <c r="CDB745" s="312"/>
      <c r="CDC745" s="312"/>
      <c r="CDD745" s="312"/>
      <c r="CDE745" s="312"/>
      <c r="CDF745" s="312"/>
      <c r="CDG745" s="312"/>
      <c r="CDH745" s="312"/>
      <c r="CDI745" s="312"/>
      <c r="CDJ745" s="312"/>
      <c r="CDK745" s="312"/>
      <c r="CDL745" s="312"/>
      <c r="CDM745" s="312"/>
      <c r="CDN745" s="312"/>
      <c r="CDO745" s="312"/>
      <c r="CDP745" s="312"/>
      <c r="CDQ745" s="312"/>
      <c r="CDR745" s="312"/>
      <c r="CDS745" s="312"/>
      <c r="CDT745" s="312"/>
      <c r="CDU745" s="312"/>
      <c r="CDV745" s="312"/>
      <c r="CDW745" s="312"/>
      <c r="CDX745" s="312"/>
      <c r="CDY745" s="312"/>
      <c r="CDZ745" s="312"/>
      <c r="CEA745" s="312"/>
      <c r="CEB745" s="312"/>
      <c r="CEC745" s="312"/>
      <c r="CED745" s="312"/>
      <c r="CEE745" s="312"/>
      <c r="CEF745" s="312"/>
      <c r="CEG745" s="312"/>
      <c r="CEH745" s="312"/>
      <c r="CEI745" s="312"/>
      <c r="CEJ745" s="312"/>
      <c r="CEK745" s="312"/>
      <c r="CEL745" s="312"/>
      <c r="CEM745" s="312"/>
      <c r="CEN745" s="312"/>
      <c r="CEO745" s="312"/>
      <c r="CEP745" s="312"/>
      <c r="CEQ745" s="312"/>
      <c r="CER745" s="312"/>
      <c r="CES745" s="312"/>
      <c r="CET745" s="312"/>
      <c r="CEU745" s="312"/>
      <c r="CEV745" s="312"/>
      <c r="CEW745" s="312"/>
      <c r="CEX745" s="312"/>
      <c r="CEY745" s="312"/>
      <c r="CEZ745" s="312"/>
      <c r="CFA745" s="312"/>
      <c r="CFB745" s="312"/>
      <c r="CFC745" s="312"/>
      <c r="CFD745" s="312"/>
      <c r="CFE745" s="312"/>
      <c r="CFF745" s="312"/>
      <c r="CFG745" s="312"/>
      <c r="CFH745" s="312"/>
      <c r="CFI745" s="312"/>
      <c r="CFJ745" s="312"/>
      <c r="CFK745" s="312"/>
      <c r="CFL745" s="312"/>
      <c r="CFM745" s="312"/>
      <c r="CFN745" s="312"/>
      <c r="CFO745" s="312"/>
      <c r="CFP745" s="312"/>
      <c r="CFQ745" s="312"/>
      <c r="CFR745" s="312"/>
      <c r="CFS745" s="312"/>
      <c r="CFT745" s="312"/>
      <c r="CFU745" s="312"/>
      <c r="CFV745" s="312"/>
      <c r="CFW745" s="312"/>
      <c r="CFX745" s="312"/>
      <c r="CFY745" s="312"/>
      <c r="CFZ745" s="312"/>
      <c r="CGA745" s="312"/>
      <c r="CGB745" s="312"/>
      <c r="CGC745" s="312"/>
      <c r="CGD745" s="312"/>
      <c r="CGE745" s="312"/>
      <c r="CGF745" s="312"/>
      <c r="CGG745" s="312"/>
      <c r="CGH745" s="312"/>
      <c r="CGI745" s="312"/>
      <c r="CGJ745" s="312"/>
      <c r="CGK745" s="312"/>
      <c r="CGL745" s="312"/>
      <c r="CGM745" s="312"/>
      <c r="CGN745" s="312"/>
      <c r="CGO745" s="312"/>
      <c r="CGP745" s="312"/>
      <c r="CGQ745" s="312"/>
      <c r="CGR745" s="312"/>
      <c r="CGS745" s="312"/>
      <c r="CGT745" s="312"/>
      <c r="CGU745" s="312"/>
      <c r="CGV745" s="312"/>
      <c r="CGW745" s="312"/>
      <c r="CGX745" s="312"/>
      <c r="CGY745" s="312"/>
      <c r="CGZ745" s="312"/>
      <c r="CHA745" s="312"/>
      <c r="CHB745" s="312"/>
      <c r="CHC745" s="312"/>
      <c r="CHD745" s="312"/>
      <c r="CHE745" s="312"/>
      <c r="CHF745" s="312"/>
      <c r="CHG745" s="312"/>
      <c r="CHH745" s="312"/>
      <c r="CHI745" s="312"/>
      <c r="CHJ745" s="312"/>
      <c r="CHK745" s="312"/>
      <c r="CHL745" s="312"/>
      <c r="CHM745" s="312"/>
      <c r="CHN745" s="312"/>
      <c r="CHO745" s="312"/>
      <c r="CHP745" s="312"/>
      <c r="CHQ745" s="312"/>
      <c r="CHR745" s="312"/>
      <c r="CHS745" s="312"/>
      <c r="CHT745" s="312"/>
      <c r="CHU745" s="312"/>
      <c r="CHV745" s="312"/>
      <c r="CHW745" s="312"/>
      <c r="CHX745" s="312"/>
      <c r="CHY745" s="312"/>
      <c r="CHZ745" s="312"/>
      <c r="CIA745" s="312"/>
      <c r="CIB745" s="312"/>
      <c r="CIC745" s="312"/>
      <c r="CID745" s="312"/>
      <c r="CIE745" s="312"/>
      <c r="CIF745" s="312"/>
      <c r="CIG745" s="312"/>
      <c r="CIH745" s="312"/>
      <c r="CII745" s="312"/>
      <c r="CIJ745" s="312"/>
      <c r="CIK745" s="312"/>
      <c r="CIL745" s="312"/>
      <c r="CIM745" s="312"/>
      <c r="CIN745" s="312"/>
      <c r="CIO745" s="312"/>
      <c r="CIP745" s="312"/>
      <c r="CIQ745" s="312"/>
      <c r="CIR745" s="312"/>
      <c r="CIS745" s="312"/>
      <c r="CIT745" s="312"/>
      <c r="CIU745" s="312"/>
      <c r="CIV745" s="312"/>
      <c r="CIW745" s="312"/>
      <c r="CIX745" s="312"/>
      <c r="CIY745" s="312"/>
      <c r="CIZ745" s="312"/>
      <c r="CJA745" s="312"/>
      <c r="CJB745" s="312"/>
      <c r="CJC745" s="312"/>
      <c r="CJD745" s="312"/>
      <c r="CJE745" s="312"/>
      <c r="CJF745" s="312"/>
      <c r="CJG745" s="312"/>
      <c r="CJH745" s="312"/>
      <c r="CJI745" s="312"/>
      <c r="CJJ745" s="312"/>
      <c r="CJK745" s="312"/>
      <c r="CJL745" s="312"/>
      <c r="CJM745" s="312"/>
      <c r="CJN745" s="312"/>
      <c r="CJO745" s="312"/>
      <c r="CJP745" s="312"/>
      <c r="CJQ745" s="312"/>
      <c r="CJR745" s="312"/>
      <c r="CJS745" s="312"/>
      <c r="CJT745" s="312"/>
      <c r="CJU745" s="312"/>
      <c r="CJV745" s="312"/>
      <c r="CJW745" s="312"/>
      <c r="CJX745" s="312"/>
      <c r="CJY745" s="312"/>
      <c r="CJZ745" s="312"/>
      <c r="CKA745" s="312"/>
      <c r="CKB745" s="312"/>
      <c r="CKC745" s="312"/>
      <c r="CKD745" s="312"/>
      <c r="CKE745" s="312"/>
      <c r="CKF745" s="312"/>
      <c r="CKG745" s="312"/>
      <c r="CKH745" s="312"/>
      <c r="CKI745" s="312"/>
      <c r="CKJ745" s="312"/>
      <c r="CKK745" s="312"/>
      <c r="CKL745" s="312"/>
      <c r="CKM745" s="312"/>
      <c r="CKN745" s="312"/>
      <c r="CKO745" s="312"/>
      <c r="CKP745" s="312"/>
      <c r="CKQ745" s="312"/>
      <c r="CKR745" s="312"/>
      <c r="CKS745" s="312"/>
      <c r="CKT745" s="312"/>
      <c r="CKU745" s="312"/>
      <c r="CKV745" s="312"/>
      <c r="CKW745" s="312"/>
      <c r="CKX745" s="312"/>
      <c r="CKY745" s="312"/>
      <c r="CKZ745" s="312"/>
      <c r="CLA745" s="312"/>
      <c r="CLB745" s="312"/>
      <c r="CLC745" s="312"/>
      <c r="CLD745" s="312"/>
      <c r="CLE745" s="312"/>
      <c r="CLF745" s="312"/>
      <c r="CLG745" s="312"/>
      <c r="CLH745" s="312"/>
      <c r="CLI745" s="312"/>
      <c r="CLJ745" s="312"/>
      <c r="CLK745" s="312"/>
      <c r="CLL745" s="312"/>
      <c r="CLM745" s="312"/>
      <c r="CLN745" s="312"/>
      <c r="CLO745" s="312"/>
      <c r="CLP745" s="312"/>
      <c r="CLQ745" s="312"/>
      <c r="CLR745" s="312"/>
      <c r="CLS745" s="312"/>
      <c r="CLT745" s="312"/>
      <c r="CLU745" s="312"/>
      <c r="CLV745" s="312"/>
      <c r="CLW745" s="312"/>
      <c r="CLX745" s="312"/>
      <c r="CLY745" s="312"/>
      <c r="CLZ745" s="312"/>
      <c r="CMA745" s="312"/>
      <c r="CMB745" s="312"/>
      <c r="CMC745" s="312"/>
      <c r="CMD745" s="312"/>
      <c r="CME745" s="312"/>
      <c r="CMF745" s="312"/>
      <c r="CMG745" s="312"/>
      <c r="CMH745" s="312"/>
      <c r="CMI745" s="312"/>
      <c r="CMJ745" s="312"/>
      <c r="CMK745" s="312"/>
      <c r="CML745" s="312"/>
      <c r="CMM745" s="312"/>
      <c r="CMN745" s="312"/>
      <c r="CMO745" s="312"/>
      <c r="CMP745" s="312"/>
      <c r="CMQ745" s="312"/>
      <c r="CMR745" s="312"/>
      <c r="CMS745" s="312"/>
      <c r="CMT745" s="312"/>
      <c r="CMU745" s="312"/>
      <c r="CMV745" s="312"/>
      <c r="CMW745" s="312"/>
      <c r="CMX745" s="312"/>
      <c r="CMY745" s="312"/>
      <c r="CMZ745" s="312"/>
      <c r="CNA745" s="312"/>
      <c r="CNB745" s="312"/>
      <c r="CNC745" s="312"/>
      <c r="CND745" s="312"/>
      <c r="CNE745" s="312"/>
      <c r="CNF745" s="312"/>
      <c r="CNG745" s="312"/>
      <c r="CNH745" s="312"/>
      <c r="CNI745" s="312"/>
      <c r="CNJ745" s="312"/>
      <c r="CNK745" s="312"/>
      <c r="CNL745" s="312"/>
      <c r="CNM745" s="312"/>
      <c r="CNN745" s="312"/>
      <c r="CNO745" s="312"/>
      <c r="CNP745" s="312"/>
      <c r="CNQ745" s="312"/>
      <c r="CNR745" s="312"/>
      <c r="CNS745" s="312"/>
      <c r="CNT745" s="312"/>
      <c r="CNU745" s="312"/>
      <c r="CNV745" s="312"/>
      <c r="CNW745" s="312"/>
      <c r="CNX745" s="312"/>
      <c r="CNY745" s="312"/>
      <c r="CNZ745" s="312"/>
      <c r="COA745" s="312"/>
      <c r="COB745" s="312"/>
      <c r="COC745" s="312"/>
      <c r="COD745" s="312"/>
      <c r="COE745" s="312"/>
      <c r="COF745" s="312"/>
      <c r="COG745" s="312"/>
      <c r="COH745" s="312"/>
      <c r="COI745" s="312"/>
      <c r="COJ745" s="312"/>
      <c r="COK745" s="312"/>
      <c r="COL745" s="312"/>
      <c r="COM745" s="312"/>
      <c r="CON745" s="312"/>
      <c r="COO745" s="312"/>
      <c r="COP745" s="312"/>
      <c r="COQ745" s="312"/>
      <c r="COR745" s="312"/>
      <c r="COS745" s="312"/>
      <c r="COT745" s="312"/>
      <c r="COU745" s="312"/>
      <c r="COV745" s="312"/>
      <c r="COW745" s="312"/>
      <c r="COX745" s="312"/>
      <c r="COY745" s="312"/>
      <c r="COZ745" s="312"/>
      <c r="CPA745" s="312"/>
      <c r="CPB745" s="312"/>
      <c r="CPC745" s="312"/>
      <c r="CPD745" s="312"/>
      <c r="CPE745" s="312"/>
      <c r="CPF745" s="312"/>
      <c r="CPG745" s="312"/>
      <c r="CPH745" s="312"/>
      <c r="CPI745" s="312"/>
      <c r="CPJ745" s="312"/>
      <c r="CPK745" s="312"/>
      <c r="CPL745" s="312"/>
      <c r="CPM745" s="312"/>
      <c r="CPN745" s="312"/>
      <c r="CPO745" s="312"/>
      <c r="CPP745" s="312"/>
      <c r="CPQ745" s="312"/>
      <c r="CPR745" s="312"/>
      <c r="CPS745" s="312"/>
      <c r="CPT745" s="312"/>
      <c r="CPU745" s="312"/>
      <c r="CPV745" s="312"/>
      <c r="CPW745" s="312"/>
      <c r="CPX745" s="312"/>
      <c r="CPY745" s="312"/>
      <c r="CPZ745" s="312"/>
      <c r="CQA745" s="312"/>
      <c r="CQB745" s="312"/>
      <c r="CQC745" s="312"/>
      <c r="CQD745" s="312"/>
      <c r="CQE745" s="312"/>
      <c r="CQF745" s="312"/>
      <c r="CQG745" s="312"/>
      <c r="CQH745" s="312"/>
      <c r="CQI745" s="312"/>
      <c r="CQJ745" s="312"/>
      <c r="CQK745" s="312"/>
      <c r="CQL745" s="312"/>
      <c r="CQM745" s="312"/>
      <c r="CQN745" s="312"/>
      <c r="CQO745" s="312"/>
      <c r="CQP745" s="312"/>
      <c r="CQQ745" s="312"/>
      <c r="CQR745" s="312"/>
      <c r="CQS745" s="312"/>
      <c r="CQT745" s="312"/>
      <c r="CQU745" s="312"/>
      <c r="CQV745" s="312"/>
      <c r="CQW745" s="312"/>
      <c r="CQX745" s="312"/>
      <c r="CQY745" s="312"/>
      <c r="CQZ745" s="312"/>
      <c r="CRA745" s="312"/>
      <c r="CRB745" s="312"/>
      <c r="CRC745" s="312"/>
      <c r="CRD745" s="312"/>
      <c r="CRE745" s="312"/>
      <c r="CRF745" s="312"/>
      <c r="CRG745" s="312"/>
      <c r="CRH745" s="312"/>
      <c r="CRI745" s="312"/>
      <c r="CRJ745" s="312"/>
      <c r="CRK745" s="312"/>
      <c r="CRL745" s="312"/>
      <c r="CRM745" s="312"/>
      <c r="CRN745" s="312"/>
      <c r="CRO745" s="312"/>
      <c r="CRP745" s="312"/>
      <c r="CRQ745" s="312"/>
      <c r="CRR745" s="312"/>
      <c r="CRS745" s="312"/>
      <c r="CRT745" s="312"/>
      <c r="CRU745" s="312"/>
      <c r="CRV745" s="312"/>
      <c r="CRW745" s="312"/>
      <c r="CRX745" s="312"/>
      <c r="CRY745" s="312"/>
      <c r="CRZ745" s="312"/>
      <c r="CSA745" s="312"/>
      <c r="CSB745" s="312"/>
      <c r="CSC745" s="312"/>
      <c r="CSD745" s="312"/>
      <c r="CSE745" s="312"/>
      <c r="CSF745" s="312"/>
      <c r="CSG745" s="312"/>
      <c r="CSH745" s="312"/>
      <c r="CSI745" s="312"/>
      <c r="CSJ745" s="312"/>
      <c r="CSK745" s="312"/>
      <c r="CSL745" s="312"/>
      <c r="CSM745" s="312"/>
      <c r="CSN745" s="312"/>
      <c r="CSO745" s="312"/>
      <c r="CSP745" s="312"/>
      <c r="CSQ745" s="312"/>
      <c r="CSR745" s="312"/>
      <c r="CSS745" s="312"/>
      <c r="CST745" s="312"/>
      <c r="CSU745" s="312"/>
      <c r="CSV745" s="312"/>
      <c r="CSW745" s="312"/>
      <c r="CSX745" s="312"/>
      <c r="CSY745" s="312"/>
      <c r="CSZ745" s="312"/>
      <c r="CTA745" s="312"/>
      <c r="CTB745" s="312"/>
      <c r="CTC745" s="312"/>
      <c r="CTD745" s="312"/>
      <c r="CTE745" s="312"/>
      <c r="CTF745" s="312"/>
      <c r="CTG745" s="312"/>
      <c r="CTH745" s="312"/>
      <c r="CTI745" s="312"/>
      <c r="CTJ745" s="312"/>
      <c r="CTK745" s="312"/>
      <c r="CTL745" s="312"/>
      <c r="CTM745" s="312"/>
      <c r="CTN745" s="312"/>
      <c r="CTO745" s="312"/>
      <c r="CTP745" s="312"/>
      <c r="CTQ745" s="312"/>
      <c r="CTR745" s="312"/>
      <c r="CTS745" s="312"/>
      <c r="CTT745" s="312"/>
      <c r="CTU745" s="312"/>
      <c r="CTV745" s="312"/>
      <c r="CTW745" s="312"/>
      <c r="CTX745" s="312"/>
      <c r="CTY745" s="312"/>
      <c r="CTZ745" s="312"/>
      <c r="CUA745" s="312"/>
      <c r="CUB745" s="312"/>
      <c r="CUC745" s="312"/>
      <c r="CUD745" s="312"/>
      <c r="CUE745" s="312"/>
      <c r="CUF745" s="312"/>
      <c r="CUG745" s="312"/>
      <c r="CUH745" s="312"/>
      <c r="CUI745" s="312"/>
      <c r="CUJ745" s="312"/>
      <c r="CUK745" s="312"/>
      <c r="CUL745" s="312"/>
      <c r="CUM745" s="312"/>
      <c r="CUN745" s="312"/>
      <c r="CUO745" s="312"/>
      <c r="CUP745" s="312"/>
      <c r="CUQ745" s="312"/>
      <c r="CUR745" s="312"/>
      <c r="CUS745" s="312"/>
      <c r="CUT745" s="312"/>
      <c r="CUU745" s="312"/>
      <c r="CUV745" s="312"/>
      <c r="CUW745" s="312"/>
      <c r="CUX745" s="312"/>
      <c r="CUY745" s="312"/>
      <c r="CUZ745" s="312"/>
      <c r="CVA745" s="312"/>
      <c r="CVB745" s="312"/>
      <c r="CVC745" s="312"/>
      <c r="CVD745" s="312"/>
      <c r="CVE745" s="312"/>
      <c r="CVF745" s="312"/>
      <c r="CVG745" s="312"/>
      <c r="CVH745" s="312"/>
      <c r="CVI745" s="312"/>
      <c r="CVJ745" s="312"/>
      <c r="CVK745" s="312"/>
      <c r="CVL745" s="312"/>
      <c r="CVM745" s="312"/>
      <c r="CVN745" s="312"/>
      <c r="CVO745" s="312"/>
      <c r="CVP745" s="312"/>
      <c r="CVQ745" s="312"/>
      <c r="CVR745" s="312"/>
      <c r="CVS745" s="312"/>
      <c r="CVT745" s="312"/>
      <c r="CVU745" s="312"/>
      <c r="CVV745" s="312"/>
      <c r="CVW745" s="312"/>
      <c r="CVX745" s="312"/>
      <c r="CVY745" s="312"/>
      <c r="CVZ745" s="312"/>
      <c r="CWA745" s="312"/>
      <c r="CWB745" s="312"/>
      <c r="CWC745" s="312"/>
      <c r="CWD745" s="312"/>
      <c r="CWE745" s="312"/>
      <c r="CWF745" s="312"/>
      <c r="CWG745" s="312"/>
      <c r="CWH745" s="312"/>
      <c r="CWI745" s="312"/>
      <c r="CWJ745" s="312"/>
      <c r="CWK745" s="312"/>
      <c r="CWL745" s="312"/>
      <c r="CWM745" s="312"/>
      <c r="CWN745" s="312"/>
      <c r="CWO745" s="312"/>
      <c r="CWP745" s="312"/>
      <c r="CWQ745" s="312"/>
      <c r="CWR745" s="312"/>
      <c r="CWS745" s="312"/>
      <c r="CWT745" s="312"/>
      <c r="CWU745" s="312"/>
      <c r="CWV745" s="312"/>
      <c r="CWW745" s="312"/>
      <c r="CWX745" s="312"/>
      <c r="CWY745" s="312"/>
      <c r="CWZ745" s="312"/>
      <c r="CXA745" s="312"/>
      <c r="CXB745" s="312"/>
      <c r="CXC745" s="312"/>
      <c r="CXD745" s="312"/>
      <c r="CXE745" s="312"/>
      <c r="CXF745" s="312"/>
      <c r="CXG745" s="312"/>
      <c r="CXH745" s="312"/>
      <c r="CXI745" s="312"/>
      <c r="CXJ745" s="312"/>
      <c r="CXK745" s="312"/>
      <c r="CXL745" s="312"/>
      <c r="CXM745" s="312"/>
      <c r="CXN745" s="312"/>
      <c r="CXO745" s="312"/>
      <c r="CXP745" s="312"/>
      <c r="CXQ745" s="312"/>
      <c r="CXR745" s="312"/>
      <c r="CXS745" s="312"/>
      <c r="CXT745" s="312"/>
      <c r="CXU745" s="312"/>
      <c r="CXV745" s="312"/>
      <c r="CXW745" s="312"/>
      <c r="CXX745" s="312"/>
      <c r="CXY745" s="312"/>
      <c r="CXZ745" s="312"/>
      <c r="CYA745" s="312"/>
      <c r="CYB745" s="312"/>
      <c r="CYC745" s="312"/>
      <c r="CYD745" s="312"/>
      <c r="CYE745" s="312"/>
      <c r="CYF745" s="312"/>
      <c r="CYG745" s="312"/>
      <c r="CYH745" s="312"/>
      <c r="CYI745" s="312"/>
      <c r="CYJ745" s="312"/>
      <c r="CYK745" s="312"/>
      <c r="CYL745" s="312"/>
      <c r="CYM745" s="312"/>
      <c r="CYN745" s="312"/>
      <c r="CYO745" s="312"/>
      <c r="CYP745" s="312"/>
      <c r="CYQ745" s="312"/>
      <c r="CYR745" s="312"/>
      <c r="CYS745" s="312"/>
      <c r="CYT745" s="312"/>
      <c r="CYU745" s="312"/>
      <c r="CYV745" s="312"/>
      <c r="CYW745" s="312"/>
      <c r="CYX745" s="312"/>
      <c r="CYY745" s="312"/>
      <c r="CYZ745" s="312"/>
      <c r="CZA745" s="312"/>
      <c r="CZB745" s="312"/>
      <c r="CZC745" s="312"/>
      <c r="CZD745" s="312"/>
      <c r="CZE745" s="312"/>
      <c r="CZF745" s="312"/>
      <c r="CZG745" s="312"/>
      <c r="CZH745" s="312"/>
      <c r="CZI745" s="312"/>
      <c r="CZJ745" s="312"/>
      <c r="CZK745" s="312"/>
      <c r="CZL745" s="312"/>
      <c r="CZM745" s="312"/>
      <c r="CZN745" s="312"/>
      <c r="CZO745" s="312"/>
      <c r="CZP745" s="312"/>
      <c r="CZQ745" s="312"/>
      <c r="CZR745" s="312"/>
      <c r="CZS745" s="312"/>
      <c r="CZT745" s="312"/>
      <c r="CZU745" s="312"/>
      <c r="CZV745" s="312"/>
      <c r="CZW745" s="312"/>
      <c r="CZX745" s="312"/>
      <c r="CZY745" s="312"/>
      <c r="CZZ745" s="312"/>
      <c r="DAA745" s="312"/>
      <c r="DAB745" s="312"/>
      <c r="DAC745" s="312"/>
      <c r="DAD745" s="312"/>
      <c r="DAE745" s="312"/>
      <c r="DAF745" s="312"/>
      <c r="DAG745" s="312"/>
      <c r="DAH745" s="312"/>
      <c r="DAI745" s="312"/>
      <c r="DAJ745" s="312"/>
      <c r="DAK745" s="312"/>
      <c r="DAL745" s="312"/>
      <c r="DAM745" s="312"/>
      <c r="DAN745" s="312"/>
      <c r="DAO745" s="312"/>
      <c r="DAP745" s="312"/>
      <c r="DAQ745" s="312"/>
      <c r="DAR745" s="312"/>
      <c r="DAS745" s="312"/>
      <c r="DAT745" s="312"/>
      <c r="DAU745" s="312"/>
      <c r="DAV745" s="312"/>
      <c r="DAW745" s="312"/>
      <c r="DAX745" s="312"/>
      <c r="DAY745" s="312"/>
      <c r="DAZ745" s="312"/>
      <c r="DBA745" s="312"/>
      <c r="DBB745" s="312"/>
      <c r="DBC745" s="312"/>
      <c r="DBD745" s="312"/>
      <c r="DBE745" s="312"/>
      <c r="DBF745" s="312"/>
      <c r="DBG745" s="312"/>
      <c r="DBH745" s="312"/>
      <c r="DBI745" s="312"/>
      <c r="DBJ745" s="312"/>
      <c r="DBK745" s="312"/>
      <c r="DBL745" s="312"/>
      <c r="DBM745" s="312"/>
      <c r="DBN745" s="312"/>
      <c r="DBO745" s="312"/>
      <c r="DBP745" s="312"/>
      <c r="DBQ745" s="312"/>
      <c r="DBR745" s="312"/>
      <c r="DBS745" s="312"/>
      <c r="DBT745" s="312"/>
      <c r="DBU745" s="312"/>
      <c r="DBV745" s="312"/>
      <c r="DBW745" s="312"/>
      <c r="DBX745" s="312"/>
      <c r="DBY745" s="312"/>
      <c r="DBZ745" s="312"/>
      <c r="DCA745" s="312"/>
      <c r="DCB745" s="312"/>
      <c r="DCC745" s="312"/>
      <c r="DCD745" s="312"/>
      <c r="DCE745" s="312"/>
      <c r="DCF745" s="312"/>
      <c r="DCG745" s="312"/>
      <c r="DCH745" s="312"/>
      <c r="DCI745" s="312"/>
      <c r="DCJ745" s="312"/>
      <c r="DCK745" s="312"/>
      <c r="DCL745" s="312"/>
      <c r="DCM745" s="312"/>
      <c r="DCN745" s="312"/>
      <c r="DCO745" s="312"/>
      <c r="DCP745" s="312"/>
      <c r="DCQ745" s="312"/>
      <c r="DCR745" s="312"/>
      <c r="DCS745" s="312"/>
      <c r="DCT745" s="312"/>
      <c r="DCU745" s="312"/>
      <c r="DCV745" s="312"/>
      <c r="DCW745" s="312"/>
      <c r="DCX745" s="312"/>
      <c r="DCY745" s="312"/>
      <c r="DCZ745" s="312"/>
      <c r="DDA745" s="312"/>
      <c r="DDB745" s="312"/>
      <c r="DDC745" s="312"/>
      <c r="DDD745" s="312"/>
      <c r="DDE745" s="312"/>
      <c r="DDF745" s="312"/>
      <c r="DDG745" s="312"/>
      <c r="DDH745" s="312"/>
      <c r="DDI745" s="312"/>
      <c r="DDJ745" s="312"/>
      <c r="DDK745" s="312"/>
      <c r="DDL745" s="312"/>
      <c r="DDM745" s="312"/>
      <c r="DDN745" s="312"/>
      <c r="DDO745" s="312"/>
      <c r="DDP745" s="312"/>
      <c r="DDQ745" s="312"/>
      <c r="DDR745" s="312"/>
      <c r="DDS745" s="312"/>
      <c r="DDT745" s="312"/>
      <c r="DDU745" s="312"/>
      <c r="DDV745" s="312"/>
      <c r="DDW745" s="312"/>
      <c r="DDX745" s="312"/>
      <c r="DDY745" s="312"/>
      <c r="DDZ745" s="312"/>
      <c r="DEA745" s="312"/>
      <c r="DEB745" s="312"/>
      <c r="DEC745" s="312"/>
      <c r="DED745" s="312"/>
      <c r="DEE745" s="312"/>
      <c r="DEF745" s="312"/>
      <c r="DEG745" s="312"/>
      <c r="DEH745" s="312"/>
      <c r="DEI745" s="312"/>
      <c r="DEJ745" s="312"/>
      <c r="DEK745" s="312"/>
      <c r="DEL745" s="312"/>
      <c r="DEM745" s="312"/>
      <c r="DEN745" s="312"/>
      <c r="DEO745" s="312"/>
      <c r="DEP745" s="312"/>
      <c r="DEQ745" s="312"/>
      <c r="DER745" s="312"/>
      <c r="DES745" s="312"/>
      <c r="DET745" s="312"/>
      <c r="DEU745" s="312"/>
      <c r="DEV745" s="312"/>
      <c r="DEW745" s="312"/>
      <c r="DEX745" s="312"/>
      <c r="DEY745" s="312"/>
      <c r="DEZ745" s="312"/>
      <c r="DFA745" s="312"/>
      <c r="DFB745" s="312"/>
      <c r="DFC745" s="312"/>
      <c r="DFD745" s="312"/>
      <c r="DFE745" s="312"/>
      <c r="DFF745" s="312"/>
      <c r="DFG745" s="312"/>
      <c r="DFH745" s="312"/>
      <c r="DFI745" s="312"/>
      <c r="DFJ745" s="312"/>
      <c r="DFK745" s="312"/>
      <c r="DFL745" s="312"/>
      <c r="DFM745" s="312"/>
      <c r="DFN745" s="312"/>
      <c r="DFO745" s="312"/>
      <c r="DFP745" s="312"/>
      <c r="DFQ745" s="312"/>
      <c r="DFR745" s="312"/>
      <c r="DFS745" s="312"/>
      <c r="DFT745" s="312"/>
      <c r="DFU745" s="312"/>
      <c r="DFV745" s="312"/>
      <c r="DFW745" s="312"/>
      <c r="DFX745" s="312"/>
      <c r="DFY745" s="312"/>
      <c r="DFZ745" s="312"/>
      <c r="DGA745" s="312"/>
      <c r="DGB745" s="312"/>
      <c r="DGC745" s="312"/>
      <c r="DGD745" s="312"/>
      <c r="DGE745" s="312"/>
      <c r="DGF745" s="312"/>
      <c r="DGG745" s="312"/>
      <c r="DGH745" s="312"/>
      <c r="DGI745" s="312"/>
      <c r="DGJ745" s="312"/>
      <c r="DGK745" s="312"/>
      <c r="DGL745" s="312"/>
      <c r="DGM745" s="312"/>
      <c r="DGN745" s="312"/>
      <c r="DGO745" s="312"/>
      <c r="DGP745" s="312"/>
      <c r="DGQ745" s="312"/>
      <c r="DGR745" s="312"/>
      <c r="DGS745" s="312"/>
      <c r="DGT745" s="312"/>
      <c r="DGU745" s="312"/>
      <c r="DGV745" s="312"/>
      <c r="DGW745" s="312"/>
      <c r="DGX745" s="312"/>
      <c r="DGY745" s="312"/>
      <c r="DGZ745" s="312"/>
      <c r="DHA745" s="312"/>
      <c r="DHB745" s="312"/>
      <c r="DHC745" s="312"/>
      <c r="DHD745" s="312"/>
      <c r="DHE745" s="312"/>
      <c r="DHF745" s="312"/>
      <c r="DHG745" s="312"/>
      <c r="DHH745" s="312"/>
      <c r="DHI745" s="312"/>
      <c r="DHJ745" s="312"/>
      <c r="DHK745" s="312"/>
      <c r="DHL745" s="312"/>
      <c r="DHM745" s="312"/>
      <c r="DHN745" s="312"/>
      <c r="DHO745" s="312"/>
      <c r="DHP745" s="312"/>
      <c r="DHQ745" s="312"/>
      <c r="DHR745" s="312"/>
      <c r="DHS745" s="312"/>
      <c r="DHT745" s="312"/>
      <c r="DHU745" s="312"/>
      <c r="DHV745" s="312"/>
      <c r="DHW745" s="312"/>
      <c r="DHX745" s="312"/>
      <c r="DHY745" s="312"/>
      <c r="DHZ745" s="312"/>
      <c r="DIA745" s="312"/>
      <c r="DIB745" s="312"/>
      <c r="DIC745" s="312"/>
      <c r="DID745" s="312"/>
      <c r="DIE745" s="312"/>
      <c r="DIF745" s="312"/>
      <c r="DIG745" s="312"/>
      <c r="DIH745" s="312"/>
      <c r="DII745" s="312"/>
      <c r="DIJ745" s="312"/>
      <c r="DIK745" s="312"/>
      <c r="DIL745" s="312"/>
      <c r="DIM745" s="312"/>
      <c r="DIN745" s="312"/>
      <c r="DIO745" s="312"/>
      <c r="DIP745" s="312"/>
      <c r="DIQ745" s="312"/>
      <c r="DIR745" s="312"/>
      <c r="DIS745" s="312"/>
      <c r="DIT745" s="312"/>
      <c r="DIU745" s="312"/>
      <c r="DIV745" s="312"/>
      <c r="DIW745" s="312"/>
      <c r="DIX745" s="312"/>
      <c r="DIY745" s="312"/>
      <c r="DIZ745" s="312"/>
      <c r="DJA745" s="312"/>
      <c r="DJB745" s="312"/>
      <c r="DJC745" s="312"/>
      <c r="DJD745" s="312"/>
      <c r="DJE745" s="312"/>
      <c r="DJF745" s="312"/>
      <c r="DJG745" s="312"/>
      <c r="DJH745" s="312"/>
      <c r="DJI745" s="312"/>
      <c r="DJJ745" s="312"/>
      <c r="DJK745" s="312"/>
      <c r="DJL745" s="312"/>
      <c r="DJM745" s="312"/>
      <c r="DJN745" s="312"/>
      <c r="DJO745" s="312"/>
      <c r="DJP745" s="312"/>
      <c r="DJQ745" s="312"/>
      <c r="DJR745" s="312"/>
      <c r="DJS745" s="312"/>
      <c r="DJT745" s="312"/>
      <c r="DJU745" s="312"/>
      <c r="DJV745" s="312"/>
      <c r="DJW745" s="312"/>
      <c r="DJX745" s="312"/>
      <c r="DJY745" s="312"/>
      <c r="DJZ745" s="312"/>
      <c r="DKA745" s="312"/>
      <c r="DKB745" s="312"/>
      <c r="DKC745" s="312"/>
      <c r="DKD745" s="312"/>
      <c r="DKE745" s="312"/>
      <c r="DKF745" s="312"/>
      <c r="DKG745" s="312"/>
      <c r="DKH745" s="312"/>
      <c r="DKI745" s="312"/>
      <c r="DKJ745" s="312"/>
      <c r="DKK745" s="312"/>
      <c r="DKL745" s="312"/>
      <c r="DKM745" s="312"/>
      <c r="DKN745" s="312"/>
      <c r="DKO745" s="312"/>
      <c r="DKP745" s="312"/>
      <c r="DKQ745" s="312"/>
      <c r="DKR745" s="312"/>
      <c r="DKS745" s="312"/>
      <c r="DKT745" s="312"/>
      <c r="DKU745" s="312"/>
      <c r="DKV745" s="312"/>
      <c r="DKW745" s="312"/>
      <c r="DKX745" s="312"/>
      <c r="DKY745" s="312"/>
      <c r="DKZ745" s="312"/>
      <c r="DLA745" s="312"/>
      <c r="DLB745" s="312"/>
      <c r="DLC745" s="312"/>
      <c r="DLD745" s="312"/>
      <c r="DLE745" s="312"/>
      <c r="DLF745" s="312"/>
      <c r="DLG745" s="312"/>
      <c r="DLH745" s="312"/>
      <c r="DLI745" s="312"/>
      <c r="DLJ745" s="312"/>
      <c r="DLK745" s="312"/>
      <c r="DLL745" s="312"/>
      <c r="DLM745" s="312"/>
      <c r="DLN745" s="312"/>
      <c r="DLO745" s="312"/>
      <c r="DLP745" s="312"/>
      <c r="DLQ745" s="312"/>
      <c r="DLR745" s="312"/>
      <c r="DLS745" s="312"/>
      <c r="DLT745" s="312"/>
      <c r="DLU745" s="312"/>
      <c r="DLV745" s="312"/>
      <c r="DLW745" s="312"/>
      <c r="DLX745" s="312"/>
      <c r="DLY745" s="312"/>
      <c r="DLZ745" s="312"/>
      <c r="DMA745" s="312"/>
      <c r="DMB745" s="312"/>
      <c r="DMC745" s="312"/>
      <c r="DMD745" s="312"/>
      <c r="DME745" s="312"/>
      <c r="DMF745" s="312"/>
      <c r="DMG745" s="312"/>
      <c r="DMH745" s="312"/>
      <c r="DMI745" s="312"/>
      <c r="DMJ745" s="312"/>
      <c r="DMK745" s="312"/>
      <c r="DML745" s="312"/>
      <c r="DMM745" s="312"/>
      <c r="DMN745" s="312"/>
      <c r="DMO745" s="312"/>
      <c r="DMP745" s="312"/>
      <c r="DMQ745" s="312"/>
      <c r="DMR745" s="312"/>
      <c r="DMS745" s="312"/>
      <c r="DMT745" s="312"/>
      <c r="DMU745" s="312"/>
      <c r="DMV745" s="312"/>
      <c r="DMW745" s="312"/>
      <c r="DMX745" s="312"/>
      <c r="DMY745" s="312"/>
      <c r="DMZ745" s="312"/>
      <c r="DNA745" s="312"/>
      <c r="DNB745" s="312"/>
      <c r="DNC745" s="312"/>
      <c r="DND745" s="312"/>
      <c r="DNE745" s="312"/>
      <c r="DNF745" s="312"/>
      <c r="DNG745" s="312"/>
      <c r="DNH745" s="312"/>
      <c r="DNI745" s="312"/>
      <c r="DNJ745" s="312"/>
      <c r="DNK745" s="312"/>
      <c r="DNL745" s="312"/>
      <c r="DNM745" s="312"/>
      <c r="DNN745" s="312"/>
      <c r="DNO745" s="312"/>
      <c r="DNP745" s="312"/>
      <c r="DNQ745" s="312"/>
      <c r="DNR745" s="312"/>
      <c r="DNS745" s="312"/>
      <c r="DNT745" s="312"/>
      <c r="DNU745" s="312"/>
      <c r="DNV745" s="312"/>
      <c r="DNW745" s="312"/>
      <c r="DNX745" s="312"/>
      <c r="DNY745" s="312"/>
      <c r="DNZ745" s="312"/>
      <c r="DOA745" s="312"/>
      <c r="DOB745" s="312"/>
      <c r="DOC745" s="312"/>
      <c r="DOD745" s="312"/>
      <c r="DOE745" s="312"/>
      <c r="DOF745" s="312"/>
      <c r="DOG745" s="312"/>
      <c r="DOH745" s="312"/>
      <c r="DOI745" s="312"/>
      <c r="DOJ745" s="312"/>
      <c r="DOK745" s="312"/>
      <c r="DOL745" s="312"/>
      <c r="DOM745" s="312"/>
      <c r="DON745" s="312"/>
      <c r="DOO745" s="312"/>
      <c r="DOP745" s="312"/>
      <c r="DOQ745" s="312"/>
      <c r="DOR745" s="312"/>
      <c r="DOS745" s="312"/>
      <c r="DOT745" s="312"/>
      <c r="DOU745" s="312"/>
      <c r="DOV745" s="312"/>
      <c r="DOW745" s="312"/>
      <c r="DOX745" s="312"/>
      <c r="DOY745" s="312"/>
      <c r="DOZ745" s="312"/>
      <c r="DPA745" s="312"/>
      <c r="DPB745" s="312"/>
      <c r="DPC745" s="312"/>
      <c r="DPD745" s="312"/>
      <c r="DPE745" s="312"/>
      <c r="DPF745" s="312"/>
      <c r="DPG745" s="312"/>
      <c r="DPH745" s="312"/>
      <c r="DPI745" s="312"/>
      <c r="DPJ745" s="312"/>
      <c r="DPK745" s="312"/>
      <c r="DPL745" s="312"/>
      <c r="DPM745" s="312"/>
      <c r="DPN745" s="312"/>
      <c r="DPO745" s="312"/>
      <c r="DPP745" s="312"/>
      <c r="DPQ745" s="312"/>
      <c r="DPR745" s="312"/>
      <c r="DPS745" s="312"/>
      <c r="DPT745" s="312"/>
      <c r="DPU745" s="312"/>
      <c r="DPV745" s="312"/>
      <c r="DPW745" s="312"/>
      <c r="DPX745" s="312"/>
      <c r="DPY745" s="312"/>
      <c r="DPZ745" s="312"/>
      <c r="DQA745" s="312"/>
      <c r="DQB745" s="312"/>
      <c r="DQC745" s="312"/>
      <c r="DQD745" s="312"/>
      <c r="DQE745" s="312"/>
      <c r="DQF745" s="312"/>
      <c r="DQG745" s="312"/>
      <c r="DQH745" s="312"/>
      <c r="DQI745" s="312"/>
      <c r="DQJ745" s="312"/>
      <c r="DQK745" s="312"/>
      <c r="DQL745" s="312"/>
      <c r="DQM745" s="312"/>
      <c r="DQN745" s="312"/>
      <c r="DQO745" s="312"/>
      <c r="DQP745" s="312"/>
      <c r="DQQ745" s="312"/>
      <c r="DQR745" s="312"/>
      <c r="DQS745" s="312"/>
      <c r="DQT745" s="312"/>
      <c r="DQU745" s="312"/>
      <c r="DQV745" s="312"/>
      <c r="DQW745" s="312"/>
      <c r="DQX745" s="312"/>
      <c r="DQY745" s="312"/>
      <c r="DQZ745" s="312"/>
      <c r="DRA745" s="312"/>
      <c r="DRB745" s="312"/>
      <c r="DRC745" s="312"/>
      <c r="DRD745" s="312"/>
      <c r="DRE745" s="312"/>
      <c r="DRF745" s="312"/>
      <c r="DRG745" s="312"/>
      <c r="DRH745" s="312"/>
      <c r="DRI745" s="312"/>
      <c r="DRJ745" s="312"/>
      <c r="DRK745" s="312"/>
      <c r="DRL745" s="312"/>
      <c r="DRM745" s="312"/>
      <c r="DRN745" s="312"/>
      <c r="DRO745" s="312"/>
      <c r="DRP745" s="312"/>
      <c r="DRQ745" s="312"/>
      <c r="DRR745" s="312"/>
      <c r="DRS745" s="312"/>
      <c r="DRT745" s="312"/>
      <c r="DRU745" s="312"/>
      <c r="DRV745" s="312"/>
      <c r="DRW745" s="312"/>
      <c r="DRX745" s="312"/>
      <c r="DRY745" s="312"/>
      <c r="DRZ745" s="312"/>
      <c r="DSA745" s="312"/>
      <c r="DSB745" s="312"/>
      <c r="DSC745" s="312"/>
      <c r="DSD745" s="312"/>
      <c r="DSE745" s="312"/>
      <c r="DSF745" s="312"/>
      <c r="DSG745" s="312"/>
      <c r="DSH745" s="312"/>
      <c r="DSI745" s="312"/>
      <c r="DSJ745" s="312"/>
      <c r="DSK745" s="312"/>
      <c r="DSL745" s="312"/>
      <c r="DSM745" s="312"/>
      <c r="DSN745" s="312"/>
      <c r="DSO745" s="312"/>
      <c r="DSP745" s="312"/>
      <c r="DSQ745" s="312"/>
      <c r="DSR745" s="312"/>
      <c r="DSS745" s="312"/>
      <c r="DST745" s="312"/>
      <c r="DSU745" s="312"/>
      <c r="DSV745" s="312"/>
      <c r="DSW745" s="312"/>
      <c r="DSX745" s="312"/>
      <c r="DSY745" s="312"/>
      <c r="DSZ745" s="312"/>
      <c r="DTA745" s="312"/>
      <c r="DTB745" s="312"/>
      <c r="DTC745" s="312"/>
      <c r="DTD745" s="312"/>
      <c r="DTE745" s="312"/>
      <c r="DTF745" s="312"/>
      <c r="DTG745" s="312"/>
      <c r="DTH745" s="312"/>
      <c r="DTI745" s="312"/>
      <c r="DTJ745" s="312"/>
      <c r="DTK745" s="312"/>
      <c r="DTL745" s="312"/>
      <c r="DTM745" s="312"/>
      <c r="DTN745" s="312"/>
      <c r="DTO745" s="312"/>
      <c r="DTP745" s="312"/>
      <c r="DTQ745" s="312"/>
      <c r="DTR745" s="312"/>
      <c r="DTS745" s="312"/>
      <c r="DTT745" s="312"/>
      <c r="DTU745" s="312"/>
      <c r="DTV745" s="312"/>
      <c r="DTW745" s="312"/>
      <c r="DTX745" s="312"/>
      <c r="DTY745" s="312"/>
      <c r="DTZ745" s="312"/>
      <c r="DUA745" s="312"/>
      <c r="DUB745" s="312"/>
      <c r="DUC745" s="312"/>
      <c r="DUD745" s="312"/>
      <c r="DUE745" s="312"/>
      <c r="DUF745" s="312"/>
      <c r="DUG745" s="312"/>
      <c r="DUH745" s="312"/>
      <c r="DUI745" s="312"/>
      <c r="DUJ745" s="312"/>
      <c r="DUK745" s="312"/>
      <c r="DUL745" s="312"/>
      <c r="DUM745" s="312"/>
      <c r="DUN745" s="312"/>
      <c r="DUO745" s="312"/>
      <c r="DUP745" s="312"/>
      <c r="DUQ745" s="312"/>
      <c r="DUR745" s="312"/>
      <c r="DUS745" s="312"/>
      <c r="DUT745" s="312"/>
      <c r="DUU745" s="312"/>
      <c r="DUV745" s="312"/>
      <c r="DUW745" s="312"/>
      <c r="DUX745" s="312"/>
      <c r="DUY745" s="312"/>
      <c r="DUZ745" s="312"/>
      <c r="DVA745" s="312"/>
      <c r="DVB745" s="312"/>
      <c r="DVC745" s="312"/>
      <c r="DVD745" s="312"/>
      <c r="DVE745" s="312"/>
      <c r="DVF745" s="312"/>
      <c r="DVG745" s="312"/>
      <c r="DVH745" s="312"/>
      <c r="DVI745" s="312"/>
      <c r="DVJ745" s="312"/>
      <c r="DVK745" s="312"/>
      <c r="DVL745" s="312"/>
      <c r="DVM745" s="312"/>
      <c r="DVN745" s="312"/>
      <c r="DVO745" s="312"/>
      <c r="DVP745" s="312"/>
      <c r="DVQ745" s="312"/>
      <c r="DVR745" s="312"/>
      <c r="DVS745" s="312"/>
      <c r="DVT745" s="312"/>
      <c r="DVU745" s="312"/>
      <c r="DVV745" s="312"/>
      <c r="DVW745" s="312"/>
      <c r="DVX745" s="312"/>
      <c r="DVY745" s="312"/>
      <c r="DVZ745" s="312"/>
      <c r="DWA745" s="312"/>
      <c r="DWB745" s="312"/>
      <c r="DWC745" s="312"/>
      <c r="DWD745" s="312"/>
      <c r="DWE745" s="312"/>
      <c r="DWF745" s="312"/>
      <c r="DWG745" s="312"/>
      <c r="DWH745" s="312"/>
      <c r="DWI745" s="312"/>
      <c r="DWJ745" s="312"/>
      <c r="DWK745" s="312"/>
      <c r="DWL745" s="312"/>
      <c r="DWM745" s="312"/>
      <c r="DWN745" s="312"/>
      <c r="DWO745" s="312"/>
      <c r="DWP745" s="312"/>
      <c r="DWQ745" s="312"/>
      <c r="DWR745" s="312"/>
      <c r="DWS745" s="312"/>
      <c r="DWT745" s="312"/>
      <c r="DWU745" s="312"/>
      <c r="DWV745" s="312"/>
      <c r="DWW745" s="312"/>
      <c r="DWX745" s="312"/>
      <c r="DWY745" s="312"/>
      <c r="DWZ745" s="312"/>
      <c r="DXA745" s="312"/>
      <c r="DXB745" s="312"/>
      <c r="DXC745" s="312"/>
      <c r="DXD745" s="312"/>
      <c r="DXE745" s="312"/>
      <c r="DXF745" s="312"/>
      <c r="DXG745" s="312"/>
      <c r="DXH745" s="312"/>
      <c r="DXI745" s="312"/>
      <c r="DXJ745" s="312"/>
      <c r="DXK745" s="312"/>
      <c r="DXL745" s="312"/>
      <c r="DXM745" s="312"/>
      <c r="DXN745" s="312"/>
      <c r="DXO745" s="312"/>
      <c r="DXP745" s="312"/>
      <c r="DXQ745" s="312"/>
      <c r="DXR745" s="312"/>
      <c r="DXS745" s="312"/>
      <c r="DXT745" s="312"/>
      <c r="DXU745" s="312"/>
      <c r="DXV745" s="312"/>
      <c r="DXW745" s="312"/>
      <c r="DXX745" s="312"/>
      <c r="DXY745" s="312"/>
      <c r="DXZ745" s="312"/>
      <c r="DYA745" s="312"/>
      <c r="DYB745" s="312"/>
      <c r="DYC745" s="312"/>
      <c r="DYD745" s="312"/>
      <c r="DYE745" s="312"/>
      <c r="DYF745" s="312"/>
      <c r="DYG745" s="312"/>
      <c r="DYH745" s="312"/>
      <c r="DYI745" s="312"/>
      <c r="DYJ745" s="312"/>
      <c r="DYK745" s="312"/>
      <c r="DYL745" s="312"/>
      <c r="DYM745" s="312"/>
      <c r="DYN745" s="312"/>
      <c r="DYO745" s="312"/>
      <c r="DYP745" s="312"/>
      <c r="DYQ745" s="312"/>
      <c r="DYR745" s="312"/>
      <c r="DYS745" s="312"/>
      <c r="DYT745" s="312"/>
      <c r="DYU745" s="312"/>
      <c r="DYV745" s="312"/>
      <c r="DYW745" s="312"/>
      <c r="DYX745" s="312"/>
      <c r="DYY745" s="312"/>
      <c r="DYZ745" s="312"/>
      <c r="DZA745" s="312"/>
      <c r="DZB745" s="312"/>
      <c r="DZC745" s="312"/>
      <c r="DZD745" s="312"/>
      <c r="DZE745" s="312"/>
      <c r="DZF745" s="312"/>
      <c r="DZG745" s="312"/>
      <c r="DZH745" s="312"/>
      <c r="DZI745" s="312"/>
      <c r="DZJ745" s="312"/>
      <c r="DZK745" s="312"/>
      <c r="DZL745" s="312"/>
      <c r="DZM745" s="312"/>
      <c r="DZN745" s="312"/>
      <c r="DZO745" s="312"/>
      <c r="DZP745" s="312"/>
      <c r="DZQ745" s="312"/>
      <c r="DZR745" s="312"/>
      <c r="DZS745" s="312"/>
      <c r="DZT745" s="312"/>
      <c r="DZU745" s="312"/>
      <c r="DZV745" s="312"/>
      <c r="DZW745" s="312"/>
      <c r="DZX745" s="312"/>
      <c r="DZY745" s="312"/>
      <c r="DZZ745" s="312"/>
      <c r="EAA745" s="312"/>
      <c r="EAB745" s="312"/>
      <c r="EAC745" s="312"/>
      <c r="EAD745" s="312"/>
      <c r="EAE745" s="312"/>
      <c r="EAF745" s="312"/>
      <c r="EAG745" s="312"/>
      <c r="EAH745" s="312"/>
      <c r="EAI745" s="312"/>
      <c r="EAJ745" s="312"/>
      <c r="EAK745" s="312"/>
      <c r="EAL745" s="312"/>
      <c r="EAM745" s="312"/>
      <c r="EAN745" s="312"/>
      <c r="EAO745" s="312"/>
      <c r="EAP745" s="312"/>
      <c r="EAQ745" s="312"/>
      <c r="EAR745" s="312"/>
      <c r="EAS745" s="312"/>
      <c r="EAT745" s="312"/>
      <c r="EAU745" s="312"/>
      <c r="EAV745" s="312"/>
      <c r="EAW745" s="312"/>
      <c r="EAX745" s="312"/>
      <c r="EAY745" s="312"/>
      <c r="EAZ745" s="312"/>
      <c r="EBA745" s="312"/>
      <c r="EBB745" s="312"/>
      <c r="EBC745" s="312"/>
      <c r="EBD745" s="312"/>
      <c r="EBE745" s="312"/>
      <c r="EBF745" s="312"/>
      <c r="EBG745" s="312"/>
      <c r="EBH745" s="312"/>
      <c r="EBI745" s="312"/>
      <c r="EBJ745" s="312"/>
      <c r="EBK745" s="312"/>
      <c r="EBL745" s="312"/>
      <c r="EBM745" s="312"/>
      <c r="EBN745" s="312"/>
      <c r="EBO745" s="312"/>
      <c r="EBP745" s="312"/>
      <c r="EBQ745" s="312"/>
      <c r="EBR745" s="312"/>
      <c r="EBS745" s="312"/>
      <c r="EBT745" s="312"/>
      <c r="EBU745" s="312"/>
      <c r="EBV745" s="312"/>
      <c r="EBW745" s="312"/>
      <c r="EBX745" s="312"/>
      <c r="EBY745" s="312"/>
      <c r="EBZ745" s="312"/>
      <c r="ECA745" s="312"/>
      <c r="ECB745" s="312"/>
      <c r="ECC745" s="312"/>
      <c r="ECD745" s="312"/>
      <c r="ECE745" s="312"/>
      <c r="ECF745" s="312"/>
      <c r="ECG745" s="312"/>
      <c r="ECH745" s="312"/>
      <c r="ECI745" s="312"/>
      <c r="ECJ745" s="312"/>
      <c r="ECK745" s="312"/>
      <c r="ECL745" s="312"/>
      <c r="ECM745" s="312"/>
      <c r="ECN745" s="312"/>
      <c r="ECO745" s="312"/>
      <c r="ECP745" s="312"/>
      <c r="ECQ745" s="312"/>
      <c r="ECR745" s="312"/>
      <c r="ECS745" s="312"/>
      <c r="ECT745" s="312"/>
      <c r="ECU745" s="312"/>
      <c r="ECV745" s="312"/>
      <c r="ECW745" s="312"/>
      <c r="ECX745" s="312"/>
      <c r="ECY745" s="312"/>
      <c r="ECZ745" s="312"/>
      <c r="EDA745" s="312"/>
      <c r="EDB745" s="312"/>
      <c r="EDC745" s="312"/>
      <c r="EDD745" s="312"/>
      <c r="EDE745" s="312"/>
      <c r="EDF745" s="312"/>
      <c r="EDG745" s="312"/>
      <c r="EDH745" s="312"/>
      <c r="EDI745" s="312"/>
      <c r="EDJ745" s="312"/>
      <c r="EDK745" s="312"/>
      <c r="EDL745" s="312"/>
      <c r="EDM745" s="312"/>
      <c r="EDN745" s="312"/>
      <c r="EDO745" s="312"/>
      <c r="EDP745" s="312"/>
      <c r="EDQ745" s="312"/>
      <c r="EDR745" s="312"/>
      <c r="EDS745" s="312"/>
      <c r="EDT745" s="312"/>
      <c r="EDU745" s="312"/>
      <c r="EDV745" s="312"/>
      <c r="EDW745" s="312"/>
      <c r="EDX745" s="312"/>
      <c r="EDY745" s="312"/>
      <c r="EDZ745" s="312"/>
      <c r="EEA745" s="312"/>
      <c r="EEB745" s="312"/>
      <c r="EEC745" s="312"/>
      <c r="EED745" s="312"/>
      <c r="EEE745" s="312"/>
      <c r="EEF745" s="312"/>
      <c r="EEG745" s="312"/>
      <c r="EEH745" s="312"/>
      <c r="EEI745" s="312"/>
      <c r="EEJ745" s="312"/>
      <c r="EEK745" s="312"/>
      <c r="EEL745" s="312"/>
      <c r="EEM745" s="312"/>
      <c r="EEN745" s="312"/>
      <c r="EEO745" s="312"/>
      <c r="EEP745" s="312"/>
      <c r="EEQ745" s="312"/>
      <c r="EER745" s="312"/>
      <c r="EES745" s="312"/>
      <c r="EET745" s="312"/>
      <c r="EEU745" s="312"/>
      <c r="EEV745" s="312"/>
      <c r="EEW745" s="312"/>
      <c r="EEX745" s="312"/>
      <c r="EEY745" s="312"/>
      <c r="EEZ745" s="312"/>
      <c r="EFA745" s="312"/>
      <c r="EFB745" s="312"/>
      <c r="EFC745" s="312"/>
      <c r="EFD745" s="312"/>
      <c r="EFE745" s="312"/>
      <c r="EFF745" s="312"/>
      <c r="EFG745" s="312"/>
      <c r="EFH745" s="312"/>
      <c r="EFI745" s="312"/>
      <c r="EFJ745" s="312"/>
      <c r="EFK745" s="312"/>
      <c r="EFL745" s="312"/>
      <c r="EFM745" s="312"/>
      <c r="EFN745" s="312"/>
      <c r="EFO745" s="312"/>
      <c r="EFP745" s="312"/>
      <c r="EFQ745" s="312"/>
      <c r="EFR745" s="312"/>
      <c r="EFS745" s="312"/>
      <c r="EFT745" s="312"/>
      <c r="EFU745" s="312"/>
      <c r="EFV745" s="312"/>
      <c r="EFW745" s="312"/>
      <c r="EFX745" s="312"/>
      <c r="EFY745" s="312"/>
      <c r="EFZ745" s="312"/>
      <c r="EGA745" s="312"/>
      <c r="EGB745" s="312"/>
      <c r="EGC745" s="312"/>
      <c r="EGD745" s="312"/>
      <c r="EGE745" s="312"/>
      <c r="EGF745" s="312"/>
      <c r="EGG745" s="312"/>
      <c r="EGH745" s="312"/>
      <c r="EGI745" s="312"/>
      <c r="EGJ745" s="312"/>
      <c r="EGK745" s="312"/>
      <c r="EGL745" s="312"/>
      <c r="EGM745" s="312"/>
      <c r="EGN745" s="312"/>
      <c r="EGO745" s="312"/>
      <c r="EGP745" s="312"/>
      <c r="EGQ745" s="312"/>
      <c r="EGR745" s="312"/>
      <c r="EGS745" s="312"/>
      <c r="EGT745" s="312"/>
      <c r="EGU745" s="312"/>
      <c r="EGV745" s="312"/>
      <c r="EGW745" s="312"/>
      <c r="EGX745" s="312"/>
      <c r="EGY745" s="312"/>
      <c r="EGZ745" s="312"/>
      <c r="EHA745" s="312"/>
      <c r="EHB745" s="312"/>
      <c r="EHC745" s="312"/>
      <c r="EHD745" s="312"/>
      <c r="EHE745" s="312"/>
      <c r="EHF745" s="312"/>
      <c r="EHG745" s="312"/>
      <c r="EHH745" s="312"/>
      <c r="EHI745" s="312"/>
      <c r="EHJ745" s="312"/>
      <c r="EHK745" s="312"/>
      <c r="EHL745" s="312"/>
      <c r="EHM745" s="312"/>
      <c r="EHN745" s="312"/>
      <c r="EHO745" s="312"/>
      <c r="EHP745" s="312"/>
      <c r="EHQ745" s="312"/>
      <c r="EHR745" s="312"/>
      <c r="EHS745" s="312"/>
      <c r="EHT745" s="312"/>
      <c r="EHU745" s="312"/>
      <c r="EHV745" s="312"/>
      <c r="EHW745" s="312"/>
      <c r="EHX745" s="312"/>
      <c r="EHY745" s="312"/>
      <c r="EHZ745" s="312"/>
      <c r="EIA745" s="312"/>
      <c r="EIB745" s="312"/>
      <c r="EIC745" s="312"/>
      <c r="EID745" s="312"/>
      <c r="EIE745" s="312"/>
      <c r="EIF745" s="312"/>
      <c r="EIG745" s="312"/>
      <c r="EIH745" s="312"/>
      <c r="EII745" s="312"/>
      <c r="EIJ745" s="312"/>
      <c r="EIK745" s="312"/>
      <c r="EIL745" s="312"/>
      <c r="EIM745" s="312"/>
      <c r="EIN745" s="312"/>
      <c r="EIO745" s="312"/>
      <c r="EIP745" s="312"/>
      <c r="EIQ745" s="312"/>
      <c r="EIR745" s="312"/>
      <c r="EIS745" s="312"/>
      <c r="EIT745" s="312"/>
      <c r="EIU745" s="312"/>
      <c r="EIV745" s="312"/>
      <c r="EIW745" s="312"/>
      <c r="EIX745" s="312"/>
      <c r="EIY745" s="312"/>
      <c r="EIZ745" s="312"/>
      <c r="EJA745" s="312"/>
      <c r="EJB745" s="312"/>
      <c r="EJC745" s="312"/>
      <c r="EJD745" s="312"/>
      <c r="EJE745" s="312"/>
      <c r="EJF745" s="312"/>
      <c r="EJG745" s="312"/>
      <c r="EJH745" s="312"/>
      <c r="EJI745" s="312"/>
      <c r="EJJ745" s="312"/>
      <c r="EJK745" s="312"/>
      <c r="EJL745" s="312"/>
      <c r="EJM745" s="312"/>
      <c r="EJN745" s="312"/>
      <c r="EJO745" s="312"/>
      <c r="EJP745" s="312"/>
      <c r="EJQ745" s="312"/>
      <c r="EJR745" s="312"/>
      <c r="EJS745" s="312"/>
      <c r="EJT745" s="312"/>
      <c r="EJU745" s="312"/>
      <c r="EJV745" s="312"/>
      <c r="EJW745" s="312"/>
      <c r="EJX745" s="312"/>
      <c r="EJY745" s="312"/>
      <c r="EJZ745" s="312"/>
      <c r="EKA745" s="312"/>
      <c r="EKB745" s="312"/>
      <c r="EKC745" s="312"/>
      <c r="EKD745" s="312"/>
      <c r="EKE745" s="312"/>
      <c r="EKF745" s="312"/>
      <c r="EKG745" s="312"/>
      <c r="EKH745" s="312"/>
      <c r="EKI745" s="312"/>
      <c r="EKJ745" s="312"/>
      <c r="EKK745" s="312"/>
      <c r="EKL745" s="312"/>
      <c r="EKM745" s="312"/>
      <c r="EKN745" s="312"/>
      <c r="EKO745" s="312"/>
      <c r="EKP745" s="312"/>
      <c r="EKQ745" s="312"/>
      <c r="EKR745" s="312"/>
      <c r="EKS745" s="312"/>
      <c r="EKT745" s="312"/>
      <c r="EKU745" s="312"/>
      <c r="EKV745" s="312"/>
      <c r="EKW745" s="312"/>
      <c r="EKX745" s="312"/>
      <c r="EKY745" s="312"/>
      <c r="EKZ745" s="312"/>
      <c r="ELA745" s="312"/>
      <c r="ELB745" s="312"/>
      <c r="ELC745" s="312"/>
      <c r="ELD745" s="312"/>
      <c r="ELE745" s="312"/>
      <c r="ELF745" s="312"/>
      <c r="ELG745" s="312"/>
      <c r="ELH745" s="312"/>
      <c r="ELI745" s="312"/>
      <c r="ELJ745" s="312"/>
      <c r="ELK745" s="312"/>
      <c r="ELL745" s="312"/>
      <c r="ELM745" s="312"/>
      <c r="ELN745" s="312"/>
      <c r="ELO745" s="312"/>
      <c r="ELP745" s="312"/>
      <c r="ELQ745" s="312"/>
      <c r="ELR745" s="312"/>
      <c r="ELS745" s="312"/>
      <c r="ELT745" s="312"/>
      <c r="ELU745" s="312"/>
      <c r="ELV745" s="312"/>
      <c r="ELW745" s="312"/>
      <c r="ELX745" s="312"/>
      <c r="ELY745" s="312"/>
      <c r="ELZ745" s="312"/>
      <c r="EMA745" s="312"/>
      <c r="EMB745" s="312"/>
      <c r="EMC745" s="312"/>
      <c r="EMD745" s="312"/>
      <c r="EME745" s="312"/>
      <c r="EMF745" s="312"/>
      <c r="EMG745" s="312"/>
      <c r="EMH745" s="312"/>
      <c r="EMI745" s="312"/>
      <c r="EMJ745" s="312"/>
      <c r="EMK745" s="312"/>
      <c r="EML745" s="312"/>
      <c r="EMM745" s="312"/>
      <c r="EMN745" s="312"/>
      <c r="EMO745" s="312"/>
      <c r="EMP745" s="312"/>
      <c r="EMQ745" s="312"/>
      <c r="EMR745" s="312"/>
      <c r="EMS745" s="312"/>
      <c r="EMT745" s="312"/>
      <c r="EMU745" s="312"/>
      <c r="EMV745" s="312"/>
      <c r="EMW745" s="312"/>
      <c r="EMX745" s="312"/>
      <c r="EMY745" s="312"/>
      <c r="EMZ745" s="312"/>
      <c r="ENA745" s="312"/>
      <c r="ENB745" s="312"/>
      <c r="ENC745" s="312"/>
      <c r="END745" s="312"/>
      <c r="ENE745" s="312"/>
      <c r="ENF745" s="312"/>
      <c r="ENG745" s="312"/>
      <c r="ENH745" s="312"/>
      <c r="ENI745" s="312"/>
      <c r="ENJ745" s="312"/>
      <c r="ENK745" s="312"/>
      <c r="ENL745" s="312"/>
      <c r="ENM745" s="312"/>
      <c r="ENN745" s="312"/>
      <c r="ENO745" s="312"/>
      <c r="ENP745" s="312"/>
      <c r="ENQ745" s="312"/>
      <c r="ENR745" s="312"/>
      <c r="ENS745" s="312"/>
      <c r="ENT745" s="312"/>
      <c r="ENU745" s="312"/>
      <c r="ENV745" s="312"/>
      <c r="ENW745" s="312"/>
      <c r="ENX745" s="312"/>
      <c r="ENY745" s="312"/>
      <c r="ENZ745" s="312"/>
      <c r="EOA745" s="312"/>
      <c r="EOB745" s="312"/>
      <c r="EOC745" s="312"/>
      <c r="EOD745" s="312"/>
      <c r="EOE745" s="312"/>
      <c r="EOF745" s="312"/>
      <c r="EOG745" s="312"/>
      <c r="EOH745" s="312"/>
      <c r="EOI745" s="312"/>
      <c r="EOJ745" s="312"/>
      <c r="EOK745" s="312"/>
      <c r="EOL745" s="312"/>
      <c r="EOM745" s="312"/>
      <c r="EON745" s="312"/>
      <c r="EOO745" s="312"/>
      <c r="EOP745" s="312"/>
      <c r="EOQ745" s="312"/>
      <c r="EOR745" s="312"/>
      <c r="EOS745" s="312"/>
      <c r="EOT745" s="312"/>
      <c r="EOU745" s="312"/>
      <c r="EOV745" s="312"/>
      <c r="EOW745" s="312"/>
      <c r="EOX745" s="312"/>
      <c r="EOY745" s="312"/>
      <c r="EOZ745" s="312"/>
      <c r="EPA745" s="312"/>
      <c r="EPB745" s="312"/>
      <c r="EPC745" s="312"/>
      <c r="EPD745" s="312"/>
      <c r="EPE745" s="312"/>
      <c r="EPF745" s="312"/>
      <c r="EPG745" s="312"/>
      <c r="EPH745" s="312"/>
      <c r="EPI745" s="312"/>
      <c r="EPJ745" s="312"/>
      <c r="EPK745" s="312"/>
      <c r="EPL745" s="312"/>
      <c r="EPM745" s="312"/>
      <c r="EPN745" s="312"/>
      <c r="EPO745" s="312"/>
      <c r="EPP745" s="312"/>
      <c r="EPQ745" s="312"/>
      <c r="EPR745" s="312"/>
      <c r="EPS745" s="312"/>
      <c r="EPT745" s="312"/>
      <c r="EPU745" s="312"/>
      <c r="EPV745" s="312"/>
      <c r="EPW745" s="312"/>
      <c r="EPX745" s="312"/>
      <c r="EPY745" s="312"/>
      <c r="EPZ745" s="312"/>
      <c r="EQA745" s="312"/>
      <c r="EQB745" s="312"/>
      <c r="EQC745" s="312"/>
      <c r="EQD745" s="312"/>
      <c r="EQE745" s="312"/>
      <c r="EQF745" s="312"/>
      <c r="EQG745" s="312"/>
      <c r="EQH745" s="312"/>
      <c r="EQI745" s="312"/>
      <c r="EQJ745" s="312"/>
      <c r="EQK745" s="312"/>
      <c r="EQL745" s="312"/>
      <c r="EQM745" s="312"/>
      <c r="EQN745" s="312"/>
      <c r="EQO745" s="312"/>
      <c r="EQP745" s="312"/>
      <c r="EQQ745" s="312"/>
      <c r="EQR745" s="312"/>
      <c r="EQS745" s="312"/>
      <c r="EQT745" s="312"/>
      <c r="EQU745" s="312"/>
      <c r="EQV745" s="312"/>
      <c r="EQW745" s="312"/>
      <c r="EQX745" s="312"/>
      <c r="EQY745" s="312"/>
      <c r="EQZ745" s="312"/>
      <c r="ERA745" s="312"/>
      <c r="ERB745" s="312"/>
      <c r="ERC745" s="312"/>
      <c r="ERD745" s="312"/>
      <c r="ERE745" s="312"/>
      <c r="ERF745" s="312"/>
      <c r="ERG745" s="312"/>
      <c r="ERH745" s="312"/>
      <c r="ERI745" s="312"/>
      <c r="ERJ745" s="312"/>
      <c r="ERK745" s="312"/>
      <c r="ERL745" s="312"/>
      <c r="ERM745" s="312"/>
      <c r="ERN745" s="312"/>
      <c r="ERO745" s="312"/>
      <c r="ERP745" s="312"/>
      <c r="ERQ745" s="312"/>
      <c r="ERR745" s="312"/>
      <c r="ERS745" s="312"/>
      <c r="ERT745" s="312"/>
      <c r="ERU745" s="312"/>
      <c r="ERV745" s="312"/>
      <c r="ERW745" s="312"/>
      <c r="ERX745" s="312"/>
      <c r="ERY745" s="312"/>
      <c r="ERZ745" s="312"/>
      <c r="ESA745" s="312"/>
      <c r="ESB745" s="312"/>
      <c r="ESC745" s="312"/>
      <c r="ESD745" s="312"/>
      <c r="ESE745" s="312"/>
      <c r="ESF745" s="312"/>
      <c r="ESG745" s="312"/>
      <c r="ESH745" s="312"/>
      <c r="ESI745" s="312"/>
      <c r="ESJ745" s="312"/>
      <c r="ESK745" s="312"/>
      <c r="ESL745" s="312"/>
      <c r="ESM745" s="312"/>
      <c r="ESN745" s="312"/>
      <c r="ESO745" s="312"/>
      <c r="ESP745" s="312"/>
      <c r="ESQ745" s="312"/>
      <c r="ESR745" s="312"/>
      <c r="ESS745" s="312"/>
      <c r="EST745" s="312"/>
      <c r="ESU745" s="312"/>
      <c r="ESV745" s="312"/>
      <c r="ESW745" s="312"/>
      <c r="ESX745" s="312"/>
      <c r="ESY745" s="312"/>
      <c r="ESZ745" s="312"/>
      <c r="ETA745" s="312"/>
      <c r="ETB745" s="312"/>
      <c r="ETC745" s="312"/>
      <c r="ETD745" s="312"/>
      <c r="ETE745" s="312"/>
      <c r="ETF745" s="312"/>
      <c r="ETG745" s="312"/>
      <c r="ETH745" s="312"/>
      <c r="ETI745" s="312"/>
      <c r="ETJ745" s="312"/>
      <c r="ETK745" s="312"/>
      <c r="ETL745" s="312"/>
      <c r="ETM745" s="312"/>
      <c r="ETN745" s="312"/>
      <c r="ETO745" s="312"/>
      <c r="ETP745" s="312"/>
      <c r="ETQ745" s="312"/>
      <c r="ETR745" s="312"/>
      <c r="ETS745" s="312"/>
      <c r="ETT745" s="312"/>
      <c r="ETU745" s="312"/>
      <c r="ETV745" s="312"/>
      <c r="ETW745" s="312"/>
      <c r="ETX745" s="312"/>
      <c r="ETY745" s="312"/>
      <c r="ETZ745" s="312"/>
      <c r="EUA745" s="312"/>
      <c r="EUB745" s="312"/>
      <c r="EUC745" s="312"/>
      <c r="EUD745" s="312"/>
      <c r="EUE745" s="312"/>
      <c r="EUF745" s="312"/>
      <c r="EUG745" s="312"/>
      <c r="EUH745" s="312"/>
      <c r="EUI745" s="312"/>
      <c r="EUJ745" s="312"/>
      <c r="EUK745" s="312"/>
      <c r="EUL745" s="312"/>
      <c r="EUM745" s="312"/>
      <c r="EUN745" s="312"/>
      <c r="EUO745" s="312"/>
      <c r="EUP745" s="312"/>
      <c r="EUQ745" s="312"/>
      <c r="EUR745" s="312"/>
      <c r="EUS745" s="312"/>
      <c r="EUT745" s="312"/>
      <c r="EUU745" s="312"/>
      <c r="EUV745" s="312"/>
      <c r="EUW745" s="312"/>
      <c r="EUX745" s="312"/>
      <c r="EUY745" s="312"/>
      <c r="EUZ745" s="312"/>
      <c r="EVA745" s="312"/>
      <c r="EVB745" s="312"/>
      <c r="EVC745" s="312"/>
      <c r="EVD745" s="312"/>
      <c r="EVE745" s="312"/>
      <c r="EVF745" s="312"/>
      <c r="EVG745" s="312"/>
      <c r="EVH745" s="312"/>
      <c r="EVI745" s="312"/>
      <c r="EVJ745" s="312"/>
      <c r="EVK745" s="312"/>
      <c r="EVL745" s="312"/>
      <c r="EVM745" s="312"/>
      <c r="EVN745" s="312"/>
      <c r="EVO745" s="312"/>
      <c r="EVP745" s="312"/>
      <c r="EVQ745" s="312"/>
      <c r="EVR745" s="312"/>
      <c r="EVS745" s="312"/>
      <c r="EVT745" s="312"/>
      <c r="EVU745" s="312"/>
      <c r="EVV745" s="312"/>
      <c r="EVW745" s="312"/>
      <c r="EVX745" s="312"/>
      <c r="EVY745" s="312"/>
      <c r="EVZ745" s="312"/>
      <c r="EWA745" s="312"/>
      <c r="EWB745" s="312"/>
      <c r="EWC745" s="312"/>
      <c r="EWD745" s="312"/>
      <c r="EWE745" s="312"/>
      <c r="EWF745" s="312"/>
      <c r="EWG745" s="312"/>
      <c r="EWH745" s="312"/>
      <c r="EWI745" s="312"/>
      <c r="EWJ745" s="312"/>
      <c r="EWK745" s="312"/>
      <c r="EWL745" s="312"/>
      <c r="EWM745" s="312"/>
      <c r="EWN745" s="312"/>
      <c r="EWO745" s="312"/>
      <c r="EWP745" s="312"/>
      <c r="EWQ745" s="312"/>
      <c r="EWR745" s="312"/>
      <c r="EWS745" s="312"/>
      <c r="EWT745" s="312"/>
      <c r="EWU745" s="312"/>
      <c r="EWV745" s="312"/>
      <c r="EWW745" s="312"/>
      <c r="EWX745" s="312"/>
      <c r="EWY745" s="312"/>
      <c r="EWZ745" s="312"/>
      <c r="EXA745" s="312"/>
      <c r="EXB745" s="312"/>
      <c r="EXC745" s="312"/>
      <c r="EXD745" s="312"/>
      <c r="EXE745" s="312"/>
      <c r="EXF745" s="312"/>
      <c r="EXG745" s="312"/>
      <c r="EXH745" s="312"/>
      <c r="EXI745" s="312"/>
      <c r="EXJ745" s="312"/>
      <c r="EXK745" s="312"/>
      <c r="EXL745" s="312"/>
      <c r="EXM745" s="312"/>
      <c r="EXN745" s="312"/>
      <c r="EXO745" s="312"/>
      <c r="EXP745" s="312"/>
      <c r="EXQ745" s="312"/>
      <c r="EXR745" s="312"/>
      <c r="EXS745" s="312"/>
      <c r="EXT745" s="312"/>
      <c r="EXU745" s="312"/>
      <c r="EXV745" s="312"/>
      <c r="EXW745" s="312"/>
      <c r="EXX745" s="312"/>
      <c r="EXY745" s="312"/>
      <c r="EXZ745" s="312"/>
      <c r="EYA745" s="312"/>
      <c r="EYB745" s="312"/>
      <c r="EYC745" s="312"/>
      <c r="EYD745" s="312"/>
      <c r="EYE745" s="312"/>
      <c r="EYF745" s="312"/>
      <c r="EYG745" s="312"/>
      <c r="EYH745" s="312"/>
      <c r="EYI745" s="312"/>
      <c r="EYJ745" s="312"/>
      <c r="EYK745" s="312"/>
      <c r="EYL745" s="312"/>
      <c r="EYM745" s="312"/>
      <c r="EYN745" s="312"/>
      <c r="EYO745" s="312"/>
      <c r="EYP745" s="312"/>
      <c r="EYQ745" s="312"/>
      <c r="EYR745" s="312"/>
      <c r="EYS745" s="312"/>
      <c r="EYT745" s="312"/>
      <c r="EYU745" s="312"/>
      <c r="EYV745" s="312"/>
      <c r="EYW745" s="312"/>
      <c r="EYX745" s="312"/>
      <c r="EYY745" s="312"/>
      <c r="EYZ745" s="312"/>
      <c r="EZA745" s="312"/>
      <c r="EZB745" s="312"/>
      <c r="EZC745" s="312"/>
      <c r="EZD745" s="312"/>
      <c r="EZE745" s="312"/>
      <c r="EZF745" s="312"/>
      <c r="EZG745" s="312"/>
      <c r="EZH745" s="312"/>
      <c r="EZI745" s="312"/>
      <c r="EZJ745" s="312"/>
      <c r="EZK745" s="312"/>
      <c r="EZL745" s="312"/>
      <c r="EZM745" s="312"/>
      <c r="EZN745" s="312"/>
      <c r="EZO745" s="312"/>
      <c r="EZP745" s="312"/>
      <c r="EZQ745" s="312"/>
      <c r="EZR745" s="312"/>
      <c r="EZS745" s="312"/>
      <c r="EZT745" s="312"/>
      <c r="EZU745" s="312"/>
      <c r="EZV745" s="312"/>
      <c r="EZW745" s="312"/>
      <c r="EZX745" s="312"/>
      <c r="EZY745" s="312"/>
      <c r="EZZ745" s="312"/>
      <c r="FAA745" s="312"/>
      <c r="FAB745" s="312"/>
      <c r="FAC745" s="312"/>
      <c r="FAD745" s="312"/>
      <c r="FAE745" s="312"/>
      <c r="FAF745" s="312"/>
      <c r="FAG745" s="312"/>
      <c r="FAH745" s="312"/>
      <c r="FAI745" s="312"/>
      <c r="FAJ745" s="312"/>
      <c r="FAK745" s="312"/>
      <c r="FAL745" s="312"/>
      <c r="FAM745" s="312"/>
      <c r="FAN745" s="312"/>
      <c r="FAO745" s="312"/>
      <c r="FAP745" s="312"/>
      <c r="FAQ745" s="312"/>
      <c r="FAR745" s="312"/>
      <c r="FAS745" s="312"/>
      <c r="FAT745" s="312"/>
      <c r="FAU745" s="312"/>
      <c r="FAV745" s="312"/>
      <c r="FAW745" s="312"/>
      <c r="FAX745" s="312"/>
      <c r="FAY745" s="312"/>
      <c r="FAZ745" s="312"/>
      <c r="FBA745" s="312"/>
      <c r="FBB745" s="312"/>
      <c r="FBC745" s="312"/>
      <c r="FBD745" s="312"/>
      <c r="FBE745" s="312"/>
      <c r="FBF745" s="312"/>
      <c r="FBG745" s="312"/>
      <c r="FBH745" s="312"/>
      <c r="FBI745" s="312"/>
      <c r="FBJ745" s="312"/>
      <c r="FBK745" s="312"/>
      <c r="FBL745" s="312"/>
      <c r="FBM745" s="312"/>
      <c r="FBN745" s="312"/>
      <c r="FBO745" s="312"/>
      <c r="FBP745" s="312"/>
      <c r="FBQ745" s="312"/>
      <c r="FBR745" s="312"/>
      <c r="FBS745" s="312"/>
      <c r="FBT745" s="312"/>
      <c r="FBU745" s="312"/>
      <c r="FBV745" s="312"/>
      <c r="FBW745" s="312"/>
      <c r="FBX745" s="312"/>
      <c r="FBY745" s="312"/>
      <c r="FBZ745" s="312"/>
      <c r="FCA745" s="312"/>
      <c r="FCB745" s="312"/>
      <c r="FCC745" s="312"/>
      <c r="FCD745" s="312"/>
      <c r="FCE745" s="312"/>
      <c r="FCF745" s="312"/>
      <c r="FCG745" s="312"/>
      <c r="FCH745" s="312"/>
      <c r="FCI745" s="312"/>
      <c r="FCJ745" s="312"/>
      <c r="FCK745" s="312"/>
      <c r="FCL745" s="312"/>
      <c r="FCM745" s="312"/>
      <c r="FCN745" s="312"/>
      <c r="FCO745" s="312"/>
      <c r="FCP745" s="312"/>
      <c r="FCQ745" s="312"/>
      <c r="FCR745" s="312"/>
      <c r="FCS745" s="312"/>
      <c r="FCT745" s="312"/>
      <c r="FCU745" s="312"/>
      <c r="FCV745" s="312"/>
      <c r="FCW745" s="312"/>
      <c r="FCX745" s="312"/>
      <c r="FCY745" s="312"/>
      <c r="FCZ745" s="312"/>
      <c r="FDA745" s="312"/>
      <c r="FDB745" s="312"/>
      <c r="FDC745" s="312"/>
      <c r="FDD745" s="312"/>
      <c r="FDE745" s="312"/>
      <c r="FDF745" s="312"/>
      <c r="FDG745" s="312"/>
      <c r="FDH745" s="312"/>
      <c r="FDI745" s="312"/>
      <c r="FDJ745" s="312"/>
      <c r="FDK745" s="312"/>
      <c r="FDL745" s="312"/>
      <c r="FDM745" s="312"/>
      <c r="FDN745" s="312"/>
      <c r="FDO745" s="312"/>
      <c r="FDP745" s="312"/>
      <c r="FDQ745" s="312"/>
      <c r="FDR745" s="312"/>
      <c r="FDS745" s="312"/>
      <c r="FDT745" s="312"/>
      <c r="FDU745" s="312"/>
      <c r="FDV745" s="312"/>
      <c r="FDW745" s="312"/>
      <c r="FDX745" s="312"/>
      <c r="FDY745" s="312"/>
      <c r="FDZ745" s="312"/>
      <c r="FEA745" s="312"/>
      <c r="FEB745" s="312"/>
      <c r="FEC745" s="312"/>
      <c r="FED745" s="312"/>
      <c r="FEE745" s="312"/>
      <c r="FEF745" s="312"/>
      <c r="FEG745" s="312"/>
      <c r="FEH745" s="312"/>
      <c r="FEI745" s="312"/>
      <c r="FEJ745" s="312"/>
      <c r="FEK745" s="312"/>
      <c r="FEL745" s="312"/>
      <c r="FEM745" s="312"/>
      <c r="FEN745" s="312"/>
      <c r="FEO745" s="312"/>
      <c r="FEP745" s="312"/>
      <c r="FEQ745" s="312"/>
      <c r="FER745" s="312"/>
      <c r="FES745" s="312"/>
      <c r="FET745" s="312"/>
      <c r="FEU745" s="312"/>
      <c r="FEV745" s="312"/>
      <c r="FEW745" s="312"/>
      <c r="FEX745" s="312"/>
      <c r="FEY745" s="312"/>
      <c r="FEZ745" s="312"/>
      <c r="FFA745" s="312"/>
      <c r="FFB745" s="312"/>
      <c r="FFC745" s="312"/>
      <c r="FFD745" s="312"/>
      <c r="FFE745" s="312"/>
      <c r="FFF745" s="312"/>
      <c r="FFG745" s="312"/>
      <c r="FFH745" s="312"/>
      <c r="FFI745" s="312"/>
      <c r="FFJ745" s="312"/>
      <c r="FFK745" s="312"/>
      <c r="FFL745" s="312"/>
      <c r="FFM745" s="312"/>
      <c r="FFN745" s="312"/>
      <c r="FFO745" s="312"/>
      <c r="FFP745" s="312"/>
      <c r="FFQ745" s="312"/>
      <c r="FFR745" s="312"/>
      <c r="FFS745" s="312"/>
      <c r="FFT745" s="312"/>
      <c r="FFU745" s="312"/>
      <c r="FFV745" s="312"/>
      <c r="FFW745" s="312"/>
      <c r="FFX745" s="312"/>
      <c r="FFY745" s="312"/>
      <c r="FFZ745" s="312"/>
      <c r="FGA745" s="312"/>
      <c r="FGB745" s="312"/>
      <c r="FGC745" s="312"/>
      <c r="FGD745" s="312"/>
      <c r="FGE745" s="312"/>
      <c r="FGF745" s="312"/>
      <c r="FGG745" s="312"/>
      <c r="FGH745" s="312"/>
      <c r="FGI745" s="312"/>
      <c r="FGJ745" s="312"/>
      <c r="FGK745" s="312"/>
      <c r="FGL745" s="312"/>
      <c r="FGM745" s="312"/>
      <c r="FGN745" s="312"/>
      <c r="FGO745" s="312"/>
      <c r="FGP745" s="312"/>
      <c r="FGQ745" s="312"/>
      <c r="FGR745" s="312"/>
      <c r="FGS745" s="312"/>
      <c r="FGT745" s="312"/>
      <c r="FGU745" s="312"/>
      <c r="FGV745" s="312"/>
      <c r="FGW745" s="312"/>
      <c r="FGX745" s="312"/>
      <c r="FGY745" s="312"/>
      <c r="FGZ745" s="312"/>
      <c r="FHA745" s="312"/>
      <c r="FHB745" s="312"/>
      <c r="FHC745" s="312"/>
      <c r="FHD745" s="312"/>
      <c r="FHE745" s="312"/>
      <c r="FHF745" s="312"/>
      <c r="FHG745" s="312"/>
      <c r="FHH745" s="312"/>
      <c r="FHI745" s="312"/>
      <c r="FHJ745" s="312"/>
      <c r="FHK745" s="312"/>
      <c r="FHL745" s="312"/>
      <c r="FHM745" s="312"/>
      <c r="FHN745" s="312"/>
      <c r="FHO745" s="312"/>
      <c r="FHP745" s="312"/>
      <c r="FHQ745" s="312"/>
      <c r="FHR745" s="312"/>
      <c r="FHS745" s="312"/>
      <c r="FHT745" s="312"/>
      <c r="FHU745" s="312"/>
      <c r="FHV745" s="312"/>
      <c r="FHW745" s="312"/>
      <c r="FHX745" s="312"/>
      <c r="FHY745" s="312"/>
      <c r="FHZ745" s="312"/>
      <c r="FIA745" s="312"/>
      <c r="FIB745" s="312"/>
      <c r="FIC745" s="312"/>
      <c r="FID745" s="312"/>
      <c r="FIE745" s="312"/>
      <c r="FIF745" s="312"/>
      <c r="FIG745" s="312"/>
      <c r="FIH745" s="312"/>
      <c r="FII745" s="312"/>
      <c r="FIJ745" s="312"/>
      <c r="FIK745" s="312"/>
      <c r="FIL745" s="312"/>
      <c r="FIM745" s="312"/>
      <c r="FIN745" s="312"/>
      <c r="FIO745" s="312"/>
      <c r="FIP745" s="312"/>
      <c r="FIQ745" s="312"/>
      <c r="FIR745" s="312"/>
      <c r="FIS745" s="312"/>
      <c r="FIT745" s="312"/>
      <c r="FIU745" s="312"/>
      <c r="FIV745" s="312"/>
      <c r="FIW745" s="312"/>
      <c r="FIX745" s="312"/>
      <c r="FIY745" s="312"/>
      <c r="FIZ745" s="312"/>
      <c r="FJA745" s="312"/>
      <c r="FJB745" s="312"/>
      <c r="FJC745" s="312"/>
      <c r="FJD745" s="312"/>
      <c r="FJE745" s="312"/>
      <c r="FJF745" s="312"/>
      <c r="FJG745" s="312"/>
      <c r="FJH745" s="312"/>
      <c r="FJI745" s="312"/>
      <c r="FJJ745" s="312"/>
      <c r="FJK745" s="312"/>
      <c r="FJL745" s="312"/>
      <c r="FJM745" s="312"/>
      <c r="FJN745" s="312"/>
      <c r="FJO745" s="312"/>
      <c r="FJP745" s="312"/>
      <c r="FJQ745" s="312"/>
      <c r="FJR745" s="312"/>
      <c r="FJS745" s="312"/>
      <c r="FJT745" s="312"/>
      <c r="FJU745" s="312"/>
      <c r="FJV745" s="312"/>
      <c r="FJW745" s="312"/>
      <c r="FJX745" s="312"/>
      <c r="FJY745" s="312"/>
      <c r="FJZ745" s="312"/>
      <c r="FKA745" s="312"/>
      <c r="FKB745" s="312"/>
      <c r="FKC745" s="312"/>
      <c r="FKD745" s="312"/>
      <c r="FKE745" s="312"/>
      <c r="FKF745" s="312"/>
      <c r="FKG745" s="312"/>
      <c r="FKH745" s="312"/>
      <c r="FKI745" s="312"/>
      <c r="FKJ745" s="312"/>
      <c r="FKK745" s="312"/>
      <c r="FKL745" s="312"/>
      <c r="FKM745" s="312"/>
      <c r="FKN745" s="312"/>
      <c r="FKO745" s="312"/>
      <c r="FKP745" s="312"/>
      <c r="FKQ745" s="312"/>
      <c r="FKR745" s="312"/>
      <c r="FKS745" s="312"/>
      <c r="FKT745" s="312"/>
      <c r="FKU745" s="312"/>
      <c r="FKV745" s="312"/>
      <c r="FKW745" s="312"/>
      <c r="FKX745" s="312"/>
      <c r="FKY745" s="312"/>
      <c r="FKZ745" s="312"/>
      <c r="FLA745" s="312"/>
      <c r="FLB745" s="312"/>
      <c r="FLC745" s="312"/>
      <c r="FLD745" s="312"/>
      <c r="FLE745" s="312"/>
      <c r="FLF745" s="312"/>
      <c r="FLG745" s="312"/>
      <c r="FLH745" s="312"/>
      <c r="FLI745" s="312"/>
      <c r="FLJ745" s="312"/>
      <c r="FLK745" s="312"/>
      <c r="FLL745" s="312"/>
      <c r="FLM745" s="312"/>
      <c r="FLN745" s="312"/>
      <c r="FLO745" s="312"/>
      <c r="FLP745" s="312"/>
      <c r="FLQ745" s="312"/>
      <c r="FLR745" s="312"/>
      <c r="FLS745" s="312"/>
      <c r="FLT745" s="312"/>
      <c r="FLU745" s="312"/>
      <c r="FLV745" s="312"/>
      <c r="FLW745" s="312"/>
      <c r="FLX745" s="312"/>
      <c r="FLY745" s="312"/>
      <c r="FLZ745" s="312"/>
      <c r="FMA745" s="312"/>
      <c r="FMB745" s="312"/>
      <c r="FMC745" s="312"/>
      <c r="FMD745" s="312"/>
      <c r="FME745" s="312"/>
      <c r="FMF745" s="312"/>
      <c r="FMG745" s="312"/>
      <c r="FMH745" s="312"/>
      <c r="FMI745" s="312"/>
      <c r="FMJ745" s="312"/>
      <c r="FMK745" s="312"/>
      <c r="FML745" s="312"/>
      <c r="FMM745" s="312"/>
      <c r="FMN745" s="312"/>
      <c r="FMO745" s="312"/>
      <c r="FMP745" s="312"/>
      <c r="FMQ745" s="312"/>
      <c r="FMR745" s="312"/>
      <c r="FMS745" s="312"/>
      <c r="FMT745" s="312"/>
      <c r="FMU745" s="312"/>
      <c r="FMV745" s="312"/>
      <c r="FMW745" s="312"/>
      <c r="FMX745" s="312"/>
      <c r="FMY745" s="312"/>
      <c r="FMZ745" s="312"/>
      <c r="FNA745" s="312"/>
      <c r="FNB745" s="312"/>
      <c r="FNC745" s="312"/>
      <c r="FND745" s="312"/>
      <c r="FNE745" s="312"/>
      <c r="FNF745" s="312"/>
      <c r="FNG745" s="312"/>
      <c r="FNH745" s="312"/>
      <c r="FNI745" s="312"/>
      <c r="FNJ745" s="312"/>
      <c r="FNK745" s="312"/>
      <c r="FNL745" s="312"/>
      <c r="FNM745" s="312"/>
      <c r="FNN745" s="312"/>
      <c r="FNO745" s="312"/>
      <c r="FNP745" s="312"/>
      <c r="FNQ745" s="312"/>
      <c r="FNR745" s="312"/>
      <c r="FNS745" s="312"/>
      <c r="FNT745" s="312"/>
      <c r="FNU745" s="312"/>
      <c r="FNV745" s="312"/>
      <c r="FNW745" s="312"/>
      <c r="FNX745" s="312"/>
      <c r="FNY745" s="312"/>
      <c r="FNZ745" s="312"/>
      <c r="FOA745" s="312"/>
      <c r="FOB745" s="312"/>
      <c r="FOC745" s="312"/>
      <c r="FOD745" s="312"/>
      <c r="FOE745" s="312"/>
      <c r="FOF745" s="312"/>
      <c r="FOG745" s="312"/>
      <c r="FOH745" s="312"/>
      <c r="FOI745" s="312"/>
      <c r="FOJ745" s="312"/>
      <c r="FOK745" s="312"/>
      <c r="FOL745" s="312"/>
      <c r="FOM745" s="312"/>
      <c r="FON745" s="312"/>
      <c r="FOO745" s="312"/>
      <c r="FOP745" s="312"/>
      <c r="FOQ745" s="312"/>
      <c r="FOR745" s="312"/>
      <c r="FOS745" s="312"/>
      <c r="FOT745" s="312"/>
      <c r="FOU745" s="312"/>
      <c r="FOV745" s="312"/>
      <c r="FOW745" s="312"/>
      <c r="FOX745" s="312"/>
      <c r="FOY745" s="312"/>
      <c r="FOZ745" s="312"/>
      <c r="FPA745" s="312"/>
      <c r="FPB745" s="312"/>
      <c r="FPC745" s="312"/>
      <c r="FPD745" s="312"/>
      <c r="FPE745" s="312"/>
      <c r="FPF745" s="312"/>
      <c r="FPG745" s="312"/>
      <c r="FPH745" s="312"/>
      <c r="FPI745" s="312"/>
      <c r="FPJ745" s="312"/>
      <c r="FPK745" s="312"/>
      <c r="FPL745" s="312"/>
      <c r="FPM745" s="312"/>
      <c r="FPN745" s="312"/>
      <c r="FPO745" s="312"/>
      <c r="FPP745" s="312"/>
      <c r="FPQ745" s="312"/>
      <c r="FPR745" s="312"/>
      <c r="FPS745" s="312"/>
      <c r="FPT745" s="312"/>
      <c r="FPU745" s="312"/>
      <c r="FPV745" s="312"/>
      <c r="FPW745" s="312"/>
      <c r="FPX745" s="312"/>
      <c r="FPY745" s="312"/>
      <c r="FPZ745" s="312"/>
      <c r="FQA745" s="312"/>
      <c r="FQB745" s="312"/>
      <c r="FQC745" s="312"/>
      <c r="FQD745" s="312"/>
      <c r="FQE745" s="312"/>
      <c r="FQF745" s="312"/>
      <c r="FQG745" s="312"/>
      <c r="FQH745" s="312"/>
      <c r="FQI745" s="312"/>
      <c r="FQJ745" s="312"/>
      <c r="FQK745" s="312"/>
      <c r="FQL745" s="312"/>
      <c r="FQM745" s="312"/>
      <c r="FQN745" s="312"/>
      <c r="FQO745" s="312"/>
      <c r="FQP745" s="312"/>
      <c r="FQQ745" s="312"/>
      <c r="FQR745" s="312"/>
      <c r="FQS745" s="312"/>
      <c r="FQT745" s="312"/>
      <c r="FQU745" s="312"/>
      <c r="FQV745" s="312"/>
      <c r="FQW745" s="312"/>
      <c r="FQX745" s="312"/>
      <c r="FQY745" s="312"/>
      <c r="FQZ745" s="312"/>
      <c r="FRA745" s="312"/>
      <c r="FRB745" s="312"/>
      <c r="FRC745" s="312"/>
      <c r="FRD745" s="312"/>
      <c r="FRE745" s="312"/>
      <c r="FRF745" s="312"/>
      <c r="FRG745" s="312"/>
      <c r="FRH745" s="312"/>
      <c r="FRI745" s="312"/>
      <c r="FRJ745" s="312"/>
      <c r="FRK745" s="312"/>
      <c r="FRL745" s="312"/>
      <c r="FRM745" s="312"/>
      <c r="FRN745" s="312"/>
      <c r="FRO745" s="312"/>
      <c r="FRP745" s="312"/>
      <c r="FRQ745" s="312"/>
      <c r="FRR745" s="312"/>
      <c r="FRS745" s="312"/>
      <c r="FRT745" s="312"/>
      <c r="FRU745" s="312"/>
      <c r="FRV745" s="312"/>
      <c r="FRW745" s="312"/>
      <c r="FRX745" s="312"/>
      <c r="FRY745" s="312"/>
      <c r="FRZ745" s="312"/>
      <c r="FSA745" s="312"/>
      <c r="FSB745" s="312"/>
      <c r="FSC745" s="312"/>
      <c r="FSD745" s="312"/>
      <c r="FSE745" s="312"/>
      <c r="FSF745" s="312"/>
      <c r="FSG745" s="312"/>
      <c r="FSH745" s="312"/>
      <c r="FSI745" s="312"/>
      <c r="FSJ745" s="312"/>
      <c r="FSK745" s="312"/>
      <c r="FSL745" s="312"/>
      <c r="FSM745" s="312"/>
      <c r="FSN745" s="312"/>
      <c r="FSO745" s="312"/>
      <c r="FSP745" s="312"/>
      <c r="FSQ745" s="312"/>
      <c r="FSR745" s="312"/>
      <c r="FSS745" s="312"/>
      <c r="FST745" s="312"/>
      <c r="FSU745" s="312"/>
      <c r="FSV745" s="312"/>
      <c r="FSW745" s="312"/>
      <c r="FSX745" s="312"/>
      <c r="FSY745" s="312"/>
      <c r="FSZ745" s="312"/>
      <c r="FTA745" s="312"/>
      <c r="FTB745" s="312"/>
      <c r="FTC745" s="312"/>
      <c r="FTD745" s="312"/>
      <c r="FTE745" s="312"/>
      <c r="FTF745" s="312"/>
      <c r="FTG745" s="312"/>
      <c r="FTH745" s="312"/>
      <c r="FTI745" s="312"/>
      <c r="FTJ745" s="312"/>
      <c r="FTK745" s="312"/>
      <c r="FTL745" s="312"/>
      <c r="FTM745" s="312"/>
      <c r="FTN745" s="312"/>
      <c r="FTO745" s="312"/>
      <c r="FTP745" s="312"/>
      <c r="FTQ745" s="312"/>
      <c r="FTR745" s="312"/>
      <c r="FTS745" s="312"/>
      <c r="FTT745" s="312"/>
      <c r="FTU745" s="312"/>
      <c r="FTV745" s="312"/>
      <c r="FTW745" s="312"/>
      <c r="FTX745" s="312"/>
      <c r="FTY745" s="312"/>
      <c r="FTZ745" s="312"/>
      <c r="FUA745" s="312"/>
      <c r="FUB745" s="312"/>
      <c r="FUC745" s="312"/>
      <c r="FUD745" s="312"/>
      <c r="FUE745" s="312"/>
      <c r="FUF745" s="312"/>
      <c r="FUG745" s="312"/>
      <c r="FUH745" s="312"/>
      <c r="FUI745" s="312"/>
      <c r="FUJ745" s="312"/>
      <c r="FUK745" s="312"/>
      <c r="FUL745" s="312"/>
      <c r="FUM745" s="312"/>
      <c r="FUN745" s="312"/>
      <c r="FUO745" s="312"/>
      <c r="FUP745" s="312"/>
      <c r="FUQ745" s="312"/>
      <c r="FUR745" s="312"/>
      <c r="FUS745" s="312"/>
      <c r="FUT745" s="312"/>
      <c r="FUU745" s="312"/>
      <c r="FUV745" s="312"/>
      <c r="FUW745" s="312"/>
      <c r="FUX745" s="312"/>
      <c r="FUY745" s="312"/>
      <c r="FUZ745" s="312"/>
      <c r="FVA745" s="312"/>
      <c r="FVB745" s="312"/>
      <c r="FVC745" s="312"/>
      <c r="FVD745" s="312"/>
      <c r="FVE745" s="312"/>
      <c r="FVF745" s="312"/>
      <c r="FVG745" s="312"/>
      <c r="FVH745" s="312"/>
      <c r="FVI745" s="312"/>
      <c r="FVJ745" s="312"/>
      <c r="FVK745" s="312"/>
      <c r="FVL745" s="312"/>
      <c r="FVM745" s="312"/>
      <c r="FVN745" s="312"/>
      <c r="FVO745" s="312"/>
      <c r="FVP745" s="312"/>
      <c r="FVQ745" s="312"/>
      <c r="FVR745" s="312"/>
      <c r="FVS745" s="312"/>
      <c r="FVT745" s="312"/>
      <c r="FVU745" s="312"/>
      <c r="FVV745" s="312"/>
      <c r="FVW745" s="312"/>
      <c r="FVX745" s="312"/>
      <c r="FVY745" s="312"/>
      <c r="FVZ745" s="312"/>
      <c r="FWA745" s="312"/>
      <c r="FWB745" s="312"/>
      <c r="FWC745" s="312"/>
      <c r="FWD745" s="312"/>
      <c r="FWE745" s="312"/>
      <c r="FWF745" s="312"/>
      <c r="FWG745" s="312"/>
      <c r="FWH745" s="312"/>
      <c r="FWI745" s="312"/>
      <c r="FWJ745" s="312"/>
      <c r="FWK745" s="312"/>
      <c r="FWL745" s="312"/>
      <c r="FWM745" s="312"/>
      <c r="FWN745" s="312"/>
      <c r="FWO745" s="312"/>
      <c r="FWP745" s="312"/>
      <c r="FWQ745" s="312"/>
      <c r="FWR745" s="312"/>
      <c r="FWS745" s="312"/>
      <c r="FWT745" s="312"/>
      <c r="FWU745" s="312"/>
      <c r="FWV745" s="312"/>
      <c r="FWW745" s="312"/>
      <c r="FWX745" s="312"/>
      <c r="FWY745" s="312"/>
      <c r="FWZ745" s="312"/>
      <c r="FXA745" s="312"/>
      <c r="FXB745" s="312"/>
      <c r="FXC745" s="312"/>
      <c r="FXD745" s="312"/>
      <c r="FXE745" s="312"/>
      <c r="FXF745" s="312"/>
      <c r="FXG745" s="312"/>
      <c r="FXH745" s="312"/>
      <c r="FXI745" s="312"/>
      <c r="FXJ745" s="312"/>
      <c r="FXK745" s="312"/>
      <c r="FXL745" s="312"/>
      <c r="FXM745" s="312"/>
      <c r="FXN745" s="312"/>
      <c r="FXO745" s="312"/>
      <c r="FXP745" s="312"/>
      <c r="FXQ745" s="312"/>
      <c r="FXR745" s="312"/>
      <c r="FXS745" s="312"/>
      <c r="FXT745" s="312"/>
      <c r="FXU745" s="312"/>
      <c r="FXV745" s="312"/>
      <c r="FXW745" s="312"/>
      <c r="FXX745" s="312"/>
      <c r="FXY745" s="312"/>
      <c r="FXZ745" s="312"/>
      <c r="FYA745" s="312"/>
      <c r="FYB745" s="312"/>
      <c r="FYC745" s="312"/>
      <c r="FYD745" s="312"/>
      <c r="FYE745" s="312"/>
      <c r="FYF745" s="312"/>
      <c r="FYG745" s="312"/>
      <c r="FYH745" s="312"/>
      <c r="FYI745" s="312"/>
      <c r="FYJ745" s="312"/>
      <c r="FYK745" s="312"/>
      <c r="FYL745" s="312"/>
      <c r="FYM745" s="312"/>
      <c r="FYN745" s="312"/>
      <c r="FYO745" s="312"/>
      <c r="FYP745" s="312"/>
      <c r="FYQ745" s="312"/>
      <c r="FYR745" s="312"/>
      <c r="FYS745" s="312"/>
      <c r="FYT745" s="312"/>
      <c r="FYU745" s="312"/>
      <c r="FYV745" s="312"/>
      <c r="FYW745" s="312"/>
      <c r="FYX745" s="312"/>
      <c r="FYY745" s="312"/>
      <c r="FYZ745" s="312"/>
      <c r="FZA745" s="312"/>
      <c r="FZB745" s="312"/>
      <c r="FZC745" s="312"/>
      <c r="FZD745" s="312"/>
      <c r="FZE745" s="312"/>
      <c r="FZF745" s="312"/>
      <c r="FZG745" s="312"/>
      <c r="FZH745" s="312"/>
      <c r="FZI745" s="312"/>
      <c r="FZJ745" s="312"/>
      <c r="FZK745" s="312"/>
      <c r="FZL745" s="312"/>
      <c r="FZM745" s="312"/>
      <c r="FZN745" s="312"/>
      <c r="FZO745" s="312"/>
      <c r="FZP745" s="312"/>
      <c r="FZQ745" s="312"/>
      <c r="FZR745" s="312"/>
      <c r="FZS745" s="312"/>
      <c r="FZT745" s="312"/>
      <c r="FZU745" s="312"/>
      <c r="FZV745" s="312"/>
      <c r="FZW745" s="312"/>
      <c r="FZX745" s="312"/>
      <c r="FZY745" s="312"/>
      <c r="FZZ745" s="312"/>
      <c r="GAA745" s="312"/>
      <c r="GAB745" s="312"/>
      <c r="GAC745" s="312"/>
      <c r="GAD745" s="312"/>
      <c r="GAE745" s="312"/>
      <c r="GAF745" s="312"/>
      <c r="GAG745" s="312"/>
      <c r="GAH745" s="312"/>
      <c r="GAI745" s="312"/>
      <c r="GAJ745" s="312"/>
      <c r="GAK745" s="312"/>
      <c r="GAL745" s="312"/>
      <c r="GAM745" s="312"/>
      <c r="GAN745" s="312"/>
      <c r="GAO745" s="312"/>
      <c r="GAP745" s="312"/>
      <c r="GAQ745" s="312"/>
      <c r="GAR745" s="312"/>
      <c r="GAS745" s="312"/>
      <c r="GAT745" s="312"/>
      <c r="GAU745" s="312"/>
      <c r="GAV745" s="312"/>
      <c r="GAW745" s="312"/>
      <c r="GAX745" s="312"/>
      <c r="GAY745" s="312"/>
      <c r="GAZ745" s="312"/>
      <c r="GBA745" s="312"/>
      <c r="GBB745" s="312"/>
      <c r="GBC745" s="312"/>
      <c r="GBD745" s="312"/>
      <c r="GBE745" s="312"/>
      <c r="GBF745" s="312"/>
      <c r="GBG745" s="312"/>
      <c r="GBH745" s="312"/>
      <c r="GBI745" s="312"/>
      <c r="GBJ745" s="312"/>
      <c r="GBK745" s="312"/>
      <c r="GBL745" s="312"/>
      <c r="GBM745" s="312"/>
      <c r="GBN745" s="312"/>
      <c r="GBO745" s="312"/>
      <c r="GBP745" s="312"/>
      <c r="GBQ745" s="312"/>
      <c r="GBR745" s="312"/>
      <c r="GBS745" s="312"/>
      <c r="GBT745" s="312"/>
      <c r="GBU745" s="312"/>
      <c r="GBV745" s="312"/>
      <c r="GBW745" s="312"/>
      <c r="GBX745" s="312"/>
      <c r="GBY745" s="312"/>
      <c r="GBZ745" s="312"/>
      <c r="GCA745" s="312"/>
      <c r="GCB745" s="312"/>
      <c r="GCC745" s="312"/>
      <c r="GCD745" s="312"/>
      <c r="GCE745" s="312"/>
      <c r="GCF745" s="312"/>
      <c r="GCG745" s="312"/>
      <c r="GCH745" s="312"/>
      <c r="GCI745" s="312"/>
      <c r="GCJ745" s="312"/>
      <c r="GCK745" s="312"/>
      <c r="GCL745" s="312"/>
      <c r="GCM745" s="312"/>
      <c r="GCN745" s="312"/>
      <c r="GCO745" s="312"/>
      <c r="GCP745" s="312"/>
      <c r="GCQ745" s="312"/>
      <c r="GCR745" s="312"/>
      <c r="GCS745" s="312"/>
      <c r="GCT745" s="312"/>
      <c r="GCU745" s="312"/>
      <c r="GCV745" s="312"/>
      <c r="GCW745" s="312"/>
      <c r="GCX745" s="312"/>
      <c r="GCY745" s="312"/>
      <c r="GCZ745" s="312"/>
      <c r="GDA745" s="312"/>
      <c r="GDB745" s="312"/>
      <c r="GDC745" s="312"/>
      <c r="GDD745" s="312"/>
      <c r="GDE745" s="312"/>
      <c r="GDF745" s="312"/>
      <c r="GDG745" s="312"/>
      <c r="GDH745" s="312"/>
      <c r="GDI745" s="312"/>
      <c r="GDJ745" s="312"/>
      <c r="GDK745" s="312"/>
      <c r="GDL745" s="312"/>
      <c r="GDM745" s="312"/>
      <c r="GDN745" s="312"/>
      <c r="GDO745" s="312"/>
      <c r="GDP745" s="312"/>
      <c r="GDQ745" s="312"/>
      <c r="GDR745" s="312"/>
      <c r="GDS745" s="312"/>
      <c r="GDT745" s="312"/>
      <c r="GDU745" s="312"/>
      <c r="GDV745" s="312"/>
      <c r="GDW745" s="312"/>
      <c r="GDX745" s="312"/>
      <c r="GDY745" s="312"/>
      <c r="GDZ745" s="312"/>
      <c r="GEA745" s="312"/>
      <c r="GEB745" s="312"/>
      <c r="GEC745" s="312"/>
      <c r="GED745" s="312"/>
      <c r="GEE745" s="312"/>
      <c r="GEF745" s="312"/>
      <c r="GEG745" s="312"/>
      <c r="GEH745" s="312"/>
      <c r="GEI745" s="312"/>
      <c r="GEJ745" s="312"/>
      <c r="GEK745" s="312"/>
      <c r="GEL745" s="312"/>
      <c r="GEM745" s="312"/>
      <c r="GEN745" s="312"/>
      <c r="GEO745" s="312"/>
      <c r="GEP745" s="312"/>
      <c r="GEQ745" s="312"/>
      <c r="GER745" s="312"/>
      <c r="GES745" s="312"/>
      <c r="GET745" s="312"/>
      <c r="GEU745" s="312"/>
      <c r="GEV745" s="312"/>
      <c r="GEW745" s="312"/>
      <c r="GEX745" s="312"/>
      <c r="GEY745" s="312"/>
      <c r="GEZ745" s="312"/>
      <c r="GFA745" s="312"/>
      <c r="GFB745" s="312"/>
      <c r="GFC745" s="312"/>
      <c r="GFD745" s="312"/>
      <c r="GFE745" s="312"/>
      <c r="GFF745" s="312"/>
      <c r="GFG745" s="312"/>
      <c r="GFH745" s="312"/>
      <c r="GFI745" s="312"/>
      <c r="GFJ745" s="312"/>
      <c r="GFK745" s="312"/>
      <c r="GFL745" s="312"/>
      <c r="GFM745" s="312"/>
      <c r="GFN745" s="312"/>
      <c r="GFO745" s="312"/>
      <c r="GFP745" s="312"/>
      <c r="GFQ745" s="312"/>
      <c r="GFR745" s="312"/>
      <c r="GFS745" s="312"/>
      <c r="GFT745" s="312"/>
      <c r="GFU745" s="312"/>
      <c r="GFV745" s="312"/>
      <c r="GFW745" s="312"/>
      <c r="GFX745" s="312"/>
      <c r="GFY745" s="312"/>
      <c r="GFZ745" s="312"/>
      <c r="GGA745" s="312"/>
      <c r="GGB745" s="312"/>
      <c r="GGC745" s="312"/>
      <c r="GGD745" s="312"/>
      <c r="GGE745" s="312"/>
      <c r="GGF745" s="312"/>
      <c r="GGG745" s="312"/>
      <c r="GGH745" s="312"/>
      <c r="GGI745" s="312"/>
      <c r="GGJ745" s="312"/>
      <c r="GGK745" s="312"/>
      <c r="GGL745" s="312"/>
      <c r="GGM745" s="312"/>
      <c r="GGN745" s="312"/>
      <c r="GGO745" s="312"/>
      <c r="GGP745" s="312"/>
      <c r="GGQ745" s="312"/>
      <c r="GGR745" s="312"/>
      <c r="GGS745" s="312"/>
      <c r="GGT745" s="312"/>
      <c r="GGU745" s="312"/>
      <c r="GGV745" s="312"/>
      <c r="GGW745" s="312"/>
      <c r="GGX745" s="312"/>
      <c r="GGY745" s="312"/>
      <c r="GGZ745" s="312"/>
      <c r="GHA745" s="312"/>
      <c r="GHB745" s="312"/>
      <c r="GHC745" s="312"/>
      <c r="GHD745" s="312"/>
      <c r="GHE745" s="312"/>
      <c r="GHF745" s="312"/>
      <c r="GHG745" s="312"/>
      <c r="GHH745" s="312"/>
      <c r="GHI745" s="312"/>
      <c r="GHJ745" s="312"/>
      <c r="GHK745" s="312"/>
      <c r="GHL745" s="312"/>
      <c r="GHM745" s="312"/>
      <c r="GHN745" s="312"/>
      <c r="GHO745" s="312"/>
      <c r="GHP745" s="312"/>
      <c r="GHQ745" s="312"/>
      <c r="GHR745" s="312"/>
      <c r="GHS745" s="312"/>
      <c r="GHT745" s="312"/>
      <c r="GHU745" s="312"/>
      <c r="GHV745" s="312"/>
      <c r="GHW745" s="312"/>
      <c r="GHX745" s="312"/>
      <c r="GHY745" s="312"/>
      <c r="GHZ745" s="312"/>
      <c r="GIA745" s="312"/>
      <c r="GIB745" s="312"/>
      <c r="GIC745" s="312"/>
      <c r="GID745" s="312"/>
      <c r="GIE745" s="312"/>
      <c r="GIF745" s="312"/>
      <c r="GIG745" s="312"/>
      <c r="GIH745" s="312"/>
      <c r="GII745" s="312"/>
      <c r="GIJ745" s="312"/>
      <c r="GIK745" s="312"/>
      <c r="GIL745" s="312"/>
      <c r="GIM745" s="312"/>
      <c r="GIN745" s="312"/>
      <c r="GIO745" s="312"/>
      <c r="GIP745" s="312"/>
      <c r="GIQ745" s="312"/>
      <c r="GIR745" s="312"/>
      <c r="GIS745" s="312"/>
      <c r="GIT745" s="312"/>
      <c r="GIU745" s="312"/>
      <c r="GIV745" s="312"/>
      <c r="GIW745" s="312"/>
      <c r="GIX745" s="312"/>
      <c r="GIY745" s="312"/>
      <c r="GIZ745" s="312"/>
      <c r="GJA745" s="312"/>
      <c r="GJB745" s="312"/>
      <c r="GJC745" s="312"/>
      <c r="GJD745" s="312"/>
      <c r="GJE745" s="312"/>
      <c r="GJF745" s="312"/>
      <c r="GJG745" s="312"/>
      <c r="GJH745" s="312"/>
      <c r="GJI745" s="312"/>
      <c r="GJJ745" s="312"/>
      <c r="GJK745" s="312"/>
      <c r="GJL745" s="312"/>
      <c r="GJM745" s="312"/>
      <c r="GJN745" s="312"/>
      <c r="GJO745" s="312"/>
      <c r="GJP745" s="312"/>
      <c r="GJQ745" s="312"/>
      <c r="GJR745" s="312"/>
      <c r="GJS745" s="312"/>
      <c r="GJT745" s="312"/>
      <c r="GJU745" s="312"/>
      <c r="GJV745" s="312"/>
      <c r="GJW745" s="312"/>
      <c r="GJX745" s="312"/>
      <c r="GJY745" s="312"/>
      <c r="GJZ745" s="312"/>
      <c r="GKA745" s="312"/>
      <c r="GKB745" s="312"/>
      <c r="GKC745" s="312"/>
      <c r="GKD745" s="312"/>
      <c r="GKE745" s="312"/>
      <c r="GKF745" s="312"/>
      <c r="GKG745" s="312"/>
      <c r="GKH745" s="312"/>
      <c r="GKI745" s="312"/>
      <c r="GKJ745" s="312"/>
      <c r="GKK745" s="312"/>
      <c r="GKL745" s="312"/>
      <c r="GKM745" s="312"/>
      <c r="GKN745" s="312"/>
      <c r="GKO745" s="312"/>
      <c r="GKP745" s="312"/>
      <c r="GKQ745" s="312"/>
      <c r="GKR745" s="312"/>
      <c r="GKS745" s="312"/>
      <c r="GKT745" s="312"/>
      <c r="GKU745" s="312"/>
      <c r="GKV745" s="312"/>
      <c r="GKW745" s="312"/>
      <c r="GKX745" s="312"/>
      <c r="GKY745" s="312"/>
      <c r="GKZ745" s="312"/>
      <c r="GLA745" s="312"/>
      <c r="GLB745" s="312"/>
      <c r="GLC745" s="312"/>
      <c r="GLD745" s="312"/>
      <c r="GLE745" s="312"/>
      <c r="GLF745" s="312"/>
      <c r="GLG745" s="312"/>
      <c r="GLH745" s="312"/>
      <c r="GLI745" s="312"/>
      <c r="GLJ745" s="312"/>
      <c r="GLK745" s="312"/>
      <c r="GLL745" s="312"/>
      <c r="GLM745" s="312"/>
      <c r="GLN745" s="312"/>
      <c r="GLO745" s="312"/>
      <c r="GLP745" s="312"/>
      <c r="GLQ745" s="312"/>
      <c r="GLR745" s="312"/>
      <c r="GLS745" s="312"/>
      <c r="GLT745" s="312"/>
      <c r="GLU745" s="312"/>
      <c r="GLV745" s="312"/>
      <c r="GLW745" s="312"/>
      <c r="GLX745" s="312"/>
      <c r="GLY745" s="312"/>
      <c r="GLZ745" s="312"/>
      <c r="GMA745" s="312"/>
      <c r="GMB745" s="312"/>
      <c r="GMC745" s="312"/>
      <c r="GMD745" s="312"/>
      <c r="GME745" s="312"/>
      <c r="GMF745" s="312"/>
      <c r="GMG745" s="312"/>
      <c r="GMH745" s="312"/>
      <c r="GMI745" s="312"/>
      <c r="GMJ745" s="312"/>
      <c r="GMK745" s="312"/>
      <c r="GML745" s="312"/>
      <c r="GMM745" s="312"/>
      <c r="GMN745" s="312"/>
      <c r="GMO745" s="312"/>
      <c r="GMP745" s="312"/>
      <c r="GMQ745" s="312"/>
      <c r="GMR745" s="312"/>
      <c r="GMS745" s="312"/>
      <c r="GMT745" s="312"/>
      <c r="GMU745" s="312"/>
      <c r="GMV745" s="312"/>
      <c r="GMW745" s="312"/>
      <c r="GMX745" s="312"/>
      <c r="GMY745" s="312"/>
      <c r="GMZ745" s="312"/>
      <c r="GNA745" s="312"/>
      <c r="GNB745" s="312"/>
      <c r="GNC745" s="312"/>
      <c r="GND745" s="312"/>
      <c r="GNE745" s="312"/>
      <c r="GNF745" s="312"/>
      <c r="GNG745" s="312"/>
      <c r="GNH745" s="312"/>
      <c r="GNI745" s="312"/>
      <c r="GNJ745" s="312"/>
      <c r="GNK745" s="312"/>
      <c r="GNL745" s="312"/>
      <c r="GNM745" s="312"/>
      <c r="GNN745" s="312"/>
      <c r="GNO745" s="312"/>
      <c r="GNP745" s="312"/>
      <c r="GNQ745" s="312"/>
      <c r="GNR745" s="312"/>
      <c r="GNS745" s="312"/>
      <c r="GNT745" s="312"/>
      <c r="GNU745" s="312"/>
      <c r="GNV745" s="312"/>
      <c r="GNW745" s="312"/>
      <c r="GNX745" s="312"/>
      <c r="GNY745" s="312"/>
      <c r="GNZ745" s="312"/>
      <c r="GOA745" s="312"/>
      <c r="GOB745" s="312"/>
      <c r="GOC745" s="312"/>
      <c r="GOD745" s="312"/>
      <c r="GOE745" s="312"/>
      <c r="GOF745" s="312"/>
      <c r="GOG745" s="312"/>
      <c r="GOH745" s="312"/>
      <c r="GOI745" s="312"/>
      <c r="GOJ745" s="312"/>
      <c r="GOK745" s="312"/>
      <c r="GOL745" s="312"/>
      <c r="GOM745" s="312"/>
      <c r="GON745" s="312"/>
      <c r="GOO745" s="312"/>
      <c r="GOP745" s="312"/>
      <c r="GOQ745" s="312"/>
      <c r="GOR745" s="312"/>
      <c r="GOS745" s="312"/>
      <c r="GOT745" s="312"/>
      <c r="GOU745" s="312"/>
      <c r="GOV745" s="312"/>
      <c r="GOW745" s="312"/>
      <c r="GOX745" s="312"/>
      <c r="GOY745" s="312"/>
      <c r="GOZ745" s="312"/>
      <c r="GPA745" s="312"/>
      <c r="GPB745" s="312"/>
      <c r="GPC745" s="312"/>
      <c r="GPD745" s="312"/>
      <c r="GPE745" s="312"/>
      <c r="GPF745" s="312"/>
      <c r="GPG745" s="312"/>
      <c r="GPH745" s="312"/>
      <c r="GPI745" s="312"/>
      <c r="GPJ745" s="312"/>
      <c r="GPK745" s="312"/>
      <c r="GPL745" s="312"/>
      <c r="GPM745" s="312"/>
      <c r="GPN745" s="312"/>
      <c r="GPO745" s="312"/>
      <c r="GPP745" s="312"/>
      <c r="GPQ745" s="312"/>
      <c r="GPR745" s="312"/>
      <c r="GPS745" s="312"/>
      <c r="GPT745" s="312"/>
      <c r="GPU745" s="312"/>
      <c r="GPV745" s="312"/>
      <c r="GPW745" s="312"/>
      <c r="GPX745" s="312"/>
      <c r="GPY745" s="312"/>
      <c r="GPZ745" s="312"/>
      <c r="GQA745" s="312"/>
      <c r="GQB745" s="312"/>
      <c r="GQC745" s="312"/>
      <c r="GQD745" s="312"/>
      <c r="GQE745" s="312"/>
      <c r="GQF745" s="312"/>
      <c r="GQG745" s="312"/>
      <c r="GQH745" s="312"/>
      <c r="GQI745" s="312"/>
      <c r="GQJ745" s="312"/>
      <c r="GQK745" s="312"/>
      <c r="GQL745" s="312"/>
      <c r="GQM745" s="312"/>
      <c r="GQN745" s="312"/>
      <c r="GQO745" s="312"/>
      <c r="GQP745" s="312"/>
      <c r="GQQ745" s="312"/>
      <c r="GQR745" s="312"/>
      <c r="GQS745" s="312"/>
      <c r="GQT745" s="312"/>
      <c r="GQU745" s="312"/>
      <c r="GQV745" s="312"/>
      <c r="GQW745" s="312"/>
      <c r="GQX745" s="312"/>
      <c r="GQY745" s="312"/>
      <c r="GQZ745" s="312"/>
      <c r="GRA745" s="312"/>
      <c r="GRB745" s="312"/>
      <c r="GRC745" s="312"/>
      <c r="GRD745" s="312"/>
      <c r="GRE745" s="312"/>
      <c r="GRF745" s="312"/>
      <c r="GRG745" s="312"/>
      <c r="GRH745" s="312"/>
      <c r="GRI745" s="312"/>
      <c r="GRJ745" s="312"/>
      <c r="GRK745" s="312"/>
      <c r="GRL745" s="312"/>
      <c r="GRM745" s="312"/>
      <c r="GRN745" s="312"/>
      <c r="GRO745" s="312"/>
      <c r="GRP745" s="312"/>
      <c r="GRQ745" s="312"/>
      <c r="GRR745" s="312"/>
      <c r="GRS745" s="312"/>
      <c r="GRT745" s="312"/>
      <c r="GRU745" s="312"/>
      <c r="GRV745" s="312"/>
      <c r="GRW745" s="312"/>
      <c r="GRX745" s="312"/>
      <c r="GRY745" s="312"/>
      <c r="GRZ745" s="312"/>
      <c r="GSA745" s="312"/>
      <c r="GSB745" s="312"/>
      <c r="GSC745" s="312"/>
      <c r="GSD745" s="312"/>
      <c r="GSE745" s="312"/>
      <c r="GSF745" s="312"/>
      <c r="GSG745" s="312"/>
      <c r="GSH745" s="312"/>
      <c r="GSI745" s="312"/>
      <c r="GSJ745" s="312"/>
      <c r="GSK745" s="312"/>
      <c r="GSL745" s="312"/>
      <c r="GSM745" s="312"/>
      <c r="GSN745" s="312"/>
      <c r="GSO745" s="312"/>
      <c r="GSP745" s="312"/>
      <c r="GSQ745" s="312"/>
      <c r="GSR745" s="312"/>
      <c r="GSS745" s="312"/>
      <c r="GST745" s="312"/>
      <c r="GSU745" s="312"/>
      <c r="GSV745" s="312"/>
      <c r="GSW745" s="312"/>
      <c r="GSX745" s="312"/>
      <c r="GSY745" s="312"/>
      <c r="GSZ745" s="312"/>
      <c r="GTA745" s="312"/>
      <c r="GTB745" s="312"/>
      <c r="GTC745" s="312"/>
      <c r="GTD745" s="312"/>
      <c r="GTE745" s="312"/>
      <c r="GTF745" s="312"/>
      <c r="GTG745" s="312"/>
      <c r="GTH745" s="312"/>
      <c r="GTI745" s="312"/>
      <c r="GTJ745" s="312"/>
      <c r="GTK745" s="312"/>
      <c r="GTL745" s="312"/>
      <c r="GTM745" s="312"/>
      <c r="GTN745" s="312"/>
      <c r="GTO745" s="312"/>
      <c r="GTP745" s="312"/>
      <c r="GTQ745" s="312"/>
      <c r="GTR745" s="312"/>
      <c r="GTS745" s="312"/>
      <c r="GTT745" s="312"/>
      <c r="GTU745" s="312"/>
      <c r="GTV745" s="312"/>
      <c r="GTW745" s="312"/>
      <c r="GTX745" s="312"/>
      <c r="GTY745" s="312"/>
      <c r="GTZ745" s="312"/>
      <c r="GUA745" s="312"/>
      <c r="GUB745" s="312"/>
      <c r="GUC745" s="312"/>
      <c r="GUD745" s="312"/>
      <c r="GUE745" s="312"/>
      <c r="GUF745" s="312"/>
      <c r="GUG745" s="312"/>
      <c r="GUH745" s="312"/>
      <c r="GUI745" s="312"/>
      <c r="GUJ745" s="312"/>
      <c r="GUK745" s="312"/>
      <c r="GUL745" s="312"/>
      <c r="GUM745" s="312"/>
      <c r="GUN745" s="312"/>
      <c r="GUO745" s="312"/>
      <c r="GUP745" s="312"/>
      <c r="GUQ745" s="312"/>
      <c r="GUR745" s="312"/>
      <c r="GUS745" s="312"/>
      <c r="GUT745" s="312"/>
      <c r="GUU745" s="312"/>
      <c r="GUV745" s="312"/>
      <c r="GUW745" s="312"/>
      <c r="GUX745" s="312"/>
      <c r="GUY745" s="312"/>
      <c r="GUZ745" s="312"/>
      <c r="GVA745" s="312"/>
      <c r="GVB745" s="312"/>
      <c r="GVC745" s="312"/>
      <c r="GVD745" s="312"/>
      <c r="GVE745" s="312"/>
      <c r="GVF745" s="312"/>
      <c r="GVG745" s="312"/>
      <c r="GVH745" s="312"/>
      <c r="GVI745" s="312"/>
      <c r="GVJ745" s="312"/>
      <c r="GVK745" s="312"/>
      <c r="GVL745" s="312"/>
      <c r="GVM745" s="312"/>
      <c r="GVN745" s="312"/>
      <c r="GVO745" s="312"/>
      <c r="GVP745" s="312"/>
      <c r="GVQ745" s="312"/>
      <c r="GVR745" s="312"/>
      <c r="GVS745" s="312"/>
      <c r="GVT745" s="312"/>
      <c r="GVU745" s="312"/>
      <c r="GVV745" s="312"/>
      <c r="GVW745" s="312"/>
      <c r="GVX745" s="312"/>
      <c r="GVY745" s="312"/>
      <c r="GVZ745" s="312"/>
      <c r="GWA745" s="312"/>
      <c r="GWB745" s="312"/>
      <c r="GWC745" s="312"/>
      <c r="GWD745" s="312"/>
      <c r="GWE745" s="312"/>
      <c r="GWF745" s="312"/>
      <c r="GWG745" s="312"/>
      <c r="GWH745" s="312"/>
      <c r="GWI745" s="312"/>
      <c r="GWJ745" s="312"/>
      <c r="GWK745" s="312"/>
      <c r="GWL745" s="312"/>
      <c r="GWM745" s="312"/>
      <c r="GWN745" s="312"/>
      <c r="GWO745" s="312"/>
      <c r="GWP745" s="312"/>
      <c r="GWQ745" s="312"/>
      <c r="GWR745" s="312"/>
      <c r="GWS745" s="312"/>
      <c r="GWT745" s="312"/>
      <c r="GWU745" s="312"/>
      <c r="GWV745" s="312"/>
      <c r="GWW745" s="312"/>
      <c r="GWX745" s="312"/>
      <c r="GWY745" s="312"/>
      <c r="GWZ745" s="312"/>
      <c r="GXA745" s="312"/>
      <c r="GXB745" s="312"/>
      <c r="GXC745" s="312"/>
      <c r="GXD745" s="312"/>
      <c r="GXE745" s="312"/>
      <c r="GXF745" s="312"/>
      <c r="GXG745" s="312"/>
      <c r="GXH745" s="312"/>
      <c r="GXI745" s="312"/>
      <c r="GXJ745" s="312"/>
      <c r="GXK745" s="312"/>
      <c r="GXL745" s="312"/>
      <c r="GXM745" s="312"/>
      <c r="GXN745" s="312"/>
      <c r="GXO745" s="312"/>
      <c r="GXP745" s="312"/>
      <c r="GXQ745" s="312"/>
      <c r="GXR745" s="312"/>
      <c r="GXS745" s="312"/>
      <c r="GXT745" s="312"/>
      <c r="GXU745" s="312"/>
      <c r="GXV745" s="312"/>
      <c r="GXW745" s="312"/>
      <c r="GXX745" s="312"/>
      <c r="GXY745" s="312"/>
      <c r="GXZ745" s="312"/>
      <c r="GYA745" s="312"/>
      <c r="GYB745" s="312"/>
      <c r="GYC745" s="312"/>
      <c r="GYD745" s="312"/>
      <c r="GYE745" s="312"/>
      <c r="GYF745" s="312"/>
      <c r="GYG745" s="312"/>
      <c r="GYH745" s="312"/>
      <c r="GYI745" s="312"/>
      <c r="GYJ745" s="312"/>
      <c r="GYK745" s="312"/>
      <c r="GYL745" s="312"/>
      <c r="GYM745" s="312"/>
      <c r="GYN745" s="312"/>
      <c r="GYO745" s="312"/>
      <c r="GYP745" s="312"/>
      <c r="GYQ745" s="312"/>
      <c r="GYR745" s="312"/>
      <c r="GYS745" s="312"/>
      <c r="GYT745" s="312"/>
      <c r="GYU745" s="312"/>
      <c r="GYV745" s="312"/>
      <c r="GYW745" s="312"/>
      <c r="GYX745" s="312"/>
      <c r="GYY745" s="312"/>
      <c r="GYZ745" s="312"/>
      <c r="GZA745" s="312"/>
      <c r="GZB745" s="312"/>
      <c r="GZC745" s="312"/>
      <c r="GZD745" s="312"/>
      <c r="GZE745" s="312"/>
      <c r="GZF745" s="312"/>
      <c r="GZG745" s="312"/>
      <c r="GZH745" s="312"/>
      <c r="GZI745" s="312"/>
      <c r="GZJ745" s="312"/>
      <c r="GZK745" s="312"/>
      <c r="GZL745" s="312"/>
      <c r="GZM745" s="312"/>
      <c r="GZN745" s="312"/>
      <c r="GZO745" s="312"/>
      <c r="GZP745" s="312"/>
      <c r="GZQ745" s="312"/>
      <c r="GZR745" s="312"/>
      <c r="GZS745" s="312"/>
      <c r="GZT745" s="312"/>
      <c r="GZU745" s="312"/>
      <c r="GZV745" s="312"/>
      <c r="GZW745" s="312"/>
      <c r="GZX745" s="312"/>
      <c r="GZY745" s="312"/>
      <c r="GZZ745" s="312"/>
      <c r="HAA745" s="312"/>
      <c r="HAB745" s="312"/>
      <c r="HAC745" s="312"/>
      <c r="HAD745" s="312"/>
      <c r="HAE745" s="312"/>
      <c r="HAF745" s="312"/>
      <c r="HAG745" s="312"/>
      <c r="HAH745" s="312"/>
      <c r="HAI745" s="312"/>
      <c r="HAJ745" s="312"/>
      <c r="HAK745" s="312"/>
      <c r="HAL745" s="312"/>
      <c r="HAM745" s="312"/>
      <c r="HAN745" s="312"/>
      <c r="HAO745" s="312"/>
      <c r="HAP745" s="312"/>
      <c r="HAQ745" s="312"/>
      <c r="HAR745" s="312"/>
      <c r="HAS745" s="312"/>
      <c r="HAT745" s="312"/>
      <c r="HAU745" s="312"/>
      <c r="HAV745" s="312"/>
      <c r="HAW745" s="312"/>
      <c r="HAX745" s="312"/>
      <c r="HAY745" s="312"/>
      <c r="HAZ745" s="312"/>
      <c r="HBA745" s="312"/>
      <c r="HBB745" s="312"/>
      <c r="HBC745" s="312"/>
      <c r="HBD745" s="312"/>
      <c r="HBE745" s="312"/>
      <c r="HBF745" s="312"/>
      <c r="HBG745" s="312"/>
      <c r="HBH745" s="312"/>
      <c r="HBI745" s="312"/>
      <c r="HBJ745" s="312"/>
      <c r="HBK745" s="312"/>
      <c r="HBL745" s="312"/>
      <c r="HBM745" s="312"/>
      <c r="HBN745" s="312"/>
      <c r="HBO745" s="312"/>
      <c r="HBP745" s="312"/>
      <c r="HBQ745" s="312"/>
      <c r="HBR745" s="312"/>
      <c r="HBS745" s="312"/>
      <c r="HBT745" s="312"/>
      <c r="HBU745" s="312"/>
      <c r="HBV745" s="312"/>
      <c r="HBW745" s="312"/>
      <c r="HBX745" s="312"/>
      <c r="HBY745" s="312"/>
      <c r="HBZ745" s="312"/>
      <c r="HCA745" s="312"/>
      <c r="HCB745" s="312"/>
      <c r="HCC745" s="312"/>
      <c r="HCD745" s="312"/>
      <c r="HCE745" s="312"/>
      <c r="HCF745" s="312"/>
      <c r="HCG745" s="312"/>
      <c r="HCH745" s="312"/>
      <c r="HCI745" s="312"/>
      <c r="HCJ745" s="312"/>
      <c r="HCK745" s="312"/>
      <c r="HCL745" s="312"/>
      <c r="HCM745" s="312"/>
      <c r="HCN745" s="312"/>
      <c r="HCO745" s="312"/>
      <c r="HCP745" s="312"/>
      <c r="HCQ745" s="312"/>
      <c r="HCR745" s="312"/>
      <c r="HCS745" s="312"/>
      <c r="HCT745" s="312"/>
      <c r="HCU745" s="312"/>
      <c r="HCV745" s="312"/>
      <c r="HCW745" s="312"/>
      <c r="HCX745" s="312"/>
      <c r="HCY745" s="312"/>
      <c r="HCZ745" s="312"/>
      <c r="HDA745" s="312"/>
      <c r="HDB745" s="312"/>
      <c r="HDC745" s="312"/>
      <c r="HDD745" s="312"/>
      <c r="HDE745" s="312"/>
      <c r="HDF745" s="312"/>
      <c r="HDG745" s="312"/>
      <c r="HDH745" s="312"/>
      <c r="HDI745" s="312"/>
      <c r="HDJ745" s="312"/>
      <c r="HDK745" s="312"/>
      <c r="HDL745" s="312"/>
      <c r="HDM745" s="312"/>
      <c r="HDN745" s="312"/>
      <c r="HDO745" s="312"/>
      <c r="HDP745" s="312"/>
      <c r="HDQ745" s="312"/>
      <c r="HDR745" s="312"/>
      <c r="HDS745" s="312"/>
      <c r="HDT745" s="312"/>
      <c r="HDU745" s="312"/>
      <c r="HDV745" s="312"/>
      <c r="HDW745" s="312"/>
      <c r="HDX745" s="312"/>
      <c r="HDY745" s="312"/>
      <c r="HDZ745" s="312"/>
      <c r="HEA745" s="312"/>
      <c r="HEB745" s="312"/>
      <c r="HEC745" s="312"/>
      <c r="HED745" s="312"/>
      <c r="HEE745" s="312"/>
      <c r="HEF745" s="312"/>
      <c r="HEG745" s="312"/>
      <c r="HEH745" s="312"/>
      <c r="HEI745" s="312"/>
      <c r="HEJ745" s="312"/>
      <c r="HEK745" s="312"/>
      <c r="HEL745" s="312"/>
      <c r="HEM745" s="312"/>
      <c r="HEN745" s="312"/>
      <c r="HEO745" s="312"/>
      <c r="HEP745" s="312"/>
      <c r="HEQ745" s="312"/>
      <c r="HER745" s="312"/>
      <c r="HES745" s="312"/>
      <c r="HET745" s="312"/>
      <c r="HEU745" s="312"/>
      <c r="HEV745" s="312"/>
      <c r="HEW745" s="312"/>
      <c r="HEX745" s="312"/>
      <c r="HEY745" s="312"/>
      <c r="HEZ745" s="312"/>
      <c r="HFA745" s="312"/>
      <c r="HFB745" s="312"/>
      <c r="HFC745" s="312"/>
      <c r="HFD745" s="312"/>
      <c r="HFE745" s="312"/>
      <c r="HFF745" s="312"/>
      <c r="HFG745" s="312"/>
      <c r="HFH745" s="312"/>
      <c r="HFI745" s="312"/>
      <c r="HFJ745" s="312"/>
      <c r="HFK745" s="312"/>
      <c r="HFL745" s="312"/>
      <c r="HFM745" s="312"/>
      <c r="HFN745" s="312"/>
      <c r="HFO745" s="312"/>
      <c r="HFP745" s="312"/>
      <c r="HFQ745" s="312"/>
      <c r="HFR745" s="312"/>
      <c r="HFS745" s="312"/>
      <c r="HFT745" s="312"/>
      <c r="HFU745" s="312"/>
      <c r="HFV745" s="312"/>
      <c r="HFW745" s="312"/>
      <c r="HFX745" s="312"/>
      <c r="HFY745" s="312"/>
      <c r="HFZ745" s="312"/>
      <c r="HGA745" s="312"/>
      <c r="HGB745" s="312"/>
      <c r="HGC745" s="312"/>
      <c r="HGD745" s="312"/>
      <c r="HGE745" s="312"/>
      <c r="HGF745" s="312"/>
      <c r="HGG745" s="312"/>
      <c r="HGH745" s="312"/>
      <c r="HGI745" s="312"/>
      <c r="HGJ745" s="312"/>
      <c r="HGK745" s="312"/>
      <c r="HGL745" s="312"/>
      <c r="HGM745" s="312"/>
      <c r="HGN745" s="312"/>
      <c r="HGO745" s="312"/>
      <c r="HGP745" s="312"/>
      <c r="HGQ745" s="312"/>
      <c r="HGR745" s="312"/>
      <c r="HGS745" s="312"/>
      <c r="HGT745" s="312"/>
      <c r="HGU745" s="312"/>
      <c r="HGV745" s="312"/>
      <c r="HGW745" s="312"/>
      <c r="HGX745" s="312"/>
      <c r="HGY745" s="312"/>
      <c r="HGZ745" s="312"/>
      <c r="HHA745" s="312"/>
      <c r="HHB745" s="312"/>
      <c r="HHC745" s="312"/>
      <c r="HHD745" s="312"/>
      <c r="HHE745" s="312"/>
      <c r="HHF745" s="312"/>
      <c r="HHG745" s="312"/>
      <c r="HHH745" s="312"/>
      <c r="HHI745" s="312"/>
      <c r="HHJ745" s="312"/>
      <c r="HHK745" s="312"/>
      <c r="HHL745" s="312"/>
      <c r="HHM745" s="312"/>
      <c r="HHN745" s="312"/>
      <c r="HHO745" s="312"/>
      <c r="HHP745" s="312"/>
      <c r="HHQ745" s="312"/>
      <c r="HHR745" s="312"/>
      <c r="HHS745" s="312"/>
      <c r="HHT745" s="312"/>
      <c r="HHU745" s="312"/>
      <c r="HHV745" s="312"/>
      <c r="HHW745" s="312"/>
      <c r="HHX745" s="312"/>
      <c r="HHY745" s="312"/>
      <c r="HHZ745" s="312"/>
      <c r="HIA745" s="312"/>
      <c r="HIB745" s="312"/>
      <c r="HIC745" s="312"/>
      <c r="HID745" s="312"/>
      <c r="HIE745" s="312"/>
      <c r="HIF745" s="312"/>
      <c r="HIG745" s="312"/>
      <c r="HIH745" s="312"/>
      <c r="HII745" s="312"/>
      <c r="HIJ745" s="312"/>
      <c r="HIK745" s="312"/>
      <c r="HIL745" s="312"/>
      <c r="HIM745" s="312"/>
      <c r="HIN745" s="312"/>
      <c r="HIO745" s="312"/>
      <c r="HIP745" s="312"/>
      <c r="HIQ745" s="312"/>
      <c r="HIR745" s="312"/>
      <c r="HIS745" s="312"/>
      <c r="HIT745" s="312"/>
      <c r="HIU745" s="312"/>
      <c r="HIV745" s="312"/>
      <c r="HIW745" s="312"/>
      <c r="HIX745" s="312"/>
      <c r="HIY745" s="312"/>
      <c r="HIZ745" s="312"/>
      <c r="HJA745" s="312"/>
      <c r="HJB745" s="312"/>
      <c r="HJC745" s="312"/>
      <c r="HJD745" s="312"/>
      <c r="HJE745" s="312"/>
      <c r="HJF745" s="312"/>
      <c r="HJG745" s="312"/>
      <c r="HJH745" s="312"/>
      <c r="HJI745" s="312"/>
      <c r="HJJ745" s="312"/>
      <c r="HJK745" s="312"/>
      <c r="HJL745" s="312"/>
      <c r="HJM745" s="312"/>
      <c r="HJN745" s="312"/>
      <c r="HJO745" s="312"/>
      <c r="HJP745" s="312"/>
      <c r="HJQ745" s="312"/>
      <c r="HJR745" s="312"/>
      <c r="HJS745" s="312"/>
      <c r="HJT745" s="312"/>
      <c r="HJU745" s="312"/>
      <c r="HJV745" s="312"/>
      <c r="HJW745" s="312"/>
      <c r="HJX745" s="312"/>
      <c r="HJY745" s="312"/>
      <c r="HJZ745" s="312"/>
      <c r="HKA745" s="312"/>
      <c r="HKB745" s="312"/>
      <c r="HKC745" s="312"/>
      <c r="HKD745" s="312"/>
      <c r="HKE745" s="312"/>
      <c r="HKF745" s="312"/>
      <c r="HKG745" s="312"/>
      <c r="HKH745" s="312"/>
      <c r="HKI745" s="312"/>
      <c r="HKJ745" s="312"/>
      <c r="HKK745" s="312"/>
      <c r="HKL745" s="312"/>
      <c r="HKM745" s="312"/>
      <c r="HKN745" s="312"/>
      <c r="HKO745" s="312"/>
      <c r="HKP745" s="312"/>
      <c r="HKQ745" s="312"/>
      <c r="HKR745" s="312"/>
      <c r="HKS745" s="312"/>
      <c r="HKT745" s="312"/>
      <c r="HKU745" s="312"/>
      <c r="HKV745" s="312"/>
      <c r="HKW745" s="312"/>
      <c r="HKX745" s="312"/>
      <c r="HKY745" s="312"/>
      <c r="HKZ745" s="312"/>
      <c r="HLA745" s="312"/>
      <c r="HLB745" s="312"/>
      <c r="HLC745" s="312"/>
      <c r="HLD745" s="312"/>
      <c r="HLE745" s="312"/>
      <c r="HLF745" s="312"/>
      <c r="HLG745" s="312"/>
      <c r="HLH745" s="312"/>
      <c r="HLI745" s="312"/>
      <c r="HLJ745" s="312"/>
      <c r="HLK745" s="312"/>
      <c r="HLL745" s="312"/>
      <c r="HLM745" s="312"/>
      <c r="HLN745" s="312"/>
      <c r="HLO745" s="312"/>
      <c r="HLP745" s="312"/>
      <c r="HLQ745" s="312"/>
      <c r="HLR745" s="312"/>
      <c r="HLS745" s="312"/>
      <c r="HLT745" s="312"/>
      <c r="HLU745" s="312"/>
      <c r="HLV745" s="312"/>
      <c r="HLW745" s="312"/>
      <c r="HLX745" s="312"/>
      <c r="HLY745" s="312"/>
      <c r="HLZ745" s="312"/>
      <c r="HMA745" s="312"/>
      <c r="HMB745" s="312"/>
      <c r="HMC745" s="312"/>
      <c r="HMD745" s="312"/>
      <c r="HME745" s="312"/>
      <c r="HMF745" s="312"/>
      <c r="HMG745" s="312"/>
      <c r="HMH745" s="312"/>
      <c r="HMI745" s="312"/>
      <c r="HMJ745" s="312"/>
      <c r="HMK745" s="312"/>
      <c r="HML745" s="312"/>
      <c r="HMM745" s="312"/>
      <c r="HMN745" s="312"/>
      <c r="HMO745" s="312"/>
      <c r="HMP745" s="312"/>
      <c r="HMQ745" s="312"/>
      <c r="HMR745" s="312"/>
      <c r="HMS745" s="312"/>
      <c r="HMT745" s="312"/>
      <c r="HMU745" s="312"/>
      <c r="HMV745" s="312"/>
      <c r="HMW745" s="312"/>
      <c r="HMX745" s="312"/>
      <c r="HMY745" s="312"/>
      <c r="HMZ745" s="312"/>
      <c r="HNA745" s="312"/>
      <c r="HNB745" s="312"/>
      <c r="HNC745" s="312"/>
      <c r="HND745" s="312"/>
      <c r="HNE745" s="312"/>
      <c r="HNF745" s="312"/>
      <c r="HNG745" s="312"/>
      <c r="HNH745" s="312"/>
      <c r="HNI745" s="312"/>
      <c r="HNJ745" s="312"/>
      <c r="HNK745" s="312"/>
      <c r="HNL745" s="312"/>
      <c r="HNM745" s="312"/>
      <c r="HNN745" s="312"/>
      <c r="HNO745" s="312"/>
      <c r="HNP745" s="312"/>
      <c r="HNQ745" s="312"/>
      <c r="HNR745" s="312"/>
      <c r="HNS745" s="312"/>
      <c r="HNT745" s="312"/>
      <c r="HNU745" s="312"/>
      <c r="HNV745" s="312"/>
      <c r="HNW745" s="312"/>
      <c r="HNX745" s="312"/>
      <c r="HNY745" s="312"/>
      <c r="HNZ745" s="312"/>
      <c r="HOA745" s="312"/>
      <c r="HOB745" s="312"/>
      <c r="HOC745" s="312"/>
      <c r="HOD745" s="312"/>
      <c r="HOE745" s="312"/>
      <c r="HOF745" s="312"/>
      <c r="HOG745" s="312"/>
      <c r="HOH745" s="312"/>
      <c r="HOI745" s="312"/>
      <c r="HOJ745" s="312"/>
      <c r="HOK745" s="312"/>
      <c r="HOL745" s="312"/>
      <c r="HOM745" s="312"/>
      <c r="HON745" s="312"/>
      <c r="HOO745" s="312"/>
      <c r="HOP745" s="312"/>
      <c r="HOQ745" s="312"/>
      <c r="HOR745" s="312"/>
      <c r="HOS745" s="312"/>
      <c r="HOT745" s="312"/>
      <c r="HOU745" s="312"/>
      <c r="HOV745" s="312"/>
      <c r="HOW745" s="312"/>
      <c r="HOX745" s="312"/>
      <c r="HOY745" s="312"/>
      <c r="HOZ745" s="312"/>
      <c r="HPA745" s="312"/>
      <c r="HPB745" s="312"/>
      <c r="HPC745" s="312"/>
      <c r="HPD745" s="312"/>
      <c r="HPE745" s="312"/>
      <c r="HPF745" s="312"/>
      <c r="HPG745" s="312"/>
      <c r="HPH745" s="312"/>
      <c r="HPI745" s="312"/>
      <c r="HPJ745" s="312"/>
      <c r="HPK745" s="312"/>
      <c r="HPL745" s="312"/>
      <c r="HPM745" s="312"/>
      <c r="HPN745" s="312"/>
      <c r="HPO745" s="312"/>
      <c r="HPP745" s="312"/>
      <c r="HPQ745" s="312"/>
      <c r="HPR745" s="312"/>
      <c r="HPS745" s="312"/>
      <c r="HPT745" s="312"/>
      <c r="HPU745" s="312"/>
      <c r="HPV745" s="312"/>
      <c r="HPW745" s="312"/>
      <c r="HPX745" s="312"/>
      <c r="HPY745" s="312"/>
      <c r="HPZ745" s="312"/>
      <c r="HQA745" s="312"/>
      <c r="HQB745" s="312"/>
      <c r="HQC745" s="312"/>
      <c r="HQD745" s="312"/>
      <c r="HQE745" s="312"/>
      <c r="HQF745" s="312"/>
      <c r="HQG745" s="312"/>
      <c r="HQH745" s="312"/>
      <c r="HQI745" s="312"/>
      <c r="HQJ745" s="312"/>
      <c r="HQK745" s="312"/>
      <c r="HQL745" s="312"/>
      <c r="HQM745" s="312"/>
      <c r="HQN745" s="312"/>
      <c r="HQO745" s="312"/>
      <c r="HQP745" s="312"/>
      <c r="HQQ745" s="312"/>
      <c r="HQR745" s="312"/>
      <c r="HQS745" s="312"/>
      <c r="HQT745" s="312"/>
      <c r="HQU745" s="312"/>
      <c r="HQV745" s="312"/>
      <c r="HQW745" s="312"/>
      <c r="HQX745" s="312"/>
      <c r="HQY745" s="312"/>
      <c r="HQZ745" s="312"/>
      <c r="HRA745" s="312"/>
      <c r="HRB745" s="312"/>
      <c r="HRC745" s="312"/>
      <c r="HRD745" s="312"/>
      <c r="HRE745" s="312"/>
      <c r="HRF745" s="312"/>
      <c r="HRG745" s="312"/>
      <c r="HRH745" s="312"/>
      <c r="HRI745" s="312"/>
      <c r="HRJ745" s="312"/>
      <c r="HRK745" s="312"/>
      <c r="HRL745" s="312"/>
      <c r="HRM745" s="312"/>
      <c r="HRN745" s="312"/>
      <c r="HRO745" s="312"/>
      <c r="HRP745" s="312"/>
      <c r="HRQ745" s="312"/>
      <c r="HRR745" s="312"/>
      <c r="HRS745" s="312"/>
      <c r="HRT745" s="312"/>
      <c r="HRU745" s="312"/>
      <c r="HRV745" s="312"/>
      <c r="HRW745" s="312"/>
      <c r="HRX745" s="312"/>
      <c r="HRY745" s="312"/>
      <c r="HRZ745" s="312"/>
      <c r="HSA745" s="312"/>
      <c r="HSB745" s="312"/>
      <c r="HSC745" s="312"/>
      <c r="HSD745" s="312"/>
      <c r="HSE745" s="312"/>
      <c r="HSF745" s="312"/>
      <c r="HSG745" s="312"/>
      <c r="HSH745" s="312"/>
      <c r="HSI745" s="312"/>
      <c r="HSJ745" s="312"/>
      <c r="HSK745" s="312"/>
      <c r="HSL745" s="312"/>
      <c r="HSM745" s="312"/>
      <c r="HSN745" s="312"/>
      <c r="HSO745" s="312"/>
      <c r="HSP745" s="312"/>
      <c r="HSQ745" s="312"/>
      <c r="HSR745" s="312"/>
      <c r="HSS745" s="312"/>
      <c r="HST745" s="312"/>
      <c r="HSU745" s="312"/>
      <c r="HSV745" s="312"/>
      <c r="HSW745" s="312"/>
      <c r="HSX745" s="312"/>
      <c r="HSY745" s="312"/>
      <c r="HSZ745" s="312"/>
      <c r="HTA745" s="312"/>
      <c r="HTB745" s="312"/>
      <c r="HTC745" s="312"/>
      <c r="HTD745" s="312"/>
      <c r="HTE745" s="312"/>
      <c r="HTF745" s="312"/>
      <c r="HTG745" s="312"/>
      <c r="HTH745" s="312"/>
      <c r="HTI745" s="312"/>
      <c r="HTJ745" s="312"/>
      <c r="HTK745" s="312"/>
      <c r="HTL745" s="312"/>
      <c r="HTM745" s="312"/>
      <c r="HTN745" s="312"/>
      <c r="HTO745" s="312"/>
      <c r="HTP745" s="312"/>
      <c r="HTQ745" s="312"/>
      <c r="HTR745" s="312"/>
      <c r="HTS745" s="312"/>
      <c r="HTT745" s="312"/>
      <c r="HTU745" s="312"/>
      <c r="HTV745" s="312"/>
      <c r="HTW745" s="312"/>
      <c r="HTX745" s="312"/>
      <c r="HTY745" s="312"/>
      <c r="HTZ745" s="312"/>
      <c r="HUA745" s="312"/>
      <c r="HUB745" s="312"/>
      <c r="HUC745" s="312"/>
      <c r="HUD745" s="312"/>
      <c r="HUE745" s="312"/>
      <c r="HUF745" s="312"/>
      <c r="HUG745" s="312"/>
      <c r="HUH745" s="312"/>
      <c r="HUI745" s="312"/>
      <c r="HUJ745" s="312"/>
      <c r="HUK745" s="312"/>
      <c r="HUL745" s="312"/>
      <c r="HUM745" s="312"/>
      <c r="HUN745" s="312"/>
      <c r="HUO745" s="312"/>
      <c r="HUP745" s="312"/>
      <c r="HUQ745" s="312"/>
      <c r="HUR745" s="312"/>
      <c r="HUS745" s="312"/>
      <c r="HUT745" s="312"/>
      <c r="HUU745" s="312"/>
      <c r="HUV745" s="312"/>
      <c r="HUW745" s="312"/>
      <c r="HUX745" s="312"/>
      <c r="HUY745" s="312"/>
      <c r="HUZ745" s="312"/>
      <c r="HVA745" s="312"/>
      <c r="HVB745" s="312"/>
      <c r="HVC745" s="312"/>
      <c r="HVD745" s="312"/>
      <c r="HVE745" s="312"/>
      <c r="HVF745" s="312"/>
      <c r="HVG745" s="312"/>
      <c r="HVH745" s="312"/>
      <c r="HVI745" s="312"/>
      <c r="HVJ745" s="312"/>
      <c r="HVK745" s="312"/>
      <c r="HVL745" s="312"/>
      <c r="HVM745" s="312"/>
      <c r="HVN745" s="312"/>
      <c r="HVO745" s="312"/>
      <c r="HVP745" s="312"/>
      <c r="HVQ745" s="312"/>
      <c r="HVR745" s="312"/>
      <c r="HVS745" s="312"/>
      <c r="HVT745" s="312"/>
      <c r="HVU745" s="312"/>
      <c r="HVV745" s="312"/>
      <c r="HVW745" s="312"/>
      <c r="HVX745" s="312"/>
      <c r="HVY745" s="312"/>
      <c r="HVZ745" s="312"/>
      <c r="HWA745" s="312"/>
      <c r="HWB745" s="312"/>
      <c r="HWC745" s="312"/>
      <c r="HWD745" s="312"/>
      <c r="HWE745" s="312"/>
      <c r="HWF745" s="312"/>
      <c r="HWG745" s="312"/>
      <c r="HWH745" s="312"/>
      <c r="HWI745" s="312"/>
      <c r="HWJ745" s="312"/>
      <c r="HWK745" s="312"/>
      <c r="HWL745" s="312"/>
      <c r="HWM745" s="312"/>
      <c r="HWN745" s="312"/>
      <c r="HWO745" s="312"/>
      <c r="HWP745" s="312"/>
      <c r="HWQ745" s="312"/>
      <c r="HWR745" s="312"/>
      <c r="HWS745" s="312"/>
      <c r="HWT745" s="312"/>
      <c r="HWU745" s="312"/>
      <c r="HWV745" s="312"/>
      <c r="HWW745" s="312"/>
      <c r="HWX745" s="312"/>
      <c r="HWY745" s="312"/>
      <c r="HWZ745" s="312"/>
      <c r="HXA745" s="312"/>
      <c r="HXB745" s="312"/>
      <c r="HXC745" s="312"/>
      <c r="HXD745" s="312"/>
      <c r="HXE745" s="312"/>
      <c r="HXF745" s="312"/>
      <c r="HXG745" s="312"/>
      <c r="HXH745" s="312"/>
      <c r="HXI745" s="312"/>
      <c r="HXJ745" s="312"/>
      <c r="HXK745" s="312"/>
      <c r="HXL745" s="312"/>
      <c r="HXM745" s="312"/>
      <c r="HXN745" s="312"/>
      <c r="HXO745" s="312"/>
      <c r="HXP745" s="312"/>
      <c r="HXQ745" s="312"/>
      <c r="HXR745" s="312"/>
      <c r="HXS745" s="312"/>
      <c r="HXT745" s="312"/>
      <c r="HXU745" s="312"/>
      <c r="HXV745" s="312"/>
      <c r="HXW745" s="312"/>
      <c r="HXX745" s="312"/>
      <c r="HXY745" s="312"/>
      <c r="HXZ745" s="312"/>
      <c r="HYA745" s="312"/>
      <c r="HYB745" s="312"/>
      <c r="HYC745" s="312"/>
      <c r="HYD745" s="312"/>
      <c r="HYE745" s="312"/>
      <c r="HYF745" s="312"/>
      <c r="HYG745" s="312"/>
      <c r="HYH745" s="312"/>
      <c r="HYI745" s="312"/>
      <c r="HYJ745" s="312"/>
      <c r="HYK745" s="312"/>
      <c r="HYL745" s="312"/>
      <c r="HYM745" s="312"/>
      <c r="HYN745" s="312"/>
      <c r="HYO745" s="312"/>
      <c r="HYP745" s="312"/>
      <c r="HYQ745" s="312"/>
      <c r="HYR745" s="312"/>
      <c r="HYS745" s="312"/>
      <c r="HYT745" s="312"/>
      <c r="HYU745" s="312"/>
      <c r="HYV745" s="312"/>
      <c r="HYW745" s="312"/>
      <c r="HYX745" s="312"/>
      <c r="HYY745" s="312"/>
      <c r="HYZ745" s="312"/>
      <c r="HZA745" s="312"/>
      <c r="HZB745" s="312"/>
      <c r="HZC745" s="312"/>
      <c r="HZD745" s="312"/>
      <c r="HZE745" s="312"/>
      <c r="HZF745" s="312"/>
      <c r="HZG745" s="312"/>
      <c r="HZH745" s="312"/>
      <c r="HZI745" s="312"/>
      <c r="HZJ745" s="312"/>
      <c r="HZK745" s="312"/>
      <c r="HZL745" s="312"/>
      <c r="HZM745" s="312"/>
      <c r="HZN745" s="312"/>
      <c r="HZO745" s="312"/>
      <c r="HZP745" s="312"/>
      <c r="HZQ745" s="312"/>
      <c r="HZR745" s="312"/>
      <c r="HZS745" s="312"/>
      <c r="HZT745" s="312"/>
      <c r="HZU745" s="312"/>
      <c r="HZV745" s="312"/>
      <c r="HZW745" s="312"/>
      <c r="HZX745" s="312"/>
      <c r="HZY745" s="312"/>
      <c r="HZZ745" s="312"/>
      <c r="IAA745" s="312"/>
      <c r="IAB745" s="312"/>
      <c r="IAC745" s="312"/>
      <c r="IAD745" s="312"/>
      <c r="IAE745" s="312"/>
      <c r="IAF745" s="312"/>
      <c r="IAG745" s="312"/>
      <c r="IAH745" s="312"/>
      <c r="IAI745" s="312"/>
      <c r="IAJ745" s="312"/>
      <c r="IAK745" s="312"/>
      <c r="IAL745" s="312"/>
      <c r="IAM745" s="312"/>
      <c r="IAN745" s="312"/>
      <c r="IAO745" s="312"/>
      <c r="IAP745" s="312"/>
      <c r="IAQ745" s="312"/>
      <c r="IAR745" s="312"/>
      <c r="IAS745" s="312"/>
      <c r="IAT745" s="312"/>
      <c r="IAU745" s="312"/>
      <c r="IAV745" s="312"/>
      <c r="IAW745" s="312"/>
      <c r="IAX745" s="312"/>
      <c r="IAY745" s="312"/>
      <c r="IAZ745" s="312"/>
      <c r="IBA745" s="312"/>
      <c r="IBB745" s="312"/>
      <c r="IBC745" s="312"/>
      <c r="IBD745" s="312"/>
      <c r="IBE745" s="312"/>
      <c r="IBF745" s="312"/>
      <c r="IBG745" s="312"/>
      <c r="IBH745" s="312"/>
      <c r="IBI745" s="312"/>
      <c r="IBJ745" s="312"/>
      <c r="IBK745" s="312"/>
      <c r="IBL745" s="312"/>
      <c r="IBM745" s="312"/>
      <c r="IBN745" s="312"/>
      <c r="IBO745" s="312"/>
      <c r="IBP745" s="312"/>
      <c r="IBQ745" s="312"/>
      <c r="IBR745" s="312"/>
      <c r="IBS745" s="312"/>
      <c r="IBT745" s="312"/>
      <c r="IBU745" s="312"/>
      <c r="IBV745" s="312"/>
      <c r="IBW745" s="312"/>
      <c r="IBX745" s="312"/>
      <c r="IBY745" s="312"/>
      <c r="IBZ745" s="312"/>
      <c r="ICA745" s="312"/>
      <c r="ICB745" s="312"/>
      <c r="ICC745" s="312"/>
      <c r="ICD745" s="312"/>
      <c r="ICE745" s="312"/>
      <c r="ICF745" s="312"/>
      <c r="ICG745" s="312"/>
      <c r="ICH745" s="312"/>
      <c r="ICI745" s="312"/>
      <c r="ICJ745" s="312"/>
      <c r="ICK745" s="312"/>
      <c r="ICL745" s="312"/>
      <c r="ICM745" s="312"/>
      <c r="ICN745" s="312"/>
      <c r="ICO745" s="312"/>
      <c r="ICP745" s="312"/>
      <c r="ICQ745" s="312"/>
      <c r="ICR745" s="312"/>
      <c r="ICS745" s="312"/>
      <c r="ICT745" s="312"/>
      <c r="ICU745" s="312"/>
      <c r="ICV745" s="312"/>
      <c r="ICW745" s="312"/>
      <c r="ICX745" s="312"/>
      <c r="ICY745" s="312"/>
      <c r="ICZ745" s="312"/>
      <c r="IDA745" s="312"/>
      <c r="IDB745" s="312"/>
      <c r="IDC745" s="312"/>
      <c r="IDD745" s="312"/>
      <c r="IDE745" s="312"/>
      <c r="IDF745" s="312"/>
      <c r="IDG745" s="312"/>
      <c r="IDH745" s="312"/>
      <c r="IDI745" s="312"/>
      <c r="IDJ745" s="312"/>
      <c r="IDK745" s="312"/>
      <c r="IDL745" s="312"/>
      <c r="IDM745" s="312"/>
      <c r="IDN745" s="312"/>
      <c r="IDO745" s="312"/>
      <c r="IDP745" s="312"/>
      <c r="IDQ745" s="312"/>
      <c r="IDR745" s="312"/>
      <c r="IDS745" s="312"/>
      <c r="IDT745" s="312"/>
      <c r="IDU745" s="312"/>
      <c r="IDV745" s="312"/>
      <c r="IDW745" s="312"/>
      <c r="IDX745" s="312"/>
      <c r="IDY745" s="312"/>
      <c r="IDZ745" s="312"/>
      <c r="IEA745" s="312"/>
      <c r="IEB745" s="312"/>
      <c r="IEC745" s="312"/>
      <c r="IED745" s="312"/>
      <c r="IEE745" s="312"/>
      <c r="IEF745" s="312"/>
      <c r="IEG745" s="312"/>
      <c r="IEH745" s="312"/>
      <c r="IEI745" s="312"/>
      <c r="IEJ745" s="312"/>
      <c r="IEK745" s="312"/>
      <c r="IEL745" s="312"/>
      <c r="IEM745" s="312"/>
      <c r="IEN745" s="312"/>
      <c r="IEO745" s="312"/>
      <c r="IEP745" s="312"/>
      <c r="IEQ745" s="312"/>
      <c r="IER745" s="312"/>
      <c r="IES745" s="312"/>
      <c r="IET745" s="312"/>
      <c r="IEU745" s="312"/>
      <c r="IEV745" s="312"/>
      <c r="IEW745" s="312"/>
      <c r="IEX745" s="312"/>
      <c r="IEY745" s="312"/>
      <c r="IEZ745" s="312"/>
      <c r="IFA745" s="312"/>
      <c r="IFB745" s="312"/>
      <c r="IFC745" s="312"/>
      <c r="IFD745" s="312"/>
      <c r="IFE745" s="312"/>
      <c r="IFF745" s="312"/>
      <c r="IFG745" s="312"/>
      <c r="IFH745" s="312"/>
      <c r="IFI745" s="312"/>
      <c r="IFJ745" s="312"/>
      <c r="IFK745" s="312"/>
      <c r="IFL745" s="312"/>
      <c r="IFM745" s="312"/>
      <c r="IFN745" s="312"/>
      <c r="IFO745" s="312"/>
      <c r="IFP745" s="312"/>
      <c r="IFQ745" s="312"/>
      <c r="IFR745" s="312"/>
      <c r="IFS745" s="312"/>
      <c r="IFT745" s="312"/>
      <c r="IFU745" s="312"/>
      <c r="IFV745" s="312"/>
      <c r="IFW745" s="312"/>
      <c r="IFX745" s="312"/>
      <c r="IFY745" s="312"/>
      <c r="IFZ745" s="312"/>
      <c r="IGA745" s="312"/>
      <c r="IGB745" s="312"/>
      <c r="IGC745" s="312"/>
      <c r="IGD745" s="312"/>
      <c r="IGE745" s="312"/>
      <c r="IGF745" s="312"/>
      <c r="IGG745" s="312"/>
      <c r="IGH745" s="312"/>
      <c r="IGI745" s="312"/>
      <c r="IGJ745" s="312"/>
      <c r="IGK745" s="312"/>
      <c r="IGL745" s="312"/>
      <c r="IGM745" s="312"/>
      <c r="IGN745" s="312"/>
      <c r="IGO745" s="312"/>
      <c r="IGP745" s="312"/>
      <c r="IGQ745" s="312"/>
      <c r="IGR745" s="312"/>
      <c r="IGS745" s="312"/>
      <c r="IGT745" s="312"/>
      <c r="IGU745" s="312"/>
      <c r="IGV745" s="312"/>
      <c r="IGW745" s="312"/>
      <c r="IGX745" s="312"/>
      <c r="IGY745" s="312"/>
      <c r="IGZ745" s="312"/>
      <c r="IHA745" s="312"/>
      <c r="IHB745" s="312"/>
      <c r="IHC745" s="312"/>
      <c r="IHD745" s="312"/>
      <c r="IHE745" s="312"/>
      <c r="IHF745" s="312"/>
      <c r="IHG745" s="312"/>
      <c r="IHH745" s="312"/>
      <c r="IHI745" s="312"/>
      <c r="IHJ745" s="312"/>
      <c r="IHK745" s="312"/>
      <c r="IHL745" s="312"/>
      <c r="IHM745" s="312"/>
      <c r="IHN745" s="312"/>
      <c r="IHO745" s="312"/>
      <c r="IHP745" s="312"/>
      <c r="IHQ745" s="312"/>
      <c r="IHR745" s="312"/>
      <c r="IHS745" s="312"/>
      <c r="IHT745" s="312"/>
      <c r="IHU745" s="312"/>
      <c r="IHV745" s="312"/>
      <c r="IHW745" s="312"/>
      <c r="IHX745" s="312"/>
      <c r="IHY745" s="312"/>
      <c r="IHZ745" s="312"/>
      <c r="IIA745" s="312"/>
      <c r="IIB745" s="312"/>
      <c r="IIC745" s="312"/>
      <c r="IID745" s="312"/>
      <c r="IIE745" s="312"/>
      <c r="IIF745" s="312"/>
      <c r="IIG745" s="312"/>
      <c r="IIH745" s="312"/>
      <c r="III745" s="312"/>
      <c r="IIJ745" s="312"/>
      <c r="IIK745" s="312"/>
      <c r="IIL745" s="312"/>
      <c r="IIM745" s="312"/>
      <c r="IIN745" s="312"/>
      <c r="IIO745" s="312"/>
      <c r="IIP745" s="312"/>
      <c r="IIQ745" s="312"/>
      <c r="IIR745" s="312"/>
      <c r="IIS745" s="312"/>
      <c r="IIT745" s="312"/>
      <c r="IIU745" s="312"/>
      <c r="IIV745" s="312"/>
      <c r="IIW745" s="312"/>
      <c r="IIX745" s="312"/>
      <c r="IIY745" s="312"/>
      <c r="IIZ745" s="312"/>
      <c r="IJA745" s="312"/>
      <c r="IJB745" s="312"/>
      <c r="IJC745" s="312"/>
      <c r="IJD745" s="312"/>
      <c r="IJE745" s="312"/>
      <c r="IJF745" s="312"/>
      <c r="IJG745" s="312"/>
      <c r="IJH745" s="312"/>
      <c r="IJI745" s="312"/>
      <c r="IJJ745" s="312"/>
      <c r="IJK745" s="312"/>
      <c r="IJL745" s="312"/>
      <c r="IJM745" s="312"/>
      <c r="IJN745" s="312"/>
      <c r="IJO745" s="312"/>
      <c r="IJP745" s="312"/>
      <c r="IJQ745" s="312"/>
      <c r="IJR745" s="312"/>
      <c r="IJS745" s="312"/>
      <c r="IJT745" s="312"/>
      <c r="IJU745" s="312"/>
      <c r="IJV745" s="312"/>
      <c r="IJW745" s="312"/>
      <c r="IJX745" s="312"/>
      <c r="IJY745" s="312"/>
      <c r="IJZ745" s="312"/>
      <c r="IKA745" s="312"/>
      <c r="IKB745" s="312"/>
      <c r="IKC745" s="312"/>
      <c r="IKD745" s="312"/>
      <c r="IKE745" s="312"/>
      <c r="IKF745" s="312"/>
      <c r="IKG745" s="312"/>
      <c r="IKH745" s="312"/>
      <c r="IKI745" s="312"/>
      <c r="IKJ745" s="312"/>
      <c r="IKK745" s="312"/>
      <c r="IKL745" s="312"/>
      <c r="IKM745" s="312"/>
      <c r="IKN745" s="312"/>
      <c r="IKO745" s="312"/>
      <c r="IKP745" s="312"/>
      <c r="IKQ745" s="312"/>
      <c r="IKR745" s="312"/>
      <c r="IKS745" s="312"/>
      <c r="IKT745" s="312"/>
      <c r="IKU745" s="312"/>
      <c r="IKV745" s="312"/>
      <c r="IKW745" s="312"/>
      <c r="IKX745" s="312"/>
      <c r="IKY745" s="312"/>
      <c r="IKZ745" s="312"/>
      <c r="ILA745" s="312"/>
      <c r="ILB745" s="312"/>
      <c r="ILC745" s="312"/>
      <c r="ILD745" s="312"/>
      <c r="ILE745" s="312"/>
      <c r="ILF745" s="312"/>
      <c r="ILG745" s="312"/>
      <c r="ILH745" s="312"/>
      <c r="ILI745" s="312"/>
      <c r="ILJ745" s="312"/>
      <c r="ILK745" s="312"/>
      <c r="ILL745" s="312"/>
      <c r="ILM745" s="312"/>
      <c r="ILN745" s="312"/>
      <c r="ILO745" s="312"/>
      <c r="ILP745" s="312"/>
      <c r="ILQ745" s="312"/>
      <c r="ILR745" s="312"/>
      <c r="ILS745" s="312"/>
      <c r="ILT745" s="312"/>
      <c r="ILU745" s="312"/>
      <c r="ILV745" s="312"/>
      <c r="ILW745" s="312"/>
      <c r="ILX745" s="312"/>
      <c r="ILY745" s="312"/>
      <c r="ILZ745" s="312"/>
      <c r="IMA745" s="312"/>
      <c r="IMB745" s="312"/>
      <c r="IMC745" s="312"/>
      <c r="IMD745" s="312"/>
      <c r="IME745" s="312"/>
      <c r="IMF745" s="312"/>
      <c r="IMG745" s="312"/>
      <c r="IMH745" s="312"/>
      <c r="IMI745" s="312"/>
      <c r="IMJ745" s="312"/>
      <c r="IMK745" s="312"/>
      <c r="IML745" s="312"/>
      <c r="IMM745" s="312"/>
      <c r="IMN745" s="312"/>
      <c r="IMO745" s="312"/>
      <c r="IMP745" s="312"/>
      <c r="IMQ745" s="312"/>
      <c r="IMR745" s="312"/>
      <c r="IMS745" s="312"/>
      <c r="IMT745" s="312"/>
      <c r="IMU745" s="312"/>
      <c r="IMV745" s="312"/>
      <c r="IMW745" s="312"/>
      <c r="IMX745" s="312"/>
      <c r="IMY745" s="312"/>
      <c r="IMZ745" s="312"/>
      <c r="INA745" s="312"/>
      <c r="INB745" s="312"/>
      <c r="INC745" s="312"/>
      <c r="IND745" s="312"/>
      <c r="INE745" s="312"/>
      <c r="INF745" s="312"/>
      <c r="ING745" s="312"/>
      <c r="INH745" s="312"/>
      <c r="INI745" s="312"/>
      <c r="INJ745" s="312"/>
      <c r="INK745" s="312"/>
      <c r="INL745" s="312"/>
      <c r="INM745" s="312"/>
      <c r="INN745" s="312"/>
      <c r="INO745" s="312"/>
      <c r="INP745" s="312"/>
      <c r="INQ745" s="312"/>
      <c r="INR745" s="312"/>
      <c r="INS745" s="312"/>
      <c r="INT745" s="312"/>
      <c r="INU745" s="312"/>
      <c r="INV745" s="312"/>
      <c r="INW745" s="312"/>
      <c r="INX745" s="312"/>
      <c r="INY745" s="312"/>
      <c r="INZ745" s="312"/>
      <c r="IOA745" s="312"/>
      <c r="IOB745" s="312"/>
      <c r="IOC745" s="312"/>
      <c r="IOD745" s="312"/>
      <c r="IOE745" s="312"/>
      <c r="IOF745" s="312"/>
      <c r="IOG745" s="312"/>
      <c r="IOH745" s="312"/>
      <c r="IOI745" s="312"/>
      <c r="IOJ745" s="312"/>
      <c r="IOK745" s="312"/>
      <c r="IOL745" s="312"/>
      <c r="IOM745" s="312"/>
      <c r="ION745" s="312"/>
      <c r="IOO745" s="312"/>
      <c r="IOP745" s="312"/>
      <c r="IOQ745" s="312"/>
      <c r="IOR745" s="312"/>
      <c r="IOS745" s="312"/>
      <c r="IOT745" s="312"/>
      <c r="IOU745" s="312"/>
      <c r="IOV745" s="312"/>
      <c r="IOW745" s="312"/>
      <c r="IOX745" s="312"/>
      <c r="IOY745" s="312"/>
      <c r="IOZ745" s="312"/>
      <c r="IPA745" s="312"/>
      <c r="IPB745" s="312"/>
      <c r="IPC745" s="312"/>
      <c r="IPD745" s="312"/>
      <c r="IPE745" s="312"/>
      <c r="IPF745" s="312"/>
      <c r="IPG745" s="312"/>
      <c r="IPH745" s="312"/>
      <c r="IPI745" s="312"/>
      <c r="IPJ745" s="312"/>
      <c r="IPK745" s="312"/>
      <c r="IPL745" s="312"/>
      <c r="IPM745" s="312"/>
      <c r="IPN745" s="312"/>
      <c r="IPO745" s="312"/>
      <c r="IPP745" s="312"/>
      <c r="IPQ745" s="312"/>
      <c r="IPR745" s="312"/>
      <c r="IPS745" s="312"/>
      <c r="IPT745" s="312"/>
      <c r="IPU745" s="312"/>
      <c r="IPV745" s="312"/>
      <c r="IPW745" s="312"/>
      <c r="IPX745" s="312"/>
      <c r="IPY745" s="312"/>
      <c r="IPZ745" s="312"/>
      <c r="IQA745" s="312"/>
      <c r="IQB745" s="312"/>
      <c r="IQC745" s="312"/>
      <c r="IQD745" s="312"/>
      <c r="IQE745" s="312"/>
      <c r="IQF745" s="312"/>
      <c r="IQG745" s="312"/>
      <c r="IQH745" s="312"/>
      <c r="IQI745" s="312"/>
      <c r="IQJ745" s="312"/>
      <c r="IQK745" s="312"/>
      <c r="IQL745" s="312"/>
      <c r="IQM745" s="312"/>
      <c r="IQN745" s="312"/>
      <c r="IQO745" s="312"/>
      <c r="IQP745" s="312"/>
      <c r="IQQ745" s="312"/>
      <c r="IQR745" s="312"/>
      <c r="IQS745" s="312"/>
      <c r="IQT745" s="312"/>
      <c r="IQU745" s="312"/>
      <c r="IQV745" s="312"/>
      <c r="IQW745" s="312"/>
      <c r="IQX745" s="312"/>
      <c r="IQY745" s="312"/>
      <c r="IQZ745" s="312"/>
      <c r="IRA745" s="312"/>
      <c r="IRB745" s="312"/>
      <c r="IRC745" s="312"/>
      <c r="IRD745" s="312"/>
      <c r="IRE745" s="312"/>
      <c r="IRF745" s="312"/>
      <c r="IRG745" s="312"/>
      <c r="IRH745" s="312"/>
      <c r="IRI745" s="312"/>
      <c r="IRJ745" s="312"/>
      <c r="IRK745" s="312"/>
      <c r="IRL745" s="312"/>
      <c r="IRM745" s="312"/>
      <c r="IRN745" s="312"/>
      <c r="IRO745" s="312"/>
      <c r="IRP745" s="312"/>
      <c r="IRQ745" s="312"/>
      <c r="IRR745" s="312"/>
      <c r="IRS745" s="312"/>
      <c r="IRT745" s="312"/>
      <c r="IRU745" s="312"/>
      <c r="IRV745" s="312"/>
      <c r="IRW745" s="312"/>
      <c r="IRX745" s="312"/>
      <c r="IRY745" s="312"/>
      <c r="IRZ745" s="312"/>
      <c r="ISA745" s="312"/>
      <c r="ISB745" s="312"/>
      <c r="ISC745" s="312"/>
      <c r="ISD745" s="312"/>
      <c r="ISE745" s="312"/>
      <c r="ISF745" s="312"/>
      <c r="ISG745" s="312"/>
      <c r="ISH745" s="312"/>
      <c r="ISI745" s="312"/>
      <c r="ISJ745" s="312"/>
      <c r="ISK745" s="312"/>
      <c r="ISL745" s="312"/>
      <c r="ISM745" s="312"/>
      <c r="ISN745" s="312"/>
      <c r="ISO745" s="312"/>
      <c r="ISP745" s="312"/>
      <c r="ISQ745" s="312"/>
      <c r="ISR745" s="312"/>
      <c r="ISS745" s="312"/>
      <c r="IST745" s="312"/>
      <c r="ISU745" s="312"/>
      <c r="ISV745" s="312"/>
      <c r="ISW745" s="312"/>
      <c r="ISX745" s="312"/>
      <c r="ISY745" s="312"/>
      <c r="ISZ745" s="312"/>
      <c r="ITA745" s="312"/>
      <c r="ITB745" s="312"/>
      <c r="ITC745" s="312"/>
      <c r="ITD745" s="312"/>
      <c r="ITE745" s="312"/>
      <c r="ITF745" s="312"/>
      <c r="ITG745" s="312"/>
      <c r="ITH745" s="312"/>
      <c r="ITI745" s="312"/>
      <c r="ITJ745" s="312"/>
      <c r="ITK745" s="312"/>
      <c r="ITL745" s="312"/>
      <c r="ITM745" s="312"/>
      <c r="ITN745" s="312"/>
      <c r="ITO745" s="312"/>
      <c r="ITP745" s="312"/>
      <c r="ITQ745" s="312"/>
      <c r="ITR745" s="312"/>
      <c r="ITS745" s="312"/>
      <c r="ITT745" s="312"/>
      <c r="ITU745" s="312"/>
      <c r="ITV745" s="312"/>
      <c r="ITW745" s="312"/>
      <c r="ITX745" s="312"/>
      <c r="ITY745" s="312"/>
      <c r="ITZ745" s="312"/>
      <c r="IUA745" s="312"/>
      <c r="IUB745" s="312"/>
      <c r="IUC745" s="312"/>
      <c r="IUD745" s="312"/>
      <c r="IUE745" s="312"/>
      <c r="IUF745" s="312"/>
      <c r="IUG745" s="312"/>
      <c r="IUH745" s="312"/>
      <c r="IUI745" s="312"/>
      <c r="IUJ745" s="312"/>
      <c r="IUK745" s="312"/>
      <c r="IUL745" s="312"/>
      <c r="IUM745" s="312"/>
      <c r="IUN745" s="312"/>
      <c r="IUO745" s="312"/>
      <c r="IUP745" s="312"/>
      <c r="IUQ745" s="312"/>
      <c r="IUR745" s="312"/>
      <c r="IUS745" s="312"/>
      <c r="IUT745" s="312"/>
      <c r="IUU745" s="312"/>
      <c r="IUV745" s="312"/>
      <c r="IUW745" s="312"/>
      <c r="IUX745" s="312"/>
      <c r="IUY745" s="312"/>
      <c r="IUZ745" s="312"/>
      <c r="IVA745" s="312"/>
      <c r="IVB745" s="312"/>
      <c r="IVC745" s="312"/>
      <c r="IVD745" s="312"/>
      <c r="IVE745" s="312"/>
      <c r="IVF745" s="312"/>
      <c r="IVG745" s="312"/>
      <c r="IVH745" s="312"/>
      <c r="IVI745" s="312"/>
      <c r="IVJ745" s="312"/>
      <c r="IVK745" s="312"/>
      <c r="IVL745" s="312"/>
      <c r="IVM745" s="312"/>
      <c r="IVN745" s="312"/>
      <c r="IVO745" s="312"/>
      <c r="IVP745" s="312"/>
      <c r="IVQ745" s="312"/>
      <c r="IVR745" s="312"/>
      <c r="IVS745" s="312"/>
      <c r="IVT745" s="312"/>
      <c r="IVU745" s="312"/>
      <c r="IVV745" s="312"/>
      <c r="IVW745" s="312"/>
      <c r="IVX745" s="312"/>
      <c r="IVY745" s="312"/>
      <c r="IVZ745" s="312"/>
      <c r="IWA745" s="312"/>
      <c r="IWB745" s="312"/>
      <c r="IWC745" s="312"/>
      <c r="IWD745" s="312"/>
      <c r="IWE745" s="312"/>
      <c r="IWF745" s="312"/>
      <c r="IWG745" s="312"/>
      <c r="IWH745" s="312"/>
      <c r="IWI745" s="312"/>
      <c r="IWJ745" s="312"/>
      <c r="IWK745" s="312"/>
      <c r="IWL745" s="312"/>
      <c r="IWM745" s="312"/>
      <c r="IWN745" s="312"/>
      <c r="IWO745" s="312"/>
      <c r="IWP745" s="312"/>
      <c r="IWQ745" s="312"/>
      <c r="IWR745" s="312"/>
      <c r="IWS745" s="312"/>
      <c r="IWT745" s="312"/>
      <c r="IWU745" s="312"/>
      <c r="IWV745" s="312"/>
      <c r="IWW745" s="312"/>
      <c r="IWX745" s="312"/>
      <c r="IWY745" s="312"/>
      <c r="IWZ745" s="312"/>
      <c r="IXA745" s="312"/>
      <c r="IXB745" s="312"/>
      <c r="IXC745" s="312"/>
      <c r="IXD745" s="312"/>
      <c r="IXE745" s="312"/>
      <c r="IXF745" s="312"/>
      <c r="IXG745" s="312"/>
      <c r="IXH745" s="312"/>
      <c r="IXI745" s="312"/>
      <c r="IXJ745" s="312"/>
      <c r="IXK745" s="312"/>
      <c r="IXL745" s="312"/>
      <c r="IXM745" s="312"/>
      <c r="IXN745" s="312"/>
      <c r="IXO745" s="312"/>
      <c r="IXP745" s="312"/>
      <c r="IXQ745" s="312"/>
      <c r="IXR745" s="312"/>
      <c r="IXS745" s="312"/>
      <c r="IXT745" s="312"/>
      <c r="IXU745" s="312"/>
      <c r="IXV745" s="312"/>
      <c r="IXW745" s="312"/>
      <c r="IXX745" s="312"/>
      <c r="IXY745" s="312"/>
      <c r="IXZ745" s="312"/>
      <c r="IYA745" s="312"/>
      <c r="IYB745" s="312"/>
      <c r="IYC745" s="312"/>
      <c r="IYD745" s="312"/>
      <c r="IYE745" s="312"/>
      <c r="IYF745" s="312"/>
      <c r="IYG745" s="312"/>
      <c r="IYH745" s="312"/>
      <c r="IYI745" s="312"/>
      <c r="IYJ745" s="312"/>
      <c r="IYK745" s="312"/>
      <c r="IYL745" s="312"/>
      <c r="IYM745" s="312"/>
      <c r="IYN745" s="312"/>
      <c r="IYO745" s="312"/>
      <c r="IYP745" s="312"/>
      <c r="IYQ745" s="312"/>
      <c r="IYR745" s="312"/>
      <c r="IYS745" s="312"/>
      <c r="IYT745" s="312"/>
      <c r="IYU745" s="312"/>
      <c r="IYV745" s="312"/>
      <c r="IYW745" s="312"/>
      <c r="IYX745" s="312"/>
      <c r="IYY745" s="312"/>
      <c r="IYZ745" s="312"/>
      <c r="IZA745" s="312"/>
      <c r="IZB745" s="312"/>
      <c r="IZC745" s="312"/>
      <c r="IZD745" s="312"/>
      <c r="IZE745" s="312"/>
      <c r="IZF745" s="312"/>
      <c r="IZG745" s="312"/>
      <c r="IZH745" s="312"/>
      <c r="IZI745" s="312"/>
      <c r="IZJ745" s="312"/>
      <c r="IZK745" s="312"/>
      <c r="IZL745" s="312"/>
      <c r="IZM745" s="312"/>
      <c r="IZN745" s="312"/>
      <c r="IZO745" s="312"/>
      <c r="IZP745" s="312"/>
      <c r="IZQ745" s="312"/>
      <c r="IZR745" s="312"/>
      <c r="IZS745" s="312"/>
      <c r="IZT745" s="312"/>
      <c r="IZU745" s="312"/>
      <c r="IZV745" s="312"/>
      <c r="IZW745" s="312"/>
      <c r="IZX745" s="312"/>
      <c r="IZY745" s="312"/>
      <c r="IZZ745" s="312"/>
      <c r="JAA745" s="312"/>
      <c r="JAB745" s="312"/>
      <c r="JAC745" s="312"/>
      <c r="JAD745" s="312"/>
      <c r="JAE745" s="312"/>
      <c r="JAF745" s="312"/>
      <c r="JAG745" s="312"/>
      <c r="JAH745" s="312"/>
      <c r="JAI745" s="312"/>
      <c r="JAJ745" s="312"/>
      <c r="JAK745" s="312"/>
      <c r="JAL745" s="312"/>
      <c r="JAM745" s="312"/>
      <c r="JAN745" s="312"/>
      <c r="JAO745" s="312"/>
      <c r="JAP745" s="312"/>
      <c r="JAQ745" s="312"/>
      <c r="JAR745" s="312"/>
      <c r="JAS745" s="312"/>
      <c r="JAT745" s="312"/>
      <c r="JAU745" s="312"/>
      <c r="JAV745" s="312"/>
      <c r="JAW745" s="312"/>
      <c r="JAX745" s="312"/>
      <c r="JAY745" s="312"/>
      <c r="JAZ745" s="312"/>
      <c r="JBA745" s="312"/>
      <c r="JBB745" s="312"/>
      <c r="JBC745" s="312"/>
      <c r="JBD745" s="312"/>
      <c r="JBE745" s="312"/>
      <c r="JBF745" s="312"/>
      <c r="JBG745" s="312"/>
      <c r="JBH745" s="312"/>
      <c r="JBI745" s="312"/>
      <c r="JBJ745" s="312"/>
      <c r="JBK745" s="312"/>
      <c r="JBL745" s="312"/>
      <c r="JBM745" s="312"/>
      <c r="JBN745" s="312"/>
      <c r="JBO745" s="312"/>
      <c r="JBP745" s="312"/>
      <c r="JBQ745" s="312"/>
      <c r="JBR745" s="312"/>
      <c r="JBS745" s="312"/>
      <c r="JBT745" s="312"/>
      <c r="JBU745" s="312"/>
      <c r="JBV745" s="312"/>
      <c r="JBW745" s="312"/>
      <c r="JBX745" s="312"/>
      <c r="JBY745" s="312"/>
      <c r="JBZ745" s="312"/>
      <c r="JCA745" s="312"/>
      <c r="JCB745" s="312"/>
      <c r="JCC745" s="312"/>
      <c r="JCD745" s="312"/>
      <c r="JCE745" s="312"/>
      <c r="JCF745" s="312"/>
      <c r="JCG745" s="312"/>
      <c r="JCH745" s="312"/>
      <c r="JCI745" s="312"/>
      <c r="JCJ745" s="312"/>
      <c r="JCK745" s="312"/>
      <c r="JCL745" s="312"/>
      <c r="JCM745" s="312"/>
      <c r="JCN745" s="312"/>
      <c r="JCO745" s="312"/>
      <c r="JCP745" s="312"/>
      <c r="JCQ745" s="312"/>
      <c r="JCR745" s="312"/>
      <c r="JCS745" s="312"/>
      <c r="JCT745" s="312"/>
      <c r="JCU745" s="312"/>
      <c r="JCV745" s="312"/>
      <c r="JCW745" s="312"/>
      <c r="JCX745" s="312"/>
      <c r="JCY745" s="312"/>
      <c r="JCZ745" s="312"/>
      <c r="JDA745" s="312"/>
      <c r="JDB745" s="312"/>
      <c r="JDC745" s="312"/>
      <c r="JDD745" s="312"/>
      <c r="JDE745" s="312"/>
      <c r="JDF745" s="312"/>
      <c r="JDG745" s="312"/>
      <c r="JDH745" s="312"/>
      <c r="JDI745" s="312"/>
      <c r="JDJ745" s="312"/>
      <c r="JDK745" s="312"/>
      <c r="JDL745" s="312"/>
      <c r="JDM745" s="312"/>
      <c r="JDN745" s="312"/>
      <c r="JDO745" s="312"/>
      <c r="JDP745" s="312"/>
      <c r="JDQ745" s="312"/>
      <c r="JDR745" s="312"/>
      <c r="JDS745" s="312"/>
      <c r="JDT745" s="312"/>
      <c r="JDU745" s="312"/>
      <c r="JDV745" s="312"/>
      <c r="JDW745" s="312"/>
      <c r="JDX745" s="312"/>
      <c r="JDY745" s="312"/>
      <c r="JDZ745" s="312"/>
      <c r="JEA745" s="312"/>
      <c r="JEB745" s="312"/>
      <c r="JEC745" s="312"/>
      <c r="JED745" s="312"/>
      <c r="JEE745" s="312"/>
      <c r="JEF745" s="312"/>
      <c r="JEG745" s="312"/>
      <c r="JEH745" s="312"/>
      <c r="JEI745" s="312"/>
      <c r="JEJ745" s="312"/>
      <c r="JEK745" s="312"/>
      <c r="JEL745" s="312"/>
      <c r="JEM745" s="312"/>
      <c r="JEN745" s="312"/>
      <c r="JEO745" s="312"/>
      <c r="JEP745" s="312"/>
      <c r="JEQ745" s="312"/>
      <c r="JER745" s="312"/>
      <c r="JES745" s="312"/>
      <c r="JET745" s="312"/>
      <c r="JEU745" s="312"/>
      <c r="JEV745" s="312"/>
      <c r="JEW745" s="312"/>
      <c r="JEX745" s="312"/>
      <c r="JEY745" s="312"/>
      <c r="JEZ745" s="312"/>
      <c r="JFA745" s="312"/>
      <c r="JFB745" s="312"/>
      <c r="JFC745" s="312"/>
      <c r="JFD745" s="312"/>
      <c r="JFE745" s="312"/>
      <c r="JFF745" s="312"/>
      <c r="JFG745" s="312"/>
      <c r="JFH745" s="312"/>
      <c r="JFI745" s="312"/>
      <c r="JFJ745" s="312"/>
      <c r="JFK745" s="312"/>
      <c r="JFL745" s="312"/>
      <c r="JFM745" s="312"/>
      <c r="JFN745" s="312"/>
      <c r="JFO745" s="312"/>
      <c r="JFP745" s="312"/>
      <c r="JFQ745" s="312"/>
      <c r="JFR745" s="312"/>
      <c r="JFS745" s="312"/>
      <c r="JFT745" s="312"/>
      <c r="JFU745" s="312"/>
      <c r="JFV745" s="312"/>
      <c r="JFW745" s="312"/>
      <c r="JFX745" s="312"/>
      <c r="JFY745" s="312"/>
      <c r="JFZ745" s="312"/>
      <c r="JGA745" s="312"/>
      <c r="JGB745" s="312"/>
      <c r="JGC745" s="312"/>
      <c r="JGD745" s="312"/>
      <c r="JGE745" s="312"/>
      <c r="JGF745" s="312"/>
      <c r="JGG745" s="312"/>
      <c r="JGH745" s="312"/>
      <c r="JGI745" s="312"/>
      <c r="JGJ745" s="312"/>
      <c r="JGK745" s="312"/>
      <c r="JGL745" s="312"/>
      <c r="JGM745" s="312"/>
      <c r="JGN745" s="312"/>
      <c r="JGO745" s="312"/>
      <c r="JGP745" s="312"/>
      <c r="JGQ745" s="312"/>
      <c r="JGR745" s="312"/>
      <c r="JGS745" s="312"/>
      <c r="JGT745" s="312"/>
      <c r="JGU745" s="312"/>
      <c r="JGV745" s="312"/>
      <c r="JGW745" s="312"/>
      <c r="JGX745" s="312"/>
      <c r="JGY745" s="312"/>
      <c r="JGZ745" s="312"/>
      <c r="JHA745" s="312"/>
      <c r="JHB745" s="312"/>
      <c r="JHC745" s="312"/>
      <c r="JHD745" s="312"/>
      <c r="JHE745" s="312"/>
      <c r="JHF745" s="312"/>
      <c r="JHG745" s="312"/>
      <c r="JHH745" s="312"/>
      <c r="JHI745" s="312"/>
      <c r="JHJ745" s="312"/>
      <c r="JHK745" s="312"/>
      <c r="JHL745" s="312"/>
      <c r="JHM745" s="312"/>
      <c r="JHN745" s="312"/>
      <c r="JHO745" s="312"/>
      <c r="JHP745" s="312"/>
      <c r="JHQ745" s="312"/>
      <c r="JHR745" s="312"/>
      <c r="JHS745" s="312"/>
      <c r="JHT745" s="312"/>
      <c r="JHU745" s="312"/>
      <c r="JHV745" s="312"/>
      <c r="JHW745" s="312"/>
      <c r="JHX745" s="312"/>
      <c r="JHY745" s="312"/>
      <c r="JHZ745" s="312"/>
      <c r="JIA745" s="312"/>
      <c r="JIB745" s="312"/>
      <c r="JIC745" s="312"/>
      <c r="JID745" s="312"/>
      <c r="JIE745" s="312"/>
      <c r="JIF745" s="312"/>
      <c r="JIG745" s="312"/>
      <c r="JIH745" s="312"/>
      <c r="JII745" s="312"/>
      <c r="JIJ745" s="312"/>
      <c r="JIK745" s="312"/>
      <c r="JIL745" s="312"/>
      <c r="JIM745" s="312"/>
      <c r="JIN745" s="312"/>
      <c r="JIO745" s="312"/>
      <c r="JIP745" s="312"/>
      <c r="JIQ745" s="312"/>
      <c r="JIR745" s="312"/>
      <c r="JIS745" s="312"/>
      <c r="JIT745" s="312"/>
      <c r="JIU745" s="312"/>
      <c r="JIV745" s="312"/>
      <c r="JIW745" s="312"/>
      <c r="JIX745" s="312"/>
      <c r="JIY745" s="312"/>
      <c r="JIZ745" s="312"/>
      <c r="JJA745" s="312"/>
      <c r="JJB745" s="312"/>
      <c r="JJC745" s="312"/>
      <c r="JJD745" s="312"/>
      <c r="JJE745" s="312"/>
      <c r="JJF745" s="312"/>
      <c r="JJG745" s="312"/>
      <c r="JJH745" s="312"/>
      <c r="JJI745" s="312"/>
      <c r="JJJ745" s="312"/>
      <c r="JJK745" s="312"/>
      <c r="JJL745" s="312"/>
      <c r="JJM745" s="312"/>
      <c r="JJN745" s="312"/>
      <c r="JJO745" s="312"/>
      <c r="JJP745" s="312"/>
      <c r="JJQ745" s="312"/>
      <c r="JJR745" s="312"/>
      <c r="JJS745" s="312"/>
      <c r="JJT745" s="312"/>
      <c r="JJU745" s="312"/>
      <c r="JJV745" s="312"/>
      <c r="JJW745" s="312"/>
      <c r="JJX745" s="312"/>
      <c r="JJY745" s="312"/>
      <c r="JJZ745" s="312"/>
      <c r="JKA745" s="312"/>
      <c r="JKB745" s="312"/>
      <c r="JKC745" s="312"/>
      <c r="JKD745" s="312"/>
      <c r="JKE745" s="312"/>
      <c r="JKF745" s="312"/>
      <c r="JKG745" s="312"/>
      <c r="JKH745" s="312"/>
      <c r="JKI745" s="312"/>
      <c r="JKJ745" s="312"/>
      <c r="JKK745" s="312"/>
      <c r="JKL745" s="312"/>
      <c r="JKM745" s="312"/>
      <c r="JKN745" s="312"/>
      <c r="JKO745" s="312"/>
      <c r="JKP745" s="312"/>
      <c r="JKQ745" s="312"/>
      <c r="JKR745" s="312"/>
      <c r="JKS745" s="312"/>
      <c r="JKT745" s="312"/>
      <c r="JKU745" s="312"/>
      <c r="JKV745" s="312"/>
      <c r="JKW745" s="312"/>
      <c r="JKX745" s="312"/>
      <c r="JKY745" s="312"/>
      <c r="JKZ745" s="312"/>
      <c r="JLA745" s="312"/>
      <c r="JLB745" s="312"/>
      <c r="JLC745" s="312"/>
      <c r="JLD745" s="312"/>
      <c r="JLE745" s="312"/>
      <c r="JLF745" s="312"/>
      <c r="JLG745" s="312"/>
      <c r="JLH745" s="312"/>
      <c r="JLI745" s="312"/>
      <c r="JLJ745" s="312"/>
      <c r="JLK745" s="312"/>
      <c r="JLL745" s="312"/>
      <c r="JLM745" s="312"/>
      <c r="JLN745" s="312"/>
      <c r="JLO745" s="312"/>
      <c r="JLP745" s="312"/>
      <c r="JLQ745" s="312"/>
      <c r="JLR745" s="312"/>
      <c r="JLS745" s="312"/>
      <c r="JLT745" s="312"/>
      <c r="JLU745" s="312"/>
      <c r="JLV745" s="312"/>
      <c r="JLW745" s="312"/>
      <c r="JLX745" s="312"/>
      <c r="JLY745" s="312"/>
      <c r="JLZ745" s="312"/>
      <c r="JMA745" s="312"/>
      <c r="JMB745" s="312"/>
      <c r="JMC745" s="312"/>
      <c r="JMD745" s="312"/>
      <c r="JME745" s="312"/>
      <c r="JMF745" s="312"/>
      <c r="JMG745" s="312"/>
      <c r="JMH745" s="312"/>
      <c r="JMI745" s="312"/>
      <c r="JMJ745" s="312"/>
      <c r="JMK745" s="312"/>
      <c r="JML745" s="312"/>
      <c r="JMM745" s="312"/>
      <c r="JMN745" s="312"/>
      <c r="JMO745" s="312"/>
      <c r="JMP745" s="312"/>
      <c r="JMQ745" s="312"/>
      <c r="JMR745" s="312"/>
      <c r="JMS745" s="312"/>
      <c r="JMT745" s="312"/>
      <c r="JMU745" s="312"/>
      <c r="JMV745" s="312"/>
      <c r="JMW745" s="312"/>
      <c r="JMX745" s="312"/>
      <c r="JMY745" s="312"/>
      <c r="JMZ745" s="312"/>
      <c r="JNA745" s="312"/>
      <c r="JNB745" s="312"/>
      <c r="JNC745" s="312"/>
      <c r="JND745" s="312"/>
      <c r="JNE745" s="312"/>
      <c r="JNF745" s="312"/>
      <c r="JNG745" s="312"/>
      <c r="JNH745" s="312"/>
      <c r="JNI745" s="312"/>
      <c r="JNJ745" s="312"/>
      <c r="JNK745" s="312"/>
      <c r="JNL745" s="312"/>
      <c r="JNM745" s="312"/>
      <c r="JNN745" s="312"/>
      <c r="JNO745" s="312"/>
      <c r="JNP745" s="312"/>
      <c r="JNQ745" s="312"/>
      <c r="JNR745" s="312"/>
      <c r="JNS745" s="312"/>
      <c r="JNT745" s="312"/>
      <c r="JNU745" s="312"/>
      <c r="JNV745" s="312"/>
      <c r="JNW745" s="312"/>
      <c r="JNX745" s="312"/>
      <c r="JNY745" s="312"/>
      <c r="JNZ745" s="312"/>
      <c r="JOA745" s="312"/>
      <c r="JOB745" s="312"/>
      <c r="JOC745" s="312"/>
      <c r="JOD745" s="312"/>
      <c r="JOE745" s="312"/>
      <c r="JOF745" s="312"/>
      <c r="JOG745" s="312"/>
      <c r="JOH745" s="312"/>
      <c r="JOI745" s="312"/>
      <c r="JOJ745" s="312"/>
      <c r="JOK745" s="312"/>
      <c r="JOL745" s="312"/>
      <c r="JOM745" s="312"/>
      <c r="JON745" s="312"/>
      <c r="JOO745" s="312"/>
      <c r="JOP745" s="312"/>
      <c r="JOQ745" s="312"/>
      <c r="JOR745" s="312"/>
      <c r="JOS745" s="312"/>
      <c r="JOT745" s="312"/>
      <c r="JOU745" s="312"/>
      <c r="JOV745" s="312"/>
      <c r="JOW745" s="312"/>
      <c r="JOX745" s="312"/>
      <c r="JOY745" s="312"/>
      <c r="JOZ745" s="312"/>
      <c r="JPA745" s="312"/>
      <c r="JPB745" s="312"/>
      <c r="JPC745" s="312"/>
      <c r="JPD745" s="312"/>
      <c r="JPE745" s="312"/>
      <c r="JPF745" s="312"/>
      <c r="JPG745" s="312"/>
      <c r="JPH745" s="312"/>
      <c r="JPI745" s="312"/>
      <c r="JPJ745" s="312"/>
      <c r="JPK745" s="312"/>
      <c r="JPL745" s="312"/>
      <c r="JPM745" s="312"/>
      <c r="JPN745" s="312"/>
      <c r="JPO745" s="312"/>
      <c r="JPP745" s="312"/>
      <c r="JPQ745" s="312"/>
      <c r="JPR745" s="312"/>
      <c r="JPS745" s="312"/>
      <c r="JPT745" s="312"/>
      <c r="JPU745" s="312"/>
      <c r="JPV745" s="312"/>
      <c r="JPW745" s="312"/>
      <c r="JPX745" s="312"/>
      <c r="JPY745" s="312"/>
      <c r="JPZ745" s="312"/>
      <c r="JQA745" s="312"/>
      <c r="JQB745" s="312"/>
      <c r="JQC745" s="312"/>
      <c r="JQD745" s="312"/>
      <c r="JQE745" s="312"/>
      <c r="JQF745" s="312"/>
      <c r="JQG745" s="312"/>
      <c r="JQH745" s="312"/>
      <c r="JQI745" s="312"/>
      <c r="JQJ745" s="312"/>
      <c r="JQK745" s="312"/>
      <c r="JQL745" s="312"/>
      <c r="JQM745" s="312"/>
      <c r="JQN745" s="312"/>
      <c r="JQO745" s="312"/>
      <c r="JQP745" s="312"/>
      <c r="JQQ745" s="312"/>
      <c r="JQR745" s="312"/>
      <c r="JQS745" s="312"/>
      <c r="JQT745" s="312"/>
      <c r="JQU745" s="312"/>
      <c r="JQV745" s="312"/>
      <c r="JQW745" s="312"/>
      <c r="JQX745" s="312"/>
      <c r="JQY745" s="312"/>
      <c r="JQZ745" s="312"/>
      <c r="JRA745" s="312"/>
      <c r="JRB745" s="312"/>
      <c r="JRC745" s="312"/>
      <c r="JRD745" s="312"/>
      <c r="JRE745" s="312"/>
      <c r="JRF745" s="312"/>
      <c r="JRG745" s="312"/>
      <c r="JRH745" s="312"/>
      <c r="JRI745" s="312"/>
      <c r="JRJ745" s="312"/>
      <c r="JRK745" s="312"/>
      <c r="JRL745" s="312"/>
      <c r="JRM745" s="312"/>
      <c r="JRN745" s="312"/>
      <c r="JRO745" s="312"/>
      <c r="JRP745" s="312"/>
      <c r="JRQ745" s="312"/>
      <c r="JRR745" s="312"/>
      <c r="JRS745" s="312"/>
      <c r="JRT745" s="312"/>
      <c r="JRU745" s="312"/>
      <c r="JRV745" s="312"/>
      <c r="JRW745" s="312"/>
      <c r="JRX745" s="312"/>
      <c r="JRY745" s="312"/>
      <c r="JRZ745" s="312"/>
      <c r="JSA745" s="312"/>
      <c r="JSB745" s="312"/>
      <c r="JSC745" s="312"/>
      <c r="JSD745" s="312"/>
      <c r="JSE745" s="312"/>
      <c r="JSF745" s="312"/>
      <c r="JSG745" s="312"/>
      <c r="JSH745" s="312"/>
      <c r="JSI745" s="312"/>
      <c r="JSJ745" s="312"/>
      <c r="JSK745" s="312"/>
      <c r="JSL745" s="312"/>
      <c r="JSM745" s="312"/>
      <c r="JSN745" s="312"/>
      <c r="JSO745" s="312"/>
      <c r="JSP745" s="312"/>
      <c r="JSQ745" s="312"/>
      <c r="JSR745" s="312"/>
      <c r="JSS745" s="312"/>
      <c r="JST745" s="312"/>
      <c r="JSU745" s="312"/>
      <c r="JSV745" s="312"/>
      <c r="JSW745" s="312"/>
      <c r="JSX745" s="312"/>
      <c r="JSY745" s="312"/>
      <c r="JSZ745" s="312"/>
      <c r="JTA745" s="312"/>
      <c r="JTB745" s="312"/>
      <c r="JTC745" s="312"/>
      <c r="JTD745" s="312"/>
      <c r="JTE745" s="312"/>
      <c r="JTF745" s="312"/>
      <c r="JTG745" s="312"/>
      <c r="JTH745" s="312"/>
      <c r="JTI745" s="312"/>
      <c r="JTJ745" s="312"/>
      <c r="JTK745" s="312"/>
      <c r="JTL745" s="312"/>
      <c r="JTM745" s="312"/>
      <c r="JTN745" s="312"/>
      <c r="JTO745" s="312"/>
      <c r="JTP745" s="312"/>
      <c r="JTQ745" s="312"/>
      <c r="JTR745" s="312"/>
      <c r="JTS745" s="312"/>
      <c r="JTT745" s="312"/>
      <c r="JTU745" s="312"/>
      <c r="JTV745" s="312"/>
      <c r="JTW745" s="312"/>
      <c r="JTX745" s="312"/>
      <c r="JTY745" s="312"/>
      <c r="JTZ745" s="312"/>
      <c r="JUA745" s="312"/>
      <c r="JUB745" s="312"/>
      <c r="JUC745" s="312"/>
      <c r="JUD745" s="312"/>
      <c r="JUE745" s="312"/>
      <c r="JUF745" s="312"/>
      <c r="JUG745" s="312"/>
      <c r="JUH745" s="312"/>
      <c r="JUI745" s="312"/>
      <c r="JUJ745" s="312"/>
      <c r="JUK745" s="312"/>
      <c r="JUL745" s="312"/>
      <c r="JUM745" s="312"/>
      <c r="JUN745" s="312"/>
      <c r="JUO745" s="312"/>
      <c r="JUP745" s="312"/>
      <c r="JUQ745" s="312"/>
      <c r="JUR745" s="312"/>
      <c r="JUS745" s="312"/>
      <c r="JUT745" s="312"/>
      <c r="JUU745" s="312"/>
      <c r="JUV745" s="312"/>
      <c r="JUW745" s="312"/>
      <c r="JUX745" s="312"/>
      <c r="JUY745" s="312"/>
      <c r="JUZ745" s="312"/>
      <c r="JVA745" s="312"/>
      <c r="JVB745" s="312"/>
      <c r="JVC745" s="312"/>
      <c r="JVD745" s="312"/>
      <c r="JVE745" s="312"/>
      <c r="JVF745" s="312"/>
      <c r="JVG745" s="312"/>
      <c r="JVH745" s="312"/>
      <c r="JVI745" s="312"/>
      <c r="JVJ745" s="312"/>
      <c r="JVK745" s="312"/>
      <c r="JVL745" s="312"/>
      <c r="JVM745" s="312"/>
      <c r="JVN745" s="312"/>
      <c r="JVO745" s="312"/>
      <c r="JVP745" s="312"/>
      <c r="JVQ745" s="312"/>
      <c r="JVR745" s="312"/>
      <c r="JVS745" s="312"/>
      <c r="JVT745" s="312"/>
      <c r="JVU745" s="312"/>
      <c r="JVV745" s="312"/>
      <c r="JVW745" s="312"/>
      <c r="JVX745" s="312"/>
      <c r="JVY745" s="312"/>
      <c r="JVZ745" s="312"/>
      <c r="JWA745" s="312"/>
      <c r="JWB745" s="312"/>
      <c r="JWC745" s="312"/>
      <c r="JWD745" s="312"/>
      <c r="JWE745" s="312"/>
      <c r="JWF745" s="312"/>
      <c r="JWG745" s="312"/>
      <c r="JWH745" s="312"/>
      <c r="JWI745" s="312"/>
      <c r="JWJ745" s="312"/>
      <c r="JWK745" s="312"/>
      <c r="JWL745" s="312"/>
      <c r="JWM745" s="312"/>
      <c r="JWN745" s="312"/>
      <c r="JWO745" s="312"/>
      <c r="JWP745" s="312"/>
      <c r="JWQ745" s="312"/>
      <c r="JWR745" s="312"/>
      <c r="JWS745" s="312"/>
      <c r="JWT745" s="312"/>
      <c r="JWU745" s="312"/>
      <c r="JWV745" s="312"/>
      <c r="JWW745" s="312"/>
      <c r="JWX745" s="312"/>
      <c r="JWY745" s="312"/>
      <c r="JWZ745" s="312"/>
      <c r="JXA745" s="312"/>
      <c r="JXB745" s="312"/>
      <c r="JXC745" s="312"/>
      <c r="JXD745" s="312"/>
      <c r="JXE745" s="312"/>
      <c r="JXF745" s="312"/>
      <c r="JXG745" s="312"/>
      <c r="JXH745" s="312"/>
      <c r="JXI745" s="312"/>
      <c r="JXJ745" s="312"/>
      <c r="JXK745" s="312"/>
      <c r="JXL745" s="312"/>
      <c r="JXM745" s="312"/>
      <c r="JXN745" s="312"/>
      <c r="JXO745" s="312"/>
      <c r="JXP745" s="312"/>
      <c r="JXQ745" s="312"/>
      <c r="JXR745" s="312"/>
      <c r="JXS745" s="312"/>
      <c r="JXT745" s="312"/>
      <c r="JXU745" s="312"/>
      <c r="JXV745" s="312"/>
      <c r="JXW745" s="312"/>
      <c r="JXX745" s="312"/>
      <c r="JXY745" s="312"/>
      <c r="JXZ745" s="312"/>
      <c r="JYA745" s="312"/>
      <c r="JYB745" s="312"/>
      <c r="JYC745" s="312"/>
      <c r="JYD745" s="312"/>
      <c r="JYE745" s="312"/>
      <c r="JYF745" s="312"/>
      <c r="JYG745" s="312"/>
      <c r="JYH745" s="312"/>
      <c r="JYI745" s="312"/>
      <c r="JYJ745" s="312"/>
      <c r="JYK745" s="312"/>
      <c r="JYL745" s="312"/>
      <c r="JYM745" s="312"/>
      <c r="JYN745" s="312"/>
      <c r="JYO745" s="312"/>
      <c r="JYP745" s="312"/>
      <c r="JYQ745" s="312"/>
      <c r="JYR745" s="312"/>
      <c r="JYS745" s="312"/>
      <c r="JYT745" s="312"/>
      <c r="JYU745" s="312"/>
      <c r="JYV745" s="312"/>
      <c r="JYW745" s="312"/>
      <c r="JYX745" s="312"/>
      <c r="JYY745" s="312"/>
      <c r="JYZ745" s="312"/>
      <c r="JZA745" s="312"/>
      <c r="JZB745" s="312"/>
      <c r="JZC745" s="312"/>
      <c r="JZD745" s="312"/>
      <c r="JZE745" s="312"/>
      <c r="JZF745" s="312"/>
      <c r="JZG745" s="312"/>
      <c r="JZH745" s="312"/>
      <c r="JZI745" s="312"/>
      <c r="JZJ745" s="312"/>
      <c r="JZK745" s="312"/>
      <c r="JZL745" s="312"/>
      <c r="JZM745" s="312"/>
      <c r="JZN745" s="312"/>
      <c r="JZO745" s="312"/>
      <c r="JZP745" s="312"/>
      <c r="JZQ745" s="312"/>
      <c r="JZR745" s="312"/>
      <c r="JZS745" s="312"/>
      <c r="JZT745" s="312"/>
      <c r="JZU745" s="312"/>
      <c r="JZV745" s="312"/>
      <c r="JZW745" s="312"/>
      <c r="JZX745" s="312"/>
      <c r="JZY745" s="312"/>
      <c r="JZZ745" s="312"/>
      <c r="KAA745" s="312"/>
      <c r="KAB745" s="312"/>
      <c r="KAC745" s="312"/>
      <c r="KAD745" s="312"/>
      <c r="KAE745" s="312"/>
      <c r="KAF745" s="312"/>
      <c r="KAG745" s="312"/>
      <c r="KAH745" s="312"/>
      <c r="KAI745" s="312"/>
      <c r="KAJ745" s="312"/>
      <c r="KAK745" s="312"/>
      <c r="KAL745" s="312"/>
      <c r="KAM745" s="312"/>
      <c r="KAN745" s="312"/>
      <c r="KAO745" s="312"/>
      <c r="KAP745" s="312"/>
      <c r="KAQ745" s="312"/>
      <c r="KAR745" s="312"/>
      <c r="KAS745" s="312"/>
      <c r="KAT745" s="312"/>
      <c r="KAU745" s="312"/>
      <c r="KAV745" s="312"/>
      <c r="KAW745" s="312"/>
      <c r="KAX745" s="312"/>
      <c r="KAY745" s="312"/>
      <c r="KAZ745" s="312"/>
      <c r="KBA745" s="312"/>
      <c r="KBB745" s="312"/>
      <c r="KBC745" s="312"/>
      <c r="KBD745" s="312"/>
      <c r="KBE745" s="312"/>
      <c r="KBF745" s="312"/>
      <c r="KBG745" s="312"/>
      <c r="KBH745" s="312"/>
      <c r="KBI745" s="312"/>
      <c r="KBJ745" s="312"/>
      <c r="KBK745" s="312"/>
      <c r="KBL745" s="312"/>
      <c r="KBM745" s="312"/>
      <c r="KBN745" s="312"/>
      <c r="KBO745" s="312"/>
      <c r="KBP745" s="312"/>
      <c r="KBQ745" s="312"/>
      <c r="KBR745" s="312"/>
      <c r="KBS745" s="312"/>
      <c r="KBT745" s="312"/>
      <c r="KBU745" s="312"/>
      <c r="KBV745" s="312"/>
      <c r="KBW745" s="312"/>
      <c r="KBX745" s="312"/>
      <c r="KBY745" s="312"/>
      <c r="KBZ745" s="312"/>
      <c r="KCA745" s="312"/>
      <c r="KCB745" s="312"/>
      <c r="KCC745" s="312"/>
      <c r="KCD745" s="312"/>
      <c r="KCE745" s="312"/>
      <c r="KCF745" s="312"/>
      <c r="KCG745" s="312"/>
      <c r="KCH745" s="312"/>
      <c r="KCI745" s="312"/>
      <c r="KCJ745" s="312"/>
      <c r="KCK745" s="312"/>
      <c r="KCL745" s="312"/>
      <c r="KCM745" s="312"/>
      <c r="KCN745" s="312"/>
      <c r="KCO745" s="312"/>
      <c r="KCP745" s="312"/>
      <c r="KCQ745" s="312"/>
      <c r="KCR745" s="312"/>
      <c r="KCS745" s="312"/>
      <c r="KCT745" s="312"/>
      <c r="KCU745" s="312"/>
      <c r="KCV745" s="312"/>
      <c r="KCW745" s="312"/>
      <c r="KCX745" s="312"/>
      <c r="KCY745" s="312"/>
      <c r="KCZ745" s="312"/>
      <c r="KDA745" s="312"/>
      <c r="KDB745" s="312"/>
      <c r="KDC745" s="312"/>
      <c r="KDD745" s="312"/>
      <c r="KDE745" s="312"/>
      <c r="KDF745" s="312"/>
      <c r="KDG745" s="312"/>
      <c r="KDH745" s="312"/>
      <c r="KDI745" s="312"/>
      <c r="KDJ745" s="312"/>
      <c r="KDK745" s="312"/>
      <c r="KDL745" s="312"/>
      <c r="KDM745" s="312"/>
      <c r="KDN745" s="312"/>
      <c r="KDO745" s="312"/>
      <c r="KDP745" s="312"/>
      <c r="KDQ745" s="312"/>
      <c r="KDR745" s="312"/>
      <c r="KDS745" s="312"/>
      <c r="KDT745" s="312"/>
      <c r="KDU745" s="312"/>
      <c r="KDV745" s="312"/>
      <c r="KDW745" s="312"/>
      <c r="KDX745" s="312"/>
      <c r="KDY745" s="312"/>
      <c r="KDZ745" s="312"/>
      <c r="KEA745" s="312"/>
      <c r="KEB745" s="312"/>
      <c r="KEC745" s="312"/>
      <c r="KED745" s="312"/>
      <c r="KEE745" s="312"/>
      <c r="KEF745" s="312"/>
      <c r="KEG745" s="312"/>
      <c r="KEH745" s="312"/>
      <c r="KEI745" s="312"/>
      <c r="KEJ745" s="312"/>
      <c r="KEK745" s="312"/>
      <c r="KEL745" s="312"/>
      <c r="KEM745" s="312"/>
      <c r="KEN745" s="312"/>
      <c r="KEO745" s="312"/>
      <c r="KEP745" s="312"/>
      <c r="KEQ745" s="312"/>
      <c r="KER745" s="312"/>
      <c r="KES745" s="312"/>
      <c r="KET745" s="312"/>
      <c r="KEU745" s="312"/>
      <c r="KEV745" s="312"/>
      <c r="KEW745" s="312"/>
      <c r="KEX745" s="312"/>
      <c r="KEY745" s="312"/>
      <c r="KEZ745" s="312"/>
      <c r="KFA745" s="312"/>
      <c r="KFB745" s="312"/>
      <c r="KFC745" s="312"/>
      <c r="KFD745" s="312"/>
      <c r="KFE745" s="312"/>
      <c r="KFF745" s="312"/>
      <c r="KFG745" s="312"/>
      <c r="KFH745" s="312"/>
      <c r="KFI745" s="312"/>
      <c r="KFJ745" s="312"/>
      <c r="KFK745" s="312"/>
      <c r="KFL745" s="312"/>
      <c r="KFM745" s="312"/>
      <c r="KFN745" s="312"/>
      <c r="KFO745" s="312"/>
      <c r="KFP745" s="312"/>
      <c r="KFQ745" s="312"/>
      <c r="KFR745" s="312"/>
      <c r="KFS745" s="312"/>
      <c r="KFT745" s="312"/>
      <c r="KFU745" s="312"/>
      <c r="KFV745" s="312"/>
      <c r="KFW745" s="312"/>
      <c r="KFX745" s="312"/>
      <c r="KFY745" s="312"/>
      <c r="KFZ745" s="312"/>
      <c r="KGA745" s="312"/>
      <c r="KGB745" s="312"/>
      <c r="KGC745" s="312"/>
      <c r="KGD745" s="312"/>
      <c r="KGE745" s="312"/>
      <c r="KGF745" s="312"/>
      <c r="KGG745" s="312"/>
      <c r="KGH745" s="312"/>
      <c r="KGI745" s="312"/>
      <c r="KGJ745" s="312"/>
      <c r="KGK745" s="312"/>
      <c r="KGL745" s="312"/>
      <c r="KGM745" s="312"/>
      <c r="KGN745" s="312"/>
      <c r="KGO745" s="312"/>
      <c r="KGP745" s="312"/>
      <c r="KGQ745" s="312"/>
      <c r="KGR745" s="312"/>
      <c r="KGS745" s="312"/>
      <c r="KGT745" s="312"/>
      <c r="KGU745" s="312"/>
      <c r="KGV745" s="312"/>
      <c r="KGW745" s="312"/>
      <c r="KGX745" s="312"/>
      <c r="KGY745" s="312"/>
      <c r="KGZ745" s="312"/>
      <c r="KHA745" s="312"/>
      <c r="KHB745" s="312"/>
      <c r="KHC745" s="312"/>
      <c r="KHD745" s="312"/>
      <c r="KHE745" s="312"/>
      <c r="KHF745" s="312"/>
      <c r="KHG745" s="312"/>
      <c r="KHH745" s="312"/>
      <c r="KHI745" s="312"/>
      <c r="KHJ745" s="312"/>
      <c r="KHK745" s="312"/>
      <c r="KHL745" s="312"/>
      <c r="KHM745" s="312"/>
      <c r="KHN745" s="312"/>
      <c r="KHO745" s="312"/>
      <c r="KHP745" s="312"/>
      <c r="KHQ745" s="312"/>
      <c r="KHR745" s="312"/>
      <c r="KHS745" s="312"/>
      <c r="KHT745" s="312"/>
      <c r="KHU745" s="312"/>
      <c r="KHV745" s="312"/>
      <c r="KHW745" s="312"/>
      <c r="KHX745" s="312"/>
      <c r="KHY745" s="312"/>
      <c r="KHZ745" s="312"/>
      <c r="KIA745" s="312"/>
      <c r="KIB745" s="312"/>
      <c r="KIC745" s="312"/>
      <c r="KID745" s="312"/>
      <c r="KIE745" s="312"/>
      <c r="KIF745" s="312"/>
      <c r="KIG745" s="312"/>
      <c r="KIH745" s="312"/>
      <c r="KII745" s="312"/>
      <c r="KIJ745" s="312"/>
      <c r="KIK745" s="312"/>
      <c r="KIL745" s="312"/>
      <c r="KIM745" s="312"/>
      <c r="KIN745" s="312"/>
      <c r="KIO745" s="312"/>
      <c r="KIP745" s="312"/>
      <c r="KIQ745" s="312"/>
      <c r="KIR745" s="312"/>
      <c r="KIS745" s="312"/>
      <c r="KIT745" s="312"/>
      <c r="KIU745" s="312"/>
      <c r="KIV745" s="312"/>
      <c r="KIW745" s="312"/>
      <c r="KIX745" s="312"/>
      <c r="KIY745" s="312"/>
      <c r="KIZ745" s="312"/>
      <c r="KJA745" s="312"/>
      <c r="KJB745" s="312"/>
      <c r="KJC745" s="312"/>
      <c r="KJD745" s="312"/>
      <c r="KJE745" s="312"/>
      <c r="KJF745" s="312"/>
      <c r="KJG745" s="312"/>
      <c r="KJH745" s="312"/>
      <c r="KJI745" s="312"/>
      <c r="KJJ745" s="312"/>
      <c r="KJK745" s="312"/>
      <c r="KJL745" s="312"/>
      <c r="KJM745" s="312"/>
      <c r="KJN745" s="312"/>
      <c r="KJO745" s="312"/>
      <c r="KJP745" s="312"/>
      <c r="KJQ745" s="312"/>
      <c r="KJR745" s="312"/>
      <c r="KJS745" s="312"/>
      <c r="KJT745" s="312"/>
      <c r="KJU745" s="312"/>
      <c r="KJV745" s="312"/>
      <c r="KJW745" s="312"/>
      <c r="KJX745" s="312"/>
      <c r="KJY745" s="312"/>
      <c r="KJZ745" s="312"/>
      <c r="KKA745" s="312"/>
      <c r="KKB745" s="312"/>
      <c r="KKC745" s="312"/>
      <c r="KKD745" s="312"/>
      <c r="KKE745" s="312"/>
      <c r="KKF745" s="312"/>
      <c r="KKG745" s="312"/>
      <c r="KKH745" s="312"/>
      <c r="KKI745" s="312"/>
      <c r="KKJ745" s="312"/>
      <c r="KKK745" s="312"/>
      <c r="KKL745" s="312"/>
      <c r="KKM745" s="312"/>
      <c r="KKN745" s="312"/>
      <c r="KKO745" s="312"/>
      <c r="KKP745" s="312"/>
      <c r="KKQ745" s="312"/>
      <c r="KKR745" s="312"/>
      <c r="KKS745" s="312"/>
      <c r="KKT745" s="312"/>
      <c r="KKU745" s="312"/>
      <c r="KKV745" s="312"/>
      <c r="KKW745" s="312"/>
      <c r="KKX745" s="312"/>
      <c r="KKY745" s="312"/>
      <c r="KKZ745" s="312"/>
      <c r="KLA745" s="312"/>
      <c r="KLB745" s="312"/>
      <c r="KLC745" s="312"/>
      <c r="KLD745" s="312"/>
      <c r="KLE745" s="312"/>
      <c r="KLF745" s="312"/>
      <c r="KLG745" s="312"/>
      <c r="KLH745" s="312"/>
      <c r="KLI745" s="312"/>
      <c r="KLJ745" s="312"/>
      <c r="KLK745" s="312"/>
      <c r="KLL745" s="312"/>
      <c r="KLM745" s="312"/>
      <c r="KLN745" s="312"/>
      <c r="KLO745" s="312"/>
      <c r="KLP745" s="312"/>
      <c r="KLQ745" s="312"/>
      <c r="KLR745" s="312"/>
      <c r="KLS745" s="312"/>
      <c r="KLT745" s="312"/>
      <c r="KLU745" s="312"/>
      <c r="KLV745" s="312"/>
      <c r="KLW745" s="312"/>
      <c r="KLX745" s="312"/>
      <c r="KLY745" s="312"/>
      <c r="KLZ745" s="312"/>
      <c r="KMA745" s="312"/>
      <c r="KMB745" s="312"/>
      <c r="KMC745" s="312"/>
      <c r="KMD745" s="312"/>
      <c r="KME745" s="312"/>
      <c r="KMF745" s="312"/>
      <c r="KMG745" s="312"/>
      <c r="KMH745" s="312"/>
      <c r="KMI745" s="312"/>
      <c r="KMJ745" s="312"/>
      <c r="KMK745" s="312"/>
      <c r="KML745" s="312"/>
      <c r="KMM745" s="312"/>
      <c r="KMN745" s="312"/>
      <c r="KMO745" s="312"/>
      <c r="KMP745" s="312"/>
      <c r="KMQ745" s="312"/>
      <c r="KMR745" s="312"/>
      <c r="KMS745" s="312"/>
      <c r="KMT745" s="312"/>
      <c r="KMU745" s="312"/>
      <c r="KMV745" s="312"/>
      <c r="KMW745" s="312"/>
      <c r="KMX745" s="312"/>
      <c r="KMY745" s="312"/>
      <c r="KMZ745" s="312"/>
      <c r="KNA745" s="312"/>
      <c r="KNB745" s="312"/>
      <c r="KNC745" s="312"/>
      <c r="KND745" s="312"/>
      <c r="KNE745" s="312"/>
      <c r="KNF745" s="312"/>
      <c r="KNG745" s="312"/>
      <c r="KNH745" s="312"/>
      <c r="KNI745" s="312"/>
      <c r="KNJ745" s="312"/>
      <c r="KNK745" s="312"/>
      <c r="KNL745" s="312"/>
      <c r="KNM745" s="312"/>
      <c r="KNN745" s="312"/>
      <c r="KNO745" s="312"/>
      <c r="KNP745" s="312"/>
      <c r="KNQ745" s="312"/>
      <c r="KNR745" s="312"/>
      <c r="KNS745" s="312"/>
      <c r="KNT745" s="312"/>
      <c r="KNU745" s="312"/>
      <c r="KNV745" s="312"/>
      <c r="KNW745" s="312"/>
      <c r="KNX745" s="312"/>
      <c r="KNY745" s="312"/>
      <c r="KNZ745" s="312"/>
      <c r="KOA745" s="312"/>
      <c r="KOB745" s="312"/>
      <c r="KOC745" s="312"/>
      <c r="KOD745" s="312"/>
      <c r="KOE745" s="312"/>
      <c r="KOF745" s="312"/>
      <c r="KOG745" s="312"/>
      <c r="KOH745" s="312"/>
      <c r="KOI745" s="312"/>
      <c r="KOJ745" s="312"/>
      <c r="KOK745" s="312"/>
      <c r="KOL745" s="312"/>
      <c r="KOM745" s="312"/>
      <c r="KON745" s="312"/>
      <c r="KOO745" s="312"/>
      <c r="KOP745" s="312"/>
      <c r="KOQ745" s="312"/>
      <c r="KOR745" s="312"/>
      <c r="KOS745" s="312"/>
      <c r="KOT745" s="312"/>
      <c r="KOU745" s="312"/>
      <c r="KOV745" s="312"/>
      <c r="KOW745" s="312"/>
      <c r="KOX745" s="312"/>
      <c r="KOY745" s="312"/>
      <c r="KOZ745" s="312"/>
      <c r="KPA745" s="312"/>
      <c r="KPB745" s="312"/>
      <c r="KPC745" s="312"/>
      <c r="KPD745" s="312"/>
      <c r="KPE745" s="312"/>
      <c r="KPF745" s="312"/>
      <c r="KPG745" s="312"/>
      <c r="KPH745" s="312"/>
      <c r="KPI745" s="312"/>
      <c r="KPJ745" s="312"/>
      <c r="KPK745" s="312"/>
      <c r="KPL745" s="312"/>
      <c r="KPM745" s="312"/>
      <c r="KPN745" s="312"/>
      <c r="KPO745" s="312"/>
      <c r="KPP745" s="312"/>
      <c r="KPQ745" s="312"/>
      <c r="KPR745" s="312"/>
      <c r="KPS745" s="312"/>
      <c r="KPT745" s="312"/>
      <c r="KPU745" s="312"/>
      <c r="KPV745" s="312"/>
      <c r="KPW745" s="312"/>
      <c r="KPX745" s="312"/>
      <c r="KPY745" s="312"/>
      <c r="KPZ745" s="312"/>
      <c r="KQA745" s="312"/>
      <c r="KQB745" s="312"/>
      <c r="KQC745" s="312"/>
      <c r="KQD745" s="312"/>
      <c r="KQE745" s="312"/>
      <c r="KQF745" s="312"/>
      <c r="KQG745" s="312"/>
      <c r="KQH745" s="312"/>
      <c r="KQI745" s="312"/>
      <c r="KQJ745" s="312"/>
      <c r="KQK745" s="312"/>
      <c r="KQL745" s="312"/>
      <c r="KQM745" s="312"/>
      <c r="KQN745" s="312"/>
      <c r="KQO745" s="312"/>
      <c r="KQP745" s="312"/>
      <c r="KQQ745" s="312"/>
      <c r="KQR745" s="312"/>
      <c r="KQS745" s="312"/>
      <c r="KQT745" s="312"/>
      <c r="KQU745" s="312"/>
      <c r="KQV745" s="312"/>
      <c r="KQW745" s="312"/>
      <c r="KQX745" s="312"/>
      <c r="KQY745" s="312"/>
      <c r="KQZ745" s="312"/>
      <c r="KRA745" s="312"/>
      <c r="KRB745" s="312"/>
      <c r="KRC745" s="312"/>
      <c r="KRD745" s="312"/>
      <c r="KRE745" s="312"/>
      <c r="KRF745" s="312"/>
      <c r="KRG745" s="312"/>
      <c r="KRH745" s="312"/>
      <c r="KRI745" s="312"/>
      <c r="KRJ745" s="312"/>
      <c r="KRK745" s="312"/>
      <c r="KRL745" s="312"/>
      <c r="KRM745" s="312"/>
      <c r="KRN745" s="312"/>
      <c r="KRO745" s="312"/>
      <c r="KRP745" s="312"/>
      <c r="KRQ745" s="312"/>
      <c r="KRR745" s="312"/>
      <c r="KRS745" s="312"/>
      <c r="KRT745" s="312"/>
      <c r="KRU745" s="312"/>
      <c r="KRV745" s="312"/>
      <c r="KRW745" s="312"/>
      <c r="KRX745" s="312"/>
      <c r="KRY745" s="312"/>
      <c r="KRZ745" s="312"/>
      <c r="KSA745" s="312"/>
      <c r="KSB745" s="312"/>
      <c r="KSC745" s="312"/>
      <c r="KSD745" s="312"/>
      <c r="KSE745" s="312"/>
      <c r="KSF745" s="312"/>
      <c r="KSG745" s="312"/>
      <c r="KSH745" s="312"/>
      <c r="KSI745" s="312"/>
      <c r="KSJ745" s="312"/>
      <c r="KSK745" s="312"/>
      <c r="KSL745" s="312"/>
      <c r="KSM745" s="312"/>
      <c r="KSN745" s="312"/>
      <c r="KSO745" s="312"/>
      <c r="KSP745" s="312"/>
      <c r="KSQ745" s="312"/>
      <c r="KSR745" s="312"/>
      <c r="KSS745" s="312"/>
      <c r="KST745" s="312"/>
      <c r="KSU745" s="312"/>
      <c r="KSV745" s="312"/>
      <c r="KSW745" s="312"/>
      <c r="KSX745" s="312"/>
      <c r="KSY745" s="312"/>
      <c r="KSZ745" s="312"/>
      <c r="KTA745" s="312"/>
      <c r="KTB745" s="312"/>
      <c r="KTC745" s="312"/>
      <c r="KTD745" s="312"/>
      <c r="KTE745" s="312"/>
      <c r="KTF745" s="312"/>
      <c r="KTG745" s="312"/>
      <c r="KTH745" s="312"/>
      <c r="KTI745" s="312"/>
      <c r="KTJ745" s="312"/>
      <c r="KTK745" s="312"/>
      <c r="KTL745" s="312"/>
      <c r="KTM745" s="312"/>
      <c r="KTN745" s="312"/>
      <c r="KTO745" s="312"/>
      <c r="KTP745" s="312"/>
      <c r="KTQ745" s="312"/>
      <c r="KTR745" s="312"/>
      <c r="KTS745" s="312"/>
      <c r="KTT745" s="312"/>
      <c r="KTU745" s="312"/>
      <c r="KTV745" s="312"/>
      <c r="KTW745" s="312"/>
      <c r="KTX745" s="312"/>
      <c r="KTY745" s="312"/>
      <c r="KTZ745" s="312"/>
      <c r="KUA745" s="312"/>
      <c r="KUB745" s="312"/>
      <c r="KUC745" s="312"/>
      <c r="KUD745" s="312"/>
      <c r="KUE745" s="312"/>
      <c r="KUF745" s="312"/>
      <c r="KUG745" s="312"/>
      <c r="KUH745" s="312"/>
      <c r="KUI745" s="312"/>
      <c r="KUJ745" s="312"/>
      <c r="KUK745" s="312"/>
      <c r="KUL745" s="312"/>
      <c r="KUM745" s="312"/>
      <c r="KUN745" s="312"/>
      <c r="KUO745" s="312"/>
      <c r="KUP745" s="312"/>
      <c r="KUQ745" s="312"/>
      <c r="KUR745" s="312"/>
      <c r="KUS745" s="312"/>
      <c r="KUT745" s="312"/>
      <c r="KUU745" s="312"/>
      <c r="KUV745" s="312"/>
      <c r="KUW745" s="312"/>
      <c r="KUX745" s="312"/>
      <c r="KUY745" s="312"/>
      <c r="KUZ745" s="312"/>
      <c r="KVA745" s="312"/>
      <c r="KVB745" s="312"/>
      <c r="KVC745" s="312"/>
      <c r="KVD745" s="312"/>
      <c r="KVE745" s="312"/>
      <c r="KVF745" s="312"/>
      <c r="KVG745" s="312"/>
      <c r="KVH745" s="312"/>
      <c r="KVI745" s="312"/>
      <c r="KVJ745" s="312"/>
      <c r="KVK745" s="312"/>
      <c r="KVL745" s="312"/>
      <c r="KVM745" s="312"/>
      <c r="KVN745" s="312"/>
      <c r="KVO745" s="312"/>
      <c r="KVP745" s="312"/>
      <c r="KVQ745" s="312"/>
      <c r="KVR745" s="312"/>
      <c r="KVS745" s="312"/>
      <c r="KVT745" s="312"/>
      <c r="KVU745" s="312"/>
      <c r="KVV745" s="312"/>
      <c r="KVW745" s="312"/>
      <c r="KVX745" s="312"/>
      <c r="KVY745" s="312"/>
      <c r="KVZ745" s="312"/>
      <c r="KWA745" s="312"/>
      <c r="KWB745" s="312"/>
      <c r="KWC745" s="312"/>
      <c r="KWD745" s="312"/>
      <c r="KWE745" s="312"/>
      <c r="KWF745" s="312"/>
      <c r="KWG745" s="312"/>
      <c r="KWH745" s="312"/>
      <c r="KWI745" s="312"/>
      <c r="KWJ745" s="312"/>
      <c r="KWK745" s="312"/>
      <c r="KWL745" s="312"/>
      <c r="KWM745" s="312"/>
      <c r="KWN745" s="312"/>
      <c r="KWO745" s="312"/>
      <c r="KWP745" s="312"/>
      <c r="KWQ745" s="312"/>
      <c r="KWR745" s="312"/>
      <c r="KWS745" s="312"/>
      <c r="KWT745" s="312"/>
      <c r="KWU745" s="312"/>
      <c r="KWV745" s="312"/>
      <c r="KWW745" s="312"/>
      <c r="KWX745" s="312"/>
      <c r="KWY745" s="312"/>
      <c r="KWZ745" s="312"/>
      <c r="KXA745" s="312"/>
      <c r="KXB745" s="312"/>
      <c r="KXC745" s="312"/>
      <c r="KXD745" s="312"/>
      <c r="KXE745" s="312"/>
      <c r="KXF745" s="312"/>
      <c r="KXG745" s="312"/>
      <c r="KXH745" s="312"/>
      <c r="KXI745" s="312"/>
      <c r="KXJ745" s="312"/>
      <c r="KXK745" s="312"/>
      <c r="KXL745" s="312"/>
      <c r="KXM745" s="312"/>
      <c r="KXN745" s="312"/>
      <c r="KXO745" s="312"/>
      <c r="KXP745" s="312"/>
      <c r="KXQ745" s="312"/>
      <c r="KXR745" s="312"/>
      <c r="KXS745" s="312"/>
      <c r="KXT745" s="312"/>
      <c r="KXU745" s="312"/>
      <c r="KXV745" s="312"/>
      <c r="KXW745" s="312"/>
      <c r="KXX745" s="312"/>
      <c r="KXY745" s="312"/>
      <c r="KXZ745" s="312"/>
      <c r="KYA745" s="312"/>
      <c r="KYB745" s="312"/>
      <c r="KYC745" s="312"/>
      <c r="KYD745" s="312"/>
      <c r="KYE745" s="312"/>
      <c r="KYF745" s="312"/>
      <c r="KYG745" s="312"/>
      <c r="KYH745" s="312"/>
      <c r="KYI745" s="312"/>
      <c r="KYJ745" s="312"/>
      <c r="KYK745" s="312"/>
      <c r="KYL745" s="312"/>
      <c r="KYM745" s="312"/>
      <c r="KYN745" s="312"/>
      <c r="KYO745" s="312"/>
      <c r="KYP745" s="312"/>
      <c r="KYQ745" s="312"/>
      <c r="KYR745" s="312"/>
      <c r="KYS745" s="312"/>
      <c r="KYT745" s="312"/>
      <c r="KYU745" s="312"/>
      <c r="KYV745" s="312"/>
      <c r="KYW745" s="312"/>
      <c r="KYX745" s="312"/>
      <c r="KYY745" s="312"/>
      <c r="KYZ745" s="312"/>
      <c r="KZA745" s="312"/>
      <c r="KZB745" s="312"/>
      <c r="KZC745" s="312"/>
      <c r="KZD745" s="312"/>
      <c r="KZE745" s="312"/>
      <c r="KZF745" s="312"/>
      <c r="KZG745" s="312"/>
      <c r="KZH745" s="312"/>
      <c r="KZI745" s="312"/>
      <c r="KZJ745" s="312"/>
      <c r="KZK745" s="312"/>
      <c r="KZL745" s="312"/>
      <c r="KZM745" s="312"/>
      <c r="KZN745" s="312"/>
      <c r="KZO745" s="312"/>
      <c r="KZP745" s="312"/>
      <c r="KZQ745" s="312"/>
      <c r="KZR745" s="312"/>
      <c r="KZS745" s="312"/>
      <c r="KZT745" s="312"/>
      <c r="KZU745" s="312"/>
      <c r="KZV745" s="312"/>
      <c r="KZW745" s="312"/>
      <c r="KZX745" s="312"/>
      <c r="KZY745" s="312"/>
      <c r="KZZ745" s="312"/>
      <c r="LAA745" s="312"/>
      <c r="LAB745" s="312"/>
      <c r="LAC745" s="312"/>
      <c r="LAD745" s="312"/>
      <c r="LAE745" s="312"/>
      <c r="LAF745" s="312"/>
      <c r="LAG745" s="312"/>
      <c r="LAH745" s="312"/>
      <c r="LAI745" s="312"/>
      <c r="LAJ745" s="312"/>
      <c r="LAK745" s="312"/>
      <c r="LAL745" s="312"/>
      <c r="LAM745" s="312"/>
      <c r="LAN745" s="312"/>
      <c r="LAO745" s="312"/>
      <c r="LAP745" s="312"/>
      <c r="LAQ745" s="312"/>
      <c r="LAR745" s="312"/>
      <c r="LAS745" s="312"/>
      <c r="LAT745" s="312"/>
      <c r="LAU745" s="312"/>
      <c r="LAV745" s="312"/>
      <c r="LAW745" s="312"/>
      <c r="LAX745" s="312"/>
      <c r="LAY745" s="312"/>
      <c r="LAZ745" s="312"/>
      <c r="LBA745" s="312"/>
      <c r="LBB745" s="312"/>
      <c r="LBC745" s="312"/>
      <c r="LBD745" s="312"/>
      <c r="LBE745" s="312"/>
      <c r="LBF745" s="312"/>
      <c r="LBG745" s="312"/>
      <c r="LBH745" s="312"/>
      <c r="LBI745" s="312"/>
      <c r="LBJ745" s="312"/>
      <c r="LBK745" s="312"/>
      <c r="LBL745" s="312"/>
      <c r="LBM745" s="312"/>
      <c r="LBN745" s="312"/>
      <c r="LBO745" s="312"/>
      <c r="LBP745" s="312"/>
      <c r="LBQ745" s="312"/>
      <c r="LBR745" s="312"/>
      <c r="LBS745" s="312"/>
      <c r="LBT745" s="312"/>
      <c r="LBU745" s="312"/>
      <c r="LBV745" s="312"/>
      <c r="LBW745" s="312"/>
      <c r="LBX745" s="312"/>
      <c r="LBY745" s="312"/>
      <c r="LBZ745" s="312"/>
      <c r="LCA745" s="312"/>
      <c r="LCB745" s="312"/>
      <c r="LCC745" s="312"/>
      <c r="LCD745" s="312"/>
      <c r="LCE745" s="312"/>
      <c r="LCF745" s="312"/>
      <c r="LCG745" s="312"/>
      <c r="LCH745" s="312"/>
      <c r="LCI745" s="312"/>
      <c r="LCJ745" s="312"/>
      <c r="LCK745" s="312"/>
      <c r="LCL745" s="312"/>
      <c r="LCM745" s="312"/>
      <c r="LCN745" s="312"/>
      <c r="LCO745" s="312"/>
      <c r="LCP745" s="312"/>
      <c r="LCQ745" s="312"/>
      <c r="LCR745" s="312"/>
      <c r="LCS745" s="312"/>
      <c r="LCT745" s="312"/>
      <c r="LCU745" s="312"/>
      <c r="LCV745" s="312"/>
      <c r="LCW745" s="312"/>
      <c r="LCX745" s="312"/>
      <c r="LCY745" s="312"/>
      <c r="LCZ745" s="312"/>
      <c r="LDA745" s="312"/>
      <c r="LDB745" s="312"/>
      <c r="LDC745" s="312"/>
      <c r="LDD745" s="312"/>
      <c r="LDE745" s="312"/>
      <c r="LDF745" s="312"/>
      <c r="LDG745" s="312"/>
      <c r="LDH745" s="312"/>
      <c r="LDI745" s="312"/>
      <c r="LDJ745" s="312"/>
      <c r="LDK745" s="312"/>
      <c r="LDL745" s="312"/>
      <c r="LDM745" s="312"/>
      <c r="LDN745" s="312"/>
      <c r="LDO745" s="312"/>
      <c r="LDP745" s="312"/>
      <c r="LDQ745" s="312"/>
      <c r="LDR745" s="312"/>
      <c r="LDS745" s="312"/>
      <c r="LDT745" s="312"/>
      <c r="LDU745" s="312"/>
      <c r="LDV745" s="312"/>
      <c r="LDW745" s="312"/>
      <c r="LDX745" s="312"/>
      <c r="LDY745" s="312"/>
      <c r="LDZ745" s="312"/>
      <c r="LEA745" s="312"/>
      <c r="LEB745" s="312"/>
      <c r="LEC745" s="312"/>
      <c r="LED745" s="312"/>
      <c r="LEE745" s="312"/>
      <c r="LEF745" s="312"/>
      <c r="LEG745" s="312"/>
      <c r="LEH745" s="312"/>
      <c r="LEI745" s="312"/>
      <c r="LEJ745" s="312"/>
      <c r="LEK745" s="312"/>
      <c r="LEL745" s="312"/>
      <c r="LEM745" s="312"/>
      <c r="LEN745" s="312"/>
      <c r="LEO745" s="312"/>
      <c r="LEP745" s="312"/>
      <c r="LEQ745" s="312"/>
      <c r="LER745" s="312"/>
      <c r="LES745" s="312"/>
      <c r="LET745" s="312"/>
      <c r="LEU745" s="312"/>
      <c r="LEV745" s="312"/>
      <c r="LEW745" s="312"/>
      <c r="LEX745" s="312"/>
      <c r="LEY745" s="312"/>
      <c r="LEZ745" s="312"/>
      <c r="LFA745" s="312"/>
      <c r="LFB745" s="312"/>
      <c r="LFC745" s="312"/>
      <c r="LFD745" s="312"/>
      <c r="LFE745" s="312"/>
      <c r="LFF745" s="312"/>
      <c r="LFG745" s="312"/>
      <c r="LFH745" s="312"/>
      <c r="LFI745" s="312"/>
      <c r="LFJ745" s="312"/>
      <c r="LFK745" s="312"/>
      <c r="LFL745" s="312"/>
      <c r="LFM745" s="312"/>
      <c r="LFN745" s="312"/>
      <c r="LFO745" s="312"/>
      <c r="LFP745" s="312"/>
      <c r="LFQ745" s="312"/>
      <c r="LFR745" s="312"/>
      <c r="LFS745" s="312"/>
      <c r="LFT745" s="312"/>
      <c r="LFU745" s="312"/>
      <c r="LFV745" s="312"/>
      <c r="LFW745" s="312"/>
      <c r="LFX745" s="312"/>
      <c r="LFY745" s="312"/>
      <c r="LFZ745" s="312"/>
      <c r="LGA745" s="312"/>
      <c r="LGB745" s="312"/>
      <c r="LGC745" s="312"/>
      <c r="LGD745" s="312"/>
      <c r="LGE745" s="312"/>
      <c r="LGF745" s="312"/>
      <c r="LGG745" s="312"/>
      <c r="LGH745" s="312"/>
      <c r="LGI745" s="312"/>
      <c r="LGJ745" s="312"/>
      <c r="LGK745" s="312"/>
      <c r="LGL745" s="312"/>
      <c r="LGM745" s="312"/>
      <c r="LGN745" s="312"/>
      <c r="LGO745" s="312"/>
      <c r="LGP745" s="312"/>
      <c r="LGQ745" s="312"/>
      <c r="LGR745" s="312"/>
      <c r="LGS745" s="312"/>
      <c r="LGT745" s="312"/>
      <c r="LGU745" s="312"/>
      <c r="LGV745" s="312"/>
      <c r="LGW745" s="312"/>
      <c r="LGX745" s="312"/>
      <c r="LGY745" s="312"/>
      <c r="LGZ745" s="312"/>
      <c r="LHA745" s="312"/>
      <c r="LHB745" s="312"/>
      <c r="LHC745" s="312"/>
      <c r="LHD745" s="312"/>
      <c r="LHE745" s="312"/>
      <c r="LHF745" s="312"/>
      <c r="LHG745" s="312"/>
      <c r="LHH745" s="312"/>
      <c r="LHI745" s="312"/>
      <c r="LHJ745" s="312"/>
      <c r="LHK745" s="312"/>
      <c r="LHL745" s="312"/>
      <c r="LHM745" s="312"/>
      <c r="LHN745" s="312"/>
      <c r="LHO745" s="312"/>
      <c r="LHP745" s="312"/>
      <c r="LHQ745" s="312"/>
      <c r="LHR745" s="312"/>
      <c r="LHS745" s="312"/>
      <c r="LHT745" s="312"/>
      <c r="LHU745" s="312"/>
      <c r="LHV745" s="312"/>
      <c r="LHW745" s="312"/>
      <c r="LHX745" s="312"/>
      <c r="LHY745" s="312"/>
      <c r="LHZ745" s="312"/>
      <c r="LIA745" s="312"/>
      <c r="LIB745" s="312"/>
      <c r="LIC745" s="312"/>
      <c r="LID745" s="312"/>
      <c r="LIE745" s="312"/>
      <c r="LIF745" s="312"/>
      <c r="LIG745" s="312"/>
      <c r="LIH745" s="312"/>
      <c r="LII745" s="312"/>
      <c r="LIJ745" s="312"/>
      <c r="LIK745" s="312"/>
      <c r="LIL745" s="312"/>
      <c r="LIM745" s="312"/>
      <c r="LIN745" s="312"/>
      <c r="LIO745" s="312"/>
      <c r="LIP745" s="312"/>
      <c r="LIQ745" s="312"/>
      <c r="LIR745" s="312"/>
      <c r="LIS745" s="312"/>
      <c r="LIT745" s="312"/>
      <c r="LIU745" s="312"/>
      <c r="LIV745" s="312"/>
      <c r="LIW745" s="312"/>
      <c r="LIX745" s="312"/>
      <c r="LIY745" s="312"/>
      <c r="LIZ745" s="312"/>
      <c r="LJA745" s="312"/>
      <c r="LJB745" s="312"/>
      <c r="LJC745" s="312"/>
      <c r="LJD745" s="312"/>
      <c r="LJE745" s="312"/>
      <c r="LJF745" s="312"/>
      <c r="LJG745" s="312"/>
      <c r="LJH745" s="312"/>
      <c r="LJI745" s="312"/>
      <c r="LJJ745" s="312"/>
      <c r="LJK745" s="312"/>
      <c r="LJL745" s="312"/>
      <c r="LJM745" s="312"/>
      <c r="LJN745" s="312"/>
      <c r="LJO745" s="312"/>
      <c r="LJP745" s="312"/>
      <c r="LJQ745" s="312"/>
      <c r="LJR745" s="312"/>
      <c r="LJS745" s="312"/>
      <c r="LJT745" s="312"/>
      <c r="LJU745" s="312"/>
      <c r="LJV745" s="312"/>
      <c r="LJW745" s="312"/>
      <c r="LJX745" s="312"/>
      <c r="LJY745" s="312"/>
      <c r="LJZ745" s="312"/>
      <c r="LKA745" s="312"/>
      <c r="LKB745" s="312"/>
      <c r="LKC745" s="312"/>
      <c r="LKD745" s="312"/>
      <c r="LKE745" s="312"/>
      <c r="LKF745" s="312"/>
      <c r="LKG745" s="312"/>
      <c r="LKH745" s="312"/>
      <c r="LKI745" s="312"/>
      <c r="LKJ745" s="312"/>
      <c r="LKK745" s="312"/>
      <c r="LKL745" s="312"/>
      <c r="LKM745" s="312"/>
      <c r="LKN745" s="312"/>
      <c r="LKO745" s="312"/>
      <c r="LKP745" s="312"/>
      <c r="LKQ745" s="312"/>
      <c r="LKR745" s="312"/>
      <c r="LKS745" s="312"/>
      <c r="LKT745" s="312"/>
      <c r="LKU745" s="312"/>
      <c r="LKV745" s="312"/>
      <c r="LKW745" s="312"/>
      <c r="LKX745" s="312"/>
      <c r="LKY745" s="312"/>
      <c r="LKZ745" s="312"/>
      <c r="LLA745" s="312"/>
      <c r="LLB745" s="312"/>
      <c r="LLC745" s="312"/>
      <c r="LLD745" s="312"/>
      <c r="LLE745" s="312"/>
      <c r="LLF745" s="312"/>
      <c r="LLG745" s="312"/>
      <c r="LLH745" s="312"/>
      <c r="LLI745" s="312"/>
      <c r="LLJ745" s="312"/>
      <c r="LLK745" s="312"/>
      <c r="LLL745" s="312"/>
      <c r="LLM745" s="312"/>
      <c r="LLN745" s="312"/>
      <c r="LLO745" s="312"/>
      <c r="LLP745" s="312"/>
      <c r="LLQ745" s="312"/>
      <c r="LLR745" s="312"/>
      <c r="LLS745" s="312"/>
      <c r="LLT745" s="312"/>
      <c r="LLU745" s="312"/>
      <c r="LLV745" s="312"/>
      <c r="LLW745" s="312"/>
      <c r="LLX745" s="312"/>
      <c r="LLY745" s="312"/>
      <c r="LLZ745" s="312"/>
      <c r="LMA745" s="312"/>
      <c r="LMB745" s="312"/>
      <c r="LMC745" s="312"/>
      <c r="LMD745" s="312"/>
      <c r="LME745" s="312"/>
      <c r="LMF745" s="312"/>
      <c r="LMG745" s="312"/>
      <c r="LMH745" s="312"/>
      <c r="LMI745" s="312"/>
      <c r="LMJ745" s="312"/>
      <c r="LMK745" s="312"/>
      <c r="LML745" s="312"/>
      <c r="LMM745" s="312"/>
      <c r="LMN745" s="312"/>
      <c r="LMO745" s="312"/>
      <c r="LMP745" s="312"/>
      <c r="LMQ745" s="312"/>
      <c r="LMR745" s="312"/>
      <c r="LMS745" s="312"/>
      <c r="LMT745" s="312"/>
      <c r="LMU745" s="312"/>
      <c r="LMV745" s="312"/>
      <c r="LMW745" s="312"/>
      <c r="LMX745" s="312"/>
      <c r="LMY745" s="312"/>
      <c r="LMZ745" s="312"/>
      <c r="LNA745" s="312"/>
      <c r="LNB745" s="312"/>
      <c r="LNC745" s="312"/>
      <c r="LND745" s="312"/>
      <c r="LNE745" s="312"/>
      <c r="LNF745" s="312"/>
      <c r="LNG745" s="312"/>
      <c r="LNH745" s="312"/>
      <c r="LNI745" s="312"/>
      <c r="LNJ745" s="312"/>
      <c r="LNK745" s="312"/>
      <c r="LNL745" s="312"/>
      <c r="LNM745" s="312"/>
      <c r="LNN745" s="312"/>
      <c r="LNO745" s="312"/>
      <c r="LNP745" s="312"/>
      <c r="LNQ745" s="312"/>
      <c r="LNR745" s="312"/>
      <c r="LNS745" s="312"/>
      <c r="LNT745" s="312"/>
      <c r="LNU745" s="312"/>
      <c r="LNV745" s="312"/>
      <c r="LNW745" s="312"/>
      <c r="LNX745" s="312"/>
      <c r="LNY745" s="312"/>
      <c r="LNZ745" s="312"/>
      <c r="LOA745" s="312"/>
      <c r="LOB745" s="312"/>
      <c r="LOC745" s="312"/>
      <c r="LOD745" s="312"/>
      <c r="LOE745" s="312"/>
      <c r="LOF745" s="312"/>
      <c r="LOG745" s="312"/>
      <c r="LOH745" s="312"/>
      <c r="LOI745" s="312"/>
      <c r="LOJ745" s="312"/>
      <c r="LOK745" s="312"/>
      <c r="LOL745" s="312"/>
      <c r="LOM745" s="312"/>
      <c r="LON745" s="312"/>
      <c r="LOO745" s="312"/>
      <c r="LOP745" s="312"/>
      <c r="LOQ745" s="312"/>
      <c r="LOR745" s="312"/>
      <c r="LOS745" s="312"/>
      <c r="LOT745" s="312"/>
      <c r="LOU745" s="312"/>
      <c r="LOV745" s="312"/>
      <c r="LOW745" s="312"/>
      <c r="LOX745" s="312"/>
      <c r="LOY745" s="312"/>
      <c r="LOZ745" s="312"/>
      <c r="LPA745" s="312"/>
      <c r="LPB745" s="312"/>
      <c r="LPC745" s="312"/>
      <c r="LPD745" s="312"/>
      <c r="LPE745" s="312"/>
      <c r="LPF745" s="312"/>
      <c r="LPG745" s="312"/>
      <c r="LPH745" s="312"/>
      <c r="LPI745" s="312"/>
      <c r="LPJ745" s="312"/>
      <c r="LPK745" s="312"/>
      <c r="LPL745" s="312"/>
      <c r="LPM745" s="312"/>
      <c r="LPN745" s="312"/>
      <c r="LPO745" s="312"/>
      <c r="LPP745" s="312"/>
      <c r="LPQ745" s="312"/>
      <c r="LPR745" s="312"/>
      <c r="LPS745" s="312"/>
      <c r="LPT745" s="312"/>
      <c r="LPU745" s="312"/>
      <c r="LPV745" s="312"/>
      <c r="LPW745" s="312"/>
      <c r="LPX745" s="312"/>
      <c r="LPY745" s="312"/>
      <c r="LPZ745" s="312"/>
      <c r="LQA745" s="312"/>
      <c r="LQB745" s="312"/>
      <c r="LQC745" s="312"/>
      <c r="LQD745" s="312"/>
      <c r="LQE745" s="312"/>
      <c r="LQF745" s="312"/>
      <c r="LQG745" s="312"/>
      <c r="LQH745" s="312"/>
      <c r="LQI745" s="312"/>
      <c r="LQJ745" s="312"/>
      <c r="LQK745" s="312"/>
      <c r="LQL745" s="312"/>
      <c r="LQM745" s="312"/>
      <c r="LQN745" s="312"/>
      <c r="LQO745" s="312"/>
      <c r="LQP745" s="312"/>
      <c r="LQQ745" s="312"/>
      <c r="LQR745" s="312"/>
      <c r="LQS745" s="312"/>
      <c r="LQT745" s="312"/>
      <c r="LQU745" s="312"/>
      <c r="LQV745" s="312"/>
      <c r="LQW745" s="312"/>
      <c r="LQX745" s="312"/>
      <c r="LQY745" s="312"/>
      <c r="LQZ745" s="312"/>
      <c r="LRA745" s="312"/>
      <c r="LRB745" s="312"/>
      <c r="LRC745" s="312"/>
      <c r="LRD745" s="312"/>
      <c r="LRE745" s="312"/>
      <c r="LRF745" s="312"/>
      <c r="LRG745" s="312"/>
      <c r="LRH745" s="312"/>
      <c r="LRI745" s="312"/>
      <c r="LRJ745" s="312"/>
      <c r="LRK745" s="312"/>
      <c r="LRL745" s="312"/>
      <c r="LRM745" s="312"/>
      <c r="LRN745" s="312"/>
      <c r="LRO745" s="312"/>
      <c r="LRP745" s="312"/>
      <c r="LRQ745" s="312"/>
      <c r="LRR745" s="312"/>
      <c r="LRS745" s="312"/>
      <c r="LRT745" s="312"/>
      <c r="LRU745" s="312"/>
      <c r="LRV745" s="312"/>
      <c r="LRW745" s="312"/>
      <c r="LRX745" s="312"/>
      <c r="LRY745" s="312"/>
      <c r="LRZ745" s="312"/>
      <c r="LSA745" s="312"/>
      <c r="LSB745" s="312"/>
      <c r="LSC745" s="312"/>
      <c r="LSD745" s="312"/>
      <c r="LSE745" s="312"/>
      <c r="LSF745" s="312"/>
      <c r="LSG745" s="312"/>
      <c r="LSH745" s="312"/>
      <c r="LSI745" s="312"/>
      <c r="LSJ745" s="312"/>
      <c r="LSK745" s="312"/>
      <c r="LSL745" s="312"/>
      <c r="LSM745" s="312"/>
      <c r="LSN745" s="312"/>
      <c r="LSO745" s="312"/>
      <c r="LSP745" s="312"/>
      <c r="LSQ745" s="312"/>
      <c r="LSR745" s="312"/>
      <c r="LSS745" s="312"/>
      <c r="LST745" s="312"/>
      <c r="LSU745" s="312"/>
      <c r="LSV745" s="312"/>
      <c r="LSW745" s="312"/>
      <c r="LSX745" s="312"/>
      <c r="LSY745" s="312"/>
      <c r="LSZ745" s="312"/>
      <c r="LTA745" s="312"/>
      <c r="LTB745" s="312"/>
      <c r="LTC745" s="312"/>
      <c r="LTD745" s="312"/>
      <c r="LTE745" s="312"/>
      <c r="LTF745" s="312"/>
      <c r="LTG745" s="312"/>
      <c r="LTH745" s="312"/>
      <c r="LTI745" s="312"/>
      <c r="LTJ745" s="312"/>
      <c r="LTK745" s="312"/>
      <c r="LTL745" s="312"/>
      <c r="LTM745" s="312"/>
      <c r="LTN745" s="312"/>
      <c r="LTO745" s="312"/>
      <c r="LTP745" s="312"/>
      <c r="LTQ745" s="312"/>
      <c r="LTR745" s="312"/>
      <c r="LTS745" s="312"/>
      <c r="LTT745" s="312"/>
      <c r="LTU745" s="312"/>
      <c r="LTV745" s="312"/>
      <c r="LTW745" s="312"/>
      <c r="LTX745" s="312"/>
      <c r="LTY745" s="312"/>
      <c r="LTZ745" s="312"/>
      <c r="LUA745" s="312"/>
      <c r="LUB745" s="312"/>
      <c r="LUC745" s="312"/>
      <c r="LUD745" s="312"/>
      <c r="LUE745" s="312"/>
      <c r="LUF745" s="312"/>
      <c r="LUG745" s="312"/>
      <c r="LUH745" s="312"/>
      <c r="LUI745" s="312"/>
      <c r="LUJ745" s="312"/>
      <c r="LUK745" s="312"/>
      <c r="LUL745" s="312"/>
      <c r="LUM745" s="312"/>
      <c r="LUN745" s="312"/>
      <c r="LUO745" s="312"/>
      <c r="LUP745" s="312"/>
      <c r="LUQ745" s="312"/>
      <c r="LUR745" s="312"/>
      <c r="LUS745" s="312"/>
      <c r="LUT745" s="312"/>
      <c r="LUU745" s="312"/>
      <c r="LUV745" s="312"/>
      <c r="LUW745" s="312"/>
      <c r="LUX745" s="312"/>
      <c r="LUY745" s="312"/>
      <c r="LUZ745" s="312"/>
      <c r="LVA745" s="312"/>
      <c r="LVB745" s="312"/>
      <c r="LVC745" s="312"/>
      <c r="LVD745" s="312"/>
      <c r="LVE745" s="312"/>
      <c r="LVF745" s="312"/>
      <c r="LVG745" s="312"/>
      <c r="LVH745" s="312"/>
      <c r="LVI745" s="312"/>
      <c r="LVJ745" s="312"/>
      <c r="LVK745" s="312"/>
      <c r="LVL745" s="312"/>
      <c r="LVM745" s="312"/>
      <c r="LVN745" s="312"/>
      <c r="LVO745" s="312"/>
      <c r="LVP745" s="312"/>
      <c r="LVQ745" s="312"/>
      <c r="LVR745" s="312"/>
      <c r="LVS745" s="312"/>
      <c r="LVT745" s="312"/>
      <c r="LVU745" s="312"/>
      <c r="LVV745" s="312"/>
      <c r="LVW745" s="312"/>
      <c r="LVX745" s="312"/>
      <c r="LVY745" s="312"/>
      <c r="LVZ745" s="312"/>
      <c r="LWA745" s="312"/>
      <c r="LWB745" s="312"/>
      <c r="LWC745" s="312"/>
      <c r="LWD745" s="312"/>
      <c r="LWE745" s="312"/>
      <c r="LWF745" s="312"/>
      <c r="LWG745" s="312"/>
      <c r="LWH745" s="312"/>
      <c r="LWI745" s="312"/>
      <c r="LWJ745" s="312"/>
      <c r="LWK745" s="312"/>
      <c r="LWL745" s="312"/>
      <c r="LWM745" s="312"/>
      <c r="LWN745" s="312"/>
      <c r="LWO745" s="312"/>
      <c r="LWP745" s="312"/>
      <c r="LWQ745" s="312"/>
      <c r="LWR745" s="312"/>
      <c r="LWS745" s="312"/>
      <c r="LWT745" s="312"/>
      <c r="LWU745" s="312"/>
      <c r="LWV745" s="312"/>
      <c r="LWW745" s="312"/>
      <c r="LWX745" s="312"/>
      <c r="LWY745" s="312"/>
      <c r="LWZ745" s="312"/>
      <c r="LXA745" s="312"/>
      <c r="LXB745" s="312"/>
      <c r="LXC745" s="312"/>
      <c r="LXD745" s="312"/>
      <c r="LXE745" s="312"/>
      <c r="LXF745" s="312"/>
      <c r="LXG745" s="312"/>
      <c r="LXH745" s="312"/>
      <c r="LXI745" s="312"/>
      <c r="LXJ745" s="312"/>
      <c r="LXK745" s="312"/>
      <c r="LXL745" s="312"/>
      <c r="LXM745" s="312"/>
      <c r="LXN745" s="312"/>
      <c r="LXO745" s="312"/>
      <c r="LXP745" s="312"/>
      <c r="LXQ745" s="312"/>
      <c r="LXR745" s="312"/>
      <c r="LXS745" s="312"/>
      <c r="LXT745" s="312"/>
      <c r="LXU745" s="312"/>
      <c r="LXV745" s="312"/>
      <c r="LXW745" s="312"/>
      <c r="LXX745" s="312"/>
      <c r="LXY745" s="312"/>
      <c r="LXZ745" s="312"/>
      <c r="LYA745" s="312"/>
      <c r="LYB745" s="312"/>
      <c r="LYC745" s="312"/>
      <c r="LYD745" s="312"/>
      <c r="LYE745" s="312"/>
      <c r="LYF745" s="312"/>
      <c r="LYG745" s="312"/>
      <c r="LYH745" s="312"/>
      <c r="LYI745" s="312"/>
      <c r="LYJ745" s="312"/>
      <c r="LYK745" s="312"/>
      <c r="LYL745" s="312"/>
      <c r="LYM745" s="312"/>
      <c r="LYN745" s="312"/>
      <c r="LYO745" s="312"/>
      <c r="LYP745" s="312"/>
      <c r="LYQ745" s="312"/>
      <c r="LYR745" s="312"/>
      <c r="LYS745" s="312"/>
      <c r="LYT745" s="312"/>
      <c r="LYU745" s="312"/>
      <c r="LYV745" s="312"/>
      <c r="LYW745" s="312"/>
      <c r="LYX745" s="312"/>
      <c r="LYY745" s="312"/>
      <c r="LYZ745" s="312"/>
      <c r="LZA745" s="312"/>
      <c r="LZB745" s="312"/>
      <c r="LZC745" s="312"/>
      <c r="LZD745" s="312"/>
      <c r="LZE745" s="312"/>
      <c r="LZF745" s="312"/>
      <c r="LZG745" s="312"/>
      <c r="LZH745" s="312"/>
      <c r="LZI745" s="312"/>
      <c r="LZJ745" s="312"/>
      <c r="LZK745" s="312"/>
      <c r="LZL745" s="312"/>
      <c r="LZM745" s="312"/>
      <c r="LZN745" s="312"/>
      <c r="LZO745" s="312"/>
      <c r="LZP745" s="312"/>
      <c r="LZQ745" s="312"/>
      <c r="LZR745" s="312"/>
      <c r="LZS745" s="312"/>
      <c r="LZT745" s="312"/>
      <c r="LZU745" s="312"/>
      <c r="LZV745" s="312"/>
      <c r="LZW745" s="312"/>
      <c r="LZX745" s="312"/>
      <c r="LZY745" s="312"/>
      <c r="LZZ745" s="312"/>
      <c r="MAA745" s="312"/>
      <c r="MAB745" s="312"/>
      <c r="MAC745" s="312"/>
      <c r="MAD745" s="312"/>
      <c r="MAE745" s="312"/>
      <c r="MAF745" s="312"/>
      <c r="MAG745" s="312"/>
      <c r="MAH745" s="312"/>
      <c r="MAI745" s="312"/>
      <c r="MAJ745" s="312"/>
      <c r="MAK745" s="312"/>
      <c r="MAL745" s="312"/>
      <c r="MAM745" s="312"/>
      <c r="MAN745" s="312"/>
      <c r="MAO745" s="312"/>
      <c r="MAP745" s="312"/>
      <c r="MAQ745" s="312"/>
      <c r="MAR745" s="312"/>
      <c r="MAS745" s="312"/>
      <c r="MAT745" s="312"/>
      <c r="MAU745" s="312"/>
      <c r="MAV745" s="312"/>
      <c r="MAW745" s="312"/>
      <c r="MAX745" s="312"/>
      <c r="MAY745" s="312"/>
      <c r="MAZ745" s="312"/>
      <c r="MBA745" s="312"/>
      <c r="MBB745" s="312"/>
      <c r="MBC745" s="312"/>
      <c r="MBD745" s="312"/>
      <c r="MBE745" s="312"/>
      <c r="MBF745" s="312"/>
      <c r="MBG745" s="312"/>
      <c r="MBH745" s="312"/>
      <c r="MBI745" s="312"/>
      <c r="MBJ745" s="312"/>
      <c r="MBK745" s="312"/>
      <c r="MBL745" s="312"/>
      <c r="MBM745" s="312"/>
      <c r="MBN745" s="312"/>
      <c r="MBO745" s="312"/>
      <c r="MBP745" s="312"/>
      <c r="MBQ745" s="312"/>
      <c r="MBR745" s="312"/>
      <c r="MBS745" s="312"/>
      <c r="MBT745" s="312"/>
      <c r="MBU745" s="312"/>
      <c r="MBV745" s="312"/>
      <c r="MBW745" s="312"/>
      <c r="MBX745" s="312"/>
      <c r="MBY745" s="312"/>
      <c r="MBZ745" s="312"/>
      <c r="MCA745" s="312"/>
      <c r="MCB745" s="312"/>
      <c r="MCC745" s="312"/>
      <c r="MCD745" s="312"/>
      <c r="MCE745" s="312"/>
      <c r="MCF745" s="312"/>
      <c r="MCG745" s="312"/>
      <c r="MCH745" s="312"/>
      <c r="MCI745" s="312"/>
      <c r="MCJ745" s="312"/>
      <c r="MCK745" s="312"/>
      <c r="MCL745" s="312"/>
      <c r="MCM745" s="312"/>
      <c r="MCN745" s="312"/>
      <c r="MCO745" s="312"/>
      <c r="MCP745" s="312"/>
      <c r="MCQ745" s="312"/>
      <c r="MCR745" s="312"/>
      <c r="MCS745" s="312"/>
      <c r="MCT745" s="312"/>
      <c r="MCU745" s="312"/>
      <c r="MCV745" s="312"/>
      <c r="MCW745" s="312"/>
      <c r="MCX745" s="312"/>
      <c r="MCY745" s="312"/>
      <c r="MCZ745" s="312"/>
      <c r="MDA745" s="312"/>
      <c r="MDB745" s="312"/>
      <c r="MDC745" s="312"/>
      <c r="MDD745" s="312"/>
      <c r="MDE745" s="312"/>
      <c r="MDF745" s="312"/>
      <c r="MDG745" s="312"/>
      <c r="MDH745" s="312"/>
      <c r="MDI745" s="312"/>
      <c r="MDJ745" s="312"/>
      <c r="MDK745" s="312"/>
      <c r="MDL745" s="312"/>
      <c r="MDM745" s="312"/>
      <c r="MDN745" s="312"/>
      <c r="MDO745" s="312"/>
      <c r="MDP745" s="312"/>
      <c r="MDQ745" s="312"/>
      <c r="MDR745" s="312"/>
      <c r="MDS745" s="312"/>
      <c r="MDT745" s="312"/>
      <c r="MDU745" s="312"/>
      <c r="MDV745" s="312"/>
      <c r="MDW745" s="312"/>
      <c r="MDX745" s="312"/>
      <c r="MDY745" s="312"/>
      <c r="MDZ745" s="312"/>
      <c r="MEA745" s="312"/>
      <c r="MEB745" s="312"/>
      <c r="MEC745" s="312"/>
      <c r="MED745" s="312"/>
      <c r="MEE745" s="312"/>
      <c r="MEF745" s="312"/>
      <c r="MEG745" s="312"/>
      <c r="MEH745" s="312"/>
      <c r="MEI745" s="312"/>
      <c r="MEJ745" s="312"/>
      <c r="MEK745" s="312"/>
      <c r="MEL745" s="312"/>
      <c r="MEM745" s="312"/>
      <c r="MEN745" s="312"/>
      <c r="MEO745" s="312"/>
      <c r="MEP745" s="312"/>
      <c r="MEQ745" s="312"/>
      <c r="MER745" s="312"/>
      <c r="MES745" s="312"/>
      <c r="MET745" s="312"/>
      <c r="MEU745" s="312"/>
      <c r="MEV745" s="312"/>
      <c r="MEW745" s="312"/>
      <c r="MEX745" s="312"/>
      <c r="MEY745" s="312"/>
      <c r="MEZ745" s="312"/>
      <c r="MFA745" s="312"/>
      <c r="MFB745" s="312"/>
      <c r="MFC745" s="312"/>
      <c r="MFD745" s="312"/>
      <c r="MFE745" s="312"/>
      <c r="MFF745" s="312"/>
      <c r="MFG745" s="312"/>
      <c r="MFH745" s="312"/>
      <c r="MFI745" s="312"/>
      <c r="MFJ745" s="312"/>
      <c r="MFK745" s="312"/>
      <c r="MFL745" s="312"/>
      <c r="MFM745" s="312"/>
      <c r="MFN745" s="312"/>
      <c r="MFO745" s="312"/>
      <c r="MFP745" s="312"/>
      <c r="MFQ745" s="312"/>
      <c r="MFR745" s="312"/>
      <c r="MFS745" s="312"/>
      <c r="MFT745" s="312"/>
      <c r="MFU745" s="312"/>
      <c r="MFV745" s="312"/>
      <c r="MFW745" s="312"/>
      <c r="MFX745" s="312"/>
      <c r="MFY745" s="312"/>
      <c r="MFZ745" s="312"/>
      <c r="MGA745" s="312"/>
      <c r="MGB745" s="312"/>
      <c r="MGC745" s="312"/>
      <c r="MGD745" s="312"/>
      <c r="MGE745" s="312"/>
      <c r="MGF745" s="312"/>
      <c r="MGG745" s="312"/>
      <c r="MGH745" s="312"/>
      <c r="MGI745" s="312"/>
      <c r="MGJ745" s="312"/>
      <c r="MGK745" s="312"/>
      <c r="MGL745" s="312"/>
      <c r="MGM745" s="312"/>
      <c r="MGN745" s="312"/>
      <c r="MGO745" s="312"/>
      <c r="MGP745" s="312"/>
      <c r="MGQ745" s="312"/>
      <c r="MGR745" s="312"/>
      <c r="MGS745" s="312"/>
      <c r="MGT745" s="312"/>
      <c r="MGU745" s="312"/>
      <c r="MGV745" s="312"/>
      <c r="MGW745" s="312"/>
      <c r="MGX745" s="312"/>
      <c r="MGY745" s="312"/>
      <c r="MGZ745" s="312"/>
      <c r="MHA745" s="312"/>
      <c r="MHB745" s="312"/>
      <c r="MHC745" s="312"/>
      <c r="MHD745" s="312"/>
      <c r="MHE745" s="312"/>
      <c r="MHF745" s="312"/>
      <c r="MHG745" s="312"/>
      <c r="MHH745" s="312"/>
      <c r="MHI745" s="312"/>
      <c r="MHJ745" s="312"/>
      <c r="MHK745" s="312"/>
      <c r="MHL745" s="312"/>
      <c r="MHM745" s="312"/>
      <c r="MHN745" s="312"/>
      <c r="MHO745" s="312"/>
      <c r="MHP745" s="312"/>
      <c r="MHQ745" s="312"/>
      <c r="MHR745" s="312"/>
      <c r="MHS745" s="312"/>
      <c r="MHT745" s="312"/>
      <c r="MHU745" s="312"/>
      <c r="MHV745" s="312"/>
      <c r="MHW745" s="312"/>
      <c r="MHX745" s="312"/>
      <c r="MHY745" s="312"/>
      <c r="MHZ745" s="312"/>
      <c r="MIA745" s="312"/>
      <c r="MIB745" s="312"/>
      <c r="MIC745" s="312"/>
      <c r="MID745" s="312"/>
      <c r="MIE745" s="312"/>
      <c r="MIF745" s="312"/>
      <c r="MIG745" s="312"/>
      <c r="MIH745" s="312"/>
      <c r="MII745" s="312"/>
      <c r="MIJ745" s="312"/>
      <c r="MIK745" s="312"/>
      <c r="MIL745" s="312"/>
      <c r="MIM745" s="312"/>
      <c r="MIN745" s="312"/>
      <c r="MIO745" s="312"/>
      <c r="MIP745" s="312"/>
      <c r="MIQ745" s="312"/>
      <c r="MIR745" s="312"/>
      <c r="MIS745" s="312"/>
      <c r="MIT745" s="312"/>
      <c r="MIU745" s="312"/>
      <c r="MIV745" s="312"/>
      <c r="MIW745" s="312"/>
      <c r="MIX745" s="312"/>
      <c r="MIY745" s="312"/>
      <c r="MIZ745" s="312"/>
      <c r="MJA745" s="312"/>
      <c r="MJB745" s="312"/>
      <c r="MJC745" s="312"/>
      <c r="MJD745" s="312"/>
      <c r="MJE745" s="312"/>
      <c r="MJF745" s="312"/>
      <c r="MJG745" s="312"/>
      <c r="MJH745" s="312"/>
      <c r="MJI745" s="312"/>
      <c r="MJJ745" s="312"/>
      <c r="MJK745" s="312"/>
      <c r="MJL745" s="312"/>
      <c r="MJM745" s="312"/>
      <c r="MJN745" s="312"/>
      <c r="MJO745" s="312"/>
      <c r="MJP745" s="312"/>
      <c r="MJQ745" s="312"/>
      <c r="MJR745" s="312"/>
      <c r="MJS745" s="312"/>
      <c r="MJT745" s="312"/>
      <c r="MJU745" s="312"/>
      <c r="MJV745" s="312"/>
      <c r="MJW745" s="312"/>
      <c r="MJX745" s="312"/>
      <c r="MJY745" s="312"/>
      <c r="MJZ745" s="312"/>
      <c r="MKA745" s="312"/>
      <c r="MKB745" s="312"/>
      <c r="MKC745" s="312"/>
      <c r="MKD745" s="312"/>
      <c r="MKE745" s="312"/>
      <c r="MKF745" s="312"/>
      <c r="MKG745" s="312"/>
      <c r="MKH745" s="312"/>
      <c r="MKI745" s="312"/>
      <c r="MKJ745" s="312"/>
      <c r="MKK745" s="312"/>
      <c r="MKL745" s="312"/>
      <c r="MKM745" s="312"/>
      <c r="MKN745" s="312"/>
      <c r="MKO745" s="312"/>
      <c r="MKP745" s="312"/>
      <c r="MKQ745" s="312"/>
      <c r="MKR745" s="312"/>
      <c r="MKS745" s="312"/>
      <c r="MKT745" s="312"/>
      <c r="MKU745" s="312"/>
      <c r="MKV745" s="312"/>
      <c r="MKW745" s="312"/>
      <c r="MKX745" s="312"/>
      <c r="MKY745" s="312"/>
      <c r="MKZ745" s="312"/>
      <c r="MLA745" s="312"/>
      <c r="MLB745" s="312"/>
      <c r="MLC745" s="312"/>
      <c r="MLD745" s="312"/>
      <c r="MLE745" s="312"/>
      <c r="MLF745" s="312"/>
      <c r="MLG745" s="312"/>
      <c r="MLH745" s="312"/>
      <c r="MLI745" s="312"/>
      <c r="MLJ745" s="312"/>
      <c r="MLK745" s="312"/>
      <c r="MLL745" s="312"/>
      <c r="MLM745" s="312"/>
      <c r="MLN745" s="312"/>
      <c r="MLO745" s="312"/>
      <c r="MLP745" s="312"/>
      <c r="MLQ745" s="312"/>
      <c r="MLR745" s="312"/>
      <c r="MLS745" s="312"/>
      <c r="MLT745" s="312"/>
      <c r="MLU745" s="312"/>
      <c r="MLV745" s="312"/>
      <c r="MLW745" s="312"/>
      <c r="MLX745" s="312"/>
      <c r="MLY745" s="312"/>
      <c r="MLZ745" s="312"/>
      <c r="MMA745" s="312"/>
      <c r="MMB745" s="312"/>
      <c r="MMC745" s="312"/>
      <c r="MMD745" s="312"/>
      <c r="MME745" s="312"/>
      <c r="MMF745" s="312"/>
      <c r="MMG745" s="312"/>
      <c r="MMH745" s="312"/>
      <c r="MMI745" s="312"/>
      <c r="MMJ745" s="312"/>
      <c r="MMK745" s="312"/>
      <c r="MML745" s="312"/>
      <c r="MMM745" s="312"/>
      <c r="MMN745" s="312"/>
      <c r="MMO745" s="312"/>
      <c r="MMP745" s="312"/>
      <c r="MMQ745" s="312"/>
      <c r="MMR745" s="312"/>
      <c r="MMS745" s="312"/>
      <c r="MMT745" s="312"/>
      <c r="MMU745" s="312"/>
      <c r="MMV745" s="312"/>
      <c r="MMW745" s="312"/>
      <c r="MMX745" s="312"/>
      <c r="MMY745" s="312"/>
      <c r="MMZ745" s="312"/>
      <c r="MNA745" s="312"/>
      <c r="MNB745" s="312"/>
      <c r="MNC745" s="312"/>
      <c r="MND745" s="312"/>
      <c r="MNE745" s="312"/>
      <c r="MNF745" s="312"/>
      <c r="MNG745" s="312"/>
      <c r="MNH745" s="312"/>
      <c r="MNI745" s="312"/>
      <c r="MNJ745" s="312"/>
      <c r="MNK745" s="312"/>
      <c r="MNL745" s="312"/>
      <c r="MNM745" s="312"/>
      <c r="MNN745" s="312"/>
      <c r="MNO745" s="312"/>
      <c r="MNP745" s="312"/>
      <c r="MNQ745" s="312"/>
      <c r="MNR745" s="312"/>
      <c r="MNS745" s="312"/>
      <c r="MNT745" s="312"/>
      <c r="MNU745" s="312"/>
      <c r="MNV745" s="312"/>
      <c r="MNW745" s="312"/>
      <c r="MNX745" s="312"/>
      <c r="MNY745" s="312"/>
      <c r="MNZ745" s="312"/>
      <c r="MOA745" s="312"/>
      <c r="MOB745" s="312"/>
      <c r="MOC745" s="312"/>
      <c r="MOD745" s="312"/>
      <c r="MOE745" s="312"/>
      <c r="MOF745" s="312"/>
      <c r="MOG745" s="312"/>
      <c r="MOH745" s="312"/>
      <c r="MOI745" s="312"/>
      <c r="MOJ745" s="312"/>
      <c r="MOK745" s="312"/>
      <c r="MOL745" s="312"/>
      <c r="MOM745" s="312"/>
      <c r="MON745" s="312"/>
      <c r="MOO745" s="312"/>
      <c r="MOP745" s="312"/>
      <c r="MOQ745" s="312"/>
      <c r="MOR745" s="312"/>
      <c r="MOS745" s="312"/>
      <c r="MOT745" s="312"/>
      <c r="MOU745" s="312"/>
      <c r="MOV745" s="312"/>
      <c r="MOW745" s="312"/>
      <c r="MOX745" s="312"/>
      <c r="MOY745" s="312"/>
      <c r="MOZ745" s="312"/>
      <c r="MPA745" s="312"/>
      <c r="MPB745" s="312"/>
      <c r="MPC745" s="312"/>
      <c r="MPD745" s="312"/>
      <c r="MPE745" s="312"/>
      <c r="MPF745" s="312"/>
      <c r="MPG745" s="312"/>
      <c r="MPH745" s="312"/>
      <c r="MPI745" s="312"/>
      <c r="MPJ745" s="312"/>
      <c r="MPK745" s="312"/>
      <c r="MPL745" s="312"/>
      <c r="MPM745" s="312"/>
      <c r="MPN745" s="312"/>
      <c r="MPO745" s="312"/>
      <c r="MPP745" s="312"/>
      <c r="MPQ745" s="312"/>
      <c r="MPR745" s="312"/>
      <c r="MPS745" s="312"/>
      <c r="MPT745" s="312"/>
      <c r="MPU745" s="312"/>
      <c r="MPV745" s="312"/>
      <c r="MPW745" s="312"/>
      <c r="MPX745" s="312"/>
      <c r="MPY745" s="312"/>
      <c r="MPZ745" s="312"/>
      <c r="MQA745" s="312"/>
      <c r="MQB745" s="312"/>
      <c r="MQC745" s="312"/>
      <c r="MQD745" s="312"/>
      <c r="MQE745" s="312"/>
      <c r="MQF745" s="312"/>
      <c r="MQG745" s="312"/>
      <c r="MQH745" s="312"/>
      <c r="MQI745" s="312"/>
      <c r="MQJ745" s="312"/>
      <c r="MQK745" s="312"/>
      <c r="MQL745" s="312"/>
      <c r="MQM745" s="312"/>
      <c r="MQN745" s="312"/>
      <c r="MQO745" s="312"/>
      <c r="MQP745" s="312"/>
      <c r="MQQ745" s="312"/>
      <c r="MQR745" s="312"/>
      <c r="MQS745" s="312"/>
      <c r="MQT745" s="312"/>
      <c r="MQU745" s="312"/>
      <c r="MQV745" s="312"/>
      <c r="MQW745" s="312"/>
      <c r="MQX745" s="312"/>
      <c r="MQY745" s="312"/>
      <c r="MQZ745" s="312"/>
      <c r="MRA745" s="312"/>
      <c r="MRB745" s="312"/>
      <c r="MRC745" s="312"/>
      <c r="MRD745" s="312"/>
      <c r="MRE745" s="312"/>
      <c r="MRF745" s="312"/>
      <c r="MRG745" s="312"/>
      <c r="MRH745" s="312"/>
      <c r="MRI745" s="312"/>
      <c r="MRJ745" s="312"/>
      <c r="MRK745" s="312"/>
      <c r="MRL745" s="312"/>
      <c r="MRM745" s="312"/>
      <c r="MRN745" s="312"/>
      <c r="MRO745" s="312"/>
      <c r="MRP745" s="312"/>
      <c r="MRQ745" s="312"/>
      <c r="MRR745" s="312"/>
      <c r="MRS745" s="312"/>
      <c r="MRT745" s="312"/>
      <c r="MRU745" s="312"/>
      <c r="MRV745" s="312"/>
      <c r="MRW745" s="312"/>
      <c r="MRX745" s="312"/>
      <c r="MRY745" s="312"/>
      <c r="MRZ745" s="312"/>
      <c r="MSA745" s="312"/>
      <c r="MSB745" s="312"/>
      <c r="MSC745" s="312"/>
      <c r="MSD745" s="312"/>
      <c r="MSE745" s="312"/>
      <c r="MSF745" s="312"/>
      <c r="MSG745" s="312"/>
      <c r="MSH745" s="312"/>
      <c r="MSI745" s="312"/>
      <c r="MSJ745" s="312"/>
      <c r="MSK745" s="312"/>
      <c r="MSL745" s="312"/>
      <c r="MSM745" s="312"/>
      <c r="MSN745" s="312"/>
      <c r="MSO745" s="312"/>
      <c r="MSP745" s="312"/>
      <c r="MSQ745" s="312"/>
      <c r="MSR745" s="312"/>
      <c r="MSS745" s="312"/>
      <c r="MST745" s="312"/>
      <c r="MSU745" s="312"/>
      <c r="MSV745" s="312"/>
      <c r="MSW745" s="312"/>
      <c r="MSX745" s="312"/>
      <c r="MSY745" s="312"/>
      <c r="MSZ745" s="312"/>
      <c r="MTA745" s="312"/>
      <c r="MTB745" s="312"/>
      <c r="MTC745" s="312"/>
      <c r="MTD745" s="312"/>
      <c r="MTE745" s="312"/>
      <c r="MTF745" s="312"/>
      <c r="MTG745" s="312"/>
      <c r="MTH745" s="312"/>
      <c r="MTI745" s="312"/>
      <c r="MTJ745" s="312"/>
      <c r="MTK745" s="312"/>
      <c r="MTL745" s="312"/>
      <c r="MTM745" s="312"/>
      <c r="MTN745" s="312"/>
      <c r="MTO745" s="312"/>
      <c r="MTP745" s="312"/>
      <c r="MTQ745" s="312"/>
      <c r="MTR745" s="312"/>
      <c r="MTS745" s="312"/>
      <c r="MTT745" s="312"/>
      <c r="MTU745" s="312"/>
      <c r="MTV745" s="312"/>
      <c r="MTW745" s="312"/>
      <c r="MTX745" s="312"/>
      <c r="MTY745" s="312"/>
      <c r="MTZ745" s="312"/>
      <c r="MUA745" s="312"/>
      <c r="MUB745" s="312"/>
      <c r="MUC745" s="312"/>
      <c r="MUD745" s="312"/>
      <c r="MUE745" s="312"/>
      <c r="MUF745" s="312"/>
      <c r="MUG745" s="312"/>
      <c r="MUH745" s="312"/>
      <c r="MUI745" s="312"/>
      <c r="MUJ745" s="312"/>
      <c r="MUK745" s="312"/>
      <c r="MUL745" s="312"/>
      <c r="MUM745" s="312"/>
      <c r="MUN745" s="312"/>
      <c r="MUO745" s="312"/>
      <c r="MUP745" s="312"/>
      <c r="MUQ745" s="312"/>
      <c r="MUR745" s="312"/>
      <c r="MUS745" s="312"/>
      <c r="MUT745" s="312"/>
      <c r="MUU745" s="312"/>
      <c r="MUV745" s="312"/>
      <c r="MUW745" s="312"/>
      <c r="MUX745" s="312"/>
      <c r="MUY745" s="312"/>
      <c r="MUZ745" s="312"/>
      <c r="MVA745" s="312"/>
      <c r="MVB745" s="312"/>
      <c r="MVC745" s="312"/>
      <c r="MVD745" s="312"/>
      <c r="MVE745" s="312"/>
      <c r="MVF745" s="312"/>
      <c r="MVG745" s="312"/>
      <c r="MVH745" s="312"/>
      <c r="MVI745" s="312"/>
      <c r="MVJ745" s="312"/>
      <c r="MVK745" s="312"/>
      <c r="MVL745" s="312"/>
      <c r="MVM745" s="312"/>
      <c r="MVN745" s="312"/>
      <c r="MVO745" s="312"/>
      <c r="MVP745" s="312"/>
      <c r="MVQ745" s="312"/>
      <c r="MVR745" s="312"/>
      <c r="MVS745" s="312"/>
      <c r="MVT745" s="312"/>
      <c r="MVU745" s="312"/>
      <c r="MVV745" s="312"/>
      <c r="MVW745" s="312"/>
      <c r="MVX745" s="312"/>
      <c r="MVY745" s="312"/>
      <c r="MVZ745" s="312"/>
      <c r="MWA745" s="312"/>
      <c r="MWB745" s="312"/>
      <c r="MWC745" s="312"/>
      <c r="MWD745" s="312"/>
      <c r="MWE745" s="312"/>
      <c r="MWF745" s="312"/>
      <c r="MWG745" s="312"/>
      <c r="MWH745" s="312"/>
      <c r="MWI745" s="312"/>
      <c r="MWJ745" s="312"/>
      <c r="MWK745" s="312"/>
      <c r="MWL745" s="312"/>
      <c r="MWM745" s="312"/>
      <c r="MWN745" s="312"/>
      <c r="MWO745" s="312"/>
      <c r="MWP745" s="312"/>
      <c r="MWQ745" s="312"/>
      <c r="MWR745" s="312"/>
      <c r="MWS745" s="312"/>
      <c r="MWT745" s="312"/>
      <c r="MWU745" s="312"/>
      <c r="MWV745" s="312"/>
      <c r="MWW745" s="312"/>
      <c r="MWX745" s="312"/>
      <c r="MWY745" s="312"/>
      <c r="MWZ745" s="312"/>
      <c r="MXA745" s="312"/>
      <c r="MXB745" s="312"/>
      <c r="MXC745" s="312"/>
      <c r="MXD745" s="312"/>
      <c r="MXE745" s="312"/>
      <c r="MXF745" s="312"/>
      <c r="MXG745" s="312"/>
      <c r="MXH745" s="312"/>
      <c r="MXI745" s="312"/>
      <c r="MXJ745" s="312"/>
      <c r="MXK745" s="312"/>
      <c r="MXL745" s="312"/>
      <c r="MXM745" s="312"/>
      <c r="MXN745" s="312"/>
      <c r="MXO745" s="312"/>
      <c r="MXP745" s="312"/>
      <c r="MXQ745" s="312"/>
      <c r="MXR745" s="312"/>
      <c r="MXS745" s="312"/>
      <c r="MXT745" s="312"/>
      <c r="MXU745" s="312"/>
      <c r="MXV745" s="312"/>
      <c r="MXW745" s="312"/>
      <c r="MXX745" s="312"/>
      <c r="MXY745" s="312"/>
      <c r="MXZ745" s="312"/>
      <c r="MYA745" s="312"/>
      <c r="MYB745" s="312"/>
      <c r="MYC745" s="312"/>
      <c r="MYD745" s="312"/>
      <c r="MYE745" s="312"/>
      <c r="MYF745" s="312"/>
      <c r="MYG745" s="312"/>
      <c r="MYH745" s="312"/>
      <c r="MYI745" s="312"/>
      <c r="MYJ745" s="312"/>
      <c r="MYK745" s="312"/>
      <c r="MYL745" s="312"/>
      <c r="MYM745" s="312"/>
      <c r="MYN745" s="312"/>
      <c r="MYO745" s="312"/>
      <c r="MYP745" s="312"/>
      <c r="MYQ745" s="312"/>
      <c r="MYR745" s="312"/>
      <c r="MYS745" s="312"/>
      <c r="MYT745" s="312"/>
      <c r="MYU745" s="312"/>
      <c r="MYV745" s="312"/>
      <c r="MYW745" s="312"/>
      <c r="MYX745" s="312"/>
      <c r="MYY745" s="312"/>
      <c r="MYZ745" s="312"/>
      <c r="MZA745" s="312"/>
      <c r="MZB745" s="312"/>
      <c r="MZC745" s="312"/>
      <c r="MZD745" s="312"/>
      <c r="MZE745" s="312"/>
      <c r="MZF745" s="312"/>
      <c r="MZG745" s="312"/>
      <c r="MZH745" s="312"/>
      <c r="MZI745" s="312"/>
      <c r="MZJ745" s="312"/>
      <c r="MZK745" s="312"/>
      <c r="MZL745" s="312"/>
      <c r="MZM745" s="312"/>
      <c r="MZN745" s="312"/>
      <c r="MZO745" s="312"/>
      <c r="MZP745" s="312"/>
      <c r="MZQ745" s="312"/>
      <c r="MZR745" s="312"/>
      <c r="MZS745" s="312"/>
      <c r="MZT745" s="312"/>
      <c r="MZU745" s="312"/>
      <c r="MZV745" s="312"/>
      <c r="MZW745" s="312"/>
      <c r="MZX745" s="312"/>
      <c r="MZY745" s="312"/>
      <c r="MZZ745" s="312"/>
      <c r="NAA745" s="312"/>
      <c r="NAB745" s="312"/>
      <c r="NAC745" s="312"/>
      <c r="NAD745" s="312"/>
      <c r="NAE745" s="312"/>
      <c r="NAF745" s="312"/>
      <c r="NAG745" s="312"/>
      <c r="NAH745" s="312"/>
      <c r="NAI745" s="312"/>
      <c r="NAJ745" s="312"/>
      <c r="NAK745" s="312"/>
      <c r="NAL745" s="312"/>
      <c r="NAM745" s="312"/>
      <c r="NAN745" s="312"/>
      <c r="NAO745" s="312"/>
      <c r="NAP745" s="312"/>
      <c r="NAQ745" s="312"/>
      <c r="NAR745" s="312"/>
      <c r="NAS745" s="312"/>
      <c r="NAT745" s="312"/>
      <c r="NAU745" s="312"/>
      <c r="NAV745" s="312"/>
      <c r="NAW745" s="312"/>
      <c r="NAX745" s="312"/>
      <c r="NAY745" s="312"/>
      <c r="NAZ745" s="312"/>
      <c r="NBA745" s="312"/>
      <c r="NBB745" s="312"/>
      <c r="NBC745" s="312"/>
      <c r="NBD745" s="312"/>
      <c r="NBE745" s="312"/>
      <c r="NBF745" s="312"/>
      <c r="NBG745" s="312"/>
      <c r="NBH745" s="312"/>
      <c r="NBI745" s="312"/>
      <c r="NBJ745" s="312"/>
      <c r="NBK745" s="312"/>
      <c r="NBL745" s="312"/>
      <c r="NBM745" s="312"/>
      <c r="NBN745" s="312"/>
      <c r="NBO745" s="312"/>
      <c r="NBP745" s="312"/>
      <c r="NBQ745" s="312"/>
      <c r="NBR745" s="312"/>
      <c r="NBS745" s="312"/>
      <c r="NBT745" s="312"/>
      <c r="NBU745" s="312"/>
      <c r="NBV745" s="312"/>
      <c r="NBW745" s="312"/>
      <c r="NBX745" s="312"/>
      <c r="NBY745" s="312"/>
      <c r="NBZ745" s="312"/>
      <c r="NCA745" s="312"/>
      <c r="NCB745" s="312"/>
      <c r="NCC745" s="312"/>
      <c r="NCD745" s="312"/>
      <c r="NCE745" s="312"/>
      <c r="NCF745" s="312"/>
      <c r="NCG745" s="312"/>
      <c r="NCH745" s="312"/>
      <c r="NCI745" s="312"/>
      <c r="NCJ745" s="312"/>
      <c r="NCK745" s="312"/>
      <c r="NCL745" s="312"/>
      <c r="NCM745" s="312"/>
      <c r="NCN745" s="312"/>
      <c r="NCO745" s="312"/>
      <c r="NCP745" s="312"/>
      <c r="NCQ745" s="312"/>
      <c r="NCR745" s="312"/>
      <c r="NCS745" s="312"/>
      <c r="NCT745" s="312"/>
      <c r="NCU745" s="312"/>
      <c r="NCV745" s="312"/>
      <c r="NCW745" s="312"/>
      <c r="NCX745" s="312"/>
      <c r="NCY745" s="312"/>
      <c r="NCZ745" s="312"/>
      <c r="NDA745" s="312"/>
      <c r="NDB745" s="312"/>
      <c r="NDC745" s="312"/>
      <c r="NDD745" s="312"/>
      <c r="NDE745" s="312"/>
      <c r="NDF745" s="312"/>
      <c r="NDG745" s="312"/>
      <c r="NDH745" s="312"/>
      <c r="NDI745" s="312"/>
      <c r="NDJ745" s="312"/>
      <c r="NDK745" s="312"/>
      <c r="NDL745" s="312"/>
      <c r="NDM745" s="312"/>
      <c r="NDN745" s="312"/>
      <c r="NDO745" s="312"/>
      <c r="NDP745" s="312"/>
      <c r="NDQ745" s="312"/>
      <c r="NDR745" s="312"/>
      <c r="NDS745" s="312"/>
      <c r="NDT745" s="312"/>
      <c r="NDU745" s="312"/>
      <c r="NDV745" s="312"/>
      <c r="NDW745" s="312"/>
      <c r="NDX745" s="312"/>
      <c r="NDY745" s="312"/>
      <c r="NDZ745" s="312"/>
      <c r="NEA745" s="312"/>
      <c r="NEB745" s="312"/>
      <c r="NEC745" s="312"/>
      <c r="NED745" s="312"/>
      <c r="NEE745" s="312"/>
      <c r="NEF745" s="312"/>
      <c r="NEG745" s="312"/>
      <c r="NEH745" s="312"/>
      <c r="NEI745" s="312"/>
      <c r="NEJ745" s="312"/>
      <c r="NEK745" s="312"/>
      <c r="NEL745" s="312"/>
      <c r="NEM745" s="312"/>
      <c r="NEN745" s="312"/>
      <c r="NEO745" s="312"/>
      <c r="NEP745" s="312"/>
      <c r="NEQ745" s="312"/>
      <c r="NER745" s="312"/>
      <c r="NES745" s="312"/>
      <c r="NET745" s="312"/>
      <c r="NEU745" s="312"/>
      <c r="NEV745" s="312"/>
      <c r="NEW745" s="312"/>
      <c r="NEX745" s="312"/>
      <c r="NEY745" s="312"/>
      <c r="NEZ745" s="312"/>
      <c r="NFA745" s="312"/>
      <c r="NFB745" s="312"/>
      <c r="NFC745" s="312"/>
      <c r="NFD745" s="312"/>
      <c r="NFE745" s="312"/>
      <c r="NFF745" s="312"/>
      <c r="NFG745" s="312"/>
      <c r="NFH745" s="312"/>
      <c r="NFI745" s="312"/>
      <c r="NFJ745" s="312"/>
      <c r="NFK745" s="312"/>
      <c r="NFL745" s="312"/>
      <c r="NFM745" s="312"/>
      <c r="NFN745" s="312"/>
      <c r="NFO745" s="312"/>
      <c r="NFP745" s="312"/>
      <c r="NFQ745" s="312"/>
      <c r="NFR745" s="312"/>
      <c r="NFS745" s="312"/>
      <c r="NFT745" s="312"/>
      <c r="NFU745" s="312"/>
      <c r="NFV745" s="312"/>
      <c r="NFW745" s="312"/>
      <c r="NFX745" s="312"/>
      <c r="NFY745" s="312"/>
      <c r="NFZ745" s="312"/>
      <c r="NGA745" s="312"/>
      <c r="NGB745" s="312"/>
      <c r="NGC745" s="312"/>
      <c r="NGD745" s="312"/>
      <c r="NGE745" s="312"/>
      <c r="NGF745" s="312"/>
      <c r="NGG745" s="312"/>
      <c r="NGH745" s="312"/>
      <c r="NGI745" s="312"/>
      <c r="NGJ745" s="312"/>
      <c r="NGK745" s="312"/>
      <c r="NGL745" s="312"/>
      <c r="NGM745" s="312"/>
      <c r="NGN745" s="312"/>
      <c r="NGO745" s="312"/>
      <c r="NGP745" s="312"/>
      <c r="NGQ745" s="312"/>
      <c r="NGR745" s="312"/>
      <c r="NGS745" s="312"/>
      <c r="NGT745" s="312"/>
      <c r="NGU745" s="312"/>
      <c r="NGV745" s="312"/>
      <c r="NGW745" s="312"/>
      <c r="NGX745" s="312"/>
      <c r="NGY745" s="312"/>
      <c r="NGZ745" s="312"/>
      <c r="NHA745" s="312"/>
      <c r="NHB745" s="312"/>
      <c r="NHC745" s="312"/>
      <c r="NHD745" s="312"/>
      <c r="NHE745" s="312"/>
      <c r="NHF745" s="312"/>
      <c r="NHG745" s="312"/>
      <c r="NHH745" s="312"/>
      <c r="NHI745" s="312"/>
      <c r="NHJ745" s="312"/>
      <c r="NHK745" s="312"/>
      <c r="NHL745" s="312"/>
      <c r="NHM745" s="312"/>
      <c r="NHN745" s="312"/>
      <c r="NHO745" s="312"/>
      <c r="NHP745" s="312"/>
      <c r="NHQ745" s="312"/>
      <c r="NHR745" s="312"/>
      <c r="NHS745" s="312"/>
      <c r="NHT745" s="312"/>
      <c r="NHU745" s="312"/>
      <c r="NHV745" s="312"/>
      <c r="NHW745" s="312"/>
      <c r="NHX745" s="312"/>
      <c r="NHY745" s="312"/>
      <c r="NHZ745" s="312"/>
      <c r="NIA745" s="312"/>
      <c r="NIB745" s="312"/>
      <c r="NIC745" s="312"/>
      <c r="NID745" s="312"/>
      <c r="NIE745" s="312"/>
      <c r="NIF745" s="312"/>
      <c r="NIG745" s="312"/>
      <c r="NIH745" s="312"/>
      <c r="NII745" s="312"/>
      <c r="NIJ745" s="312"/>
      <c r="NIK745" s="312"/>
      <c r="NIL745" s="312"/>
      <c r="NIM745" s="312"/>
      <c r="NIN745" s="312"/>
      <c r="NIO745" s="312"/>
      <c r="NIP745" s="312"/>
      <c r="NIQ745" s="312"/>
      <c r="NIR745" s="312"/>
      <c r="NIS745" s="312"/>
      <c r="NIT745" s="312"/>
      <c r="NIU745" s="312"/>
      <c r="NIV745" s="312"/>
      <c r="NIW745" s="312"/>
      <c r="NIX745" s="312"/>
      <c r="NIY745" s="312"/>
      <c r="NIZ745" s="312"/>
      <c r="NJA745" s="312"/>
      <c r="NJB745" s="312"/>
      <c r="NJC745" s="312"/>
      <c r="NJD745" s="312"/>
      <c r="NJE745" s="312"/>
      <c r="NJF745" s="312"/>
      <c r="NJG745" s="312"/>
      <c r="NJH745" s="312"/>
      <c r="NJI745" s="312"/>
      <c r="NJJ745" s="312"/>
      <c r="NJK745" s="312"/>
      <c r="NJL745" s="312"/>
      <c r="NJM745" s="312"/>
      <c r="NJN745" s="312"/>
      <c r="NJO745" s="312"/>
      <c r="NJP745" s="312"/>
      <c r="NJQ745" s="312"/>
      <c r="NJR745" s="312"/>
      <c r="NJS745" s="312"/>
      <c r="NJT745" s="312"/>
      <c r="NJU745" s="312"/>
      <c r="NJV745" s="312"/>
      <c r="NJW745" s="312"/>
      <c r="NJX745" s="312"/>
      <c r="NJY745" s="312"/>
      <c r="NJZ745" s="312"/>
      <c r="NKA745" s="312"/>
      <c r="NKB745" s="312"/>
      <c r="NKC745" s="312"/>
      <c r="NKD745" s="312"/>
      <c r="NKE745" s="312"/>
      <c r="NKF745" s="312"/>
      <c r="NKG745" s="312"/>
      <c r="NKH745" s="312"/>
      <c r="NKI745" s="312"/>
      <c r="NKJ745" s="312"/>
      <c r="NKK745" s="312"/>
      <c r="NKL745" s="312"/>
      <c r="NKM745" s="312"/>
      <c r="NKN745" s="312"/>
      <c r="NKO745" s="312"/>
      <c r="NKP745" s="312"/>
      <c r="NKQ745" s="312"/>
      <c r="NKR745" s="312"/>
      <c r="NKS745" s="312"/>
      <c r="NKT745" s="312"/>
      <c r="NKU745" s="312"/>
      <c r="NKV745" s="312"/>
      <c r="NKW745" s="312"/>
      <c r="NKX745" s="312"/>
      <c r="NKY745" s="312"/>
      <c r="NKZ745" s="312"/>
      <c r="NLA745" s="312"/>
      <c r="NLB745" s="312"/>
      <c r="NLC745" s="312"/>
      <c r="NLD745" s="312"/>
      <c r="NLE745" s="312"/>
      <c r="NLF745" s="312"/>
      <c r="NLG745" s="312"/>
      <c r="NLH745" s="312"/>
      <c r="NLI745" s="312"/>
      <c r="NLJ745" s="312"/>
      <c r="NLK745" s="312"/>
      <c r="NLL745" s="312"/>
      <c r="NLM745" s="312"/>
      <c r="NLN745" s="312"/>
      <c r="NLO745" s="312"/>
      <c r="NLP745" s="312"/>
      <c r="NLQ745" s="312"/>
      <c r="NLR745" s="312"/>
      <c r="NLS745" s="312"/>
      <c r="NLT745" s="312"/>
      <c r="NLU745" s="312"/>
      <c r="NLV745" s="312"/>
      <c r="NLW745" s="312"/>
      <c r="NLX745" s="312"/>
      <c r="NLY745" s="312"/>
      <c r="NLZ745" s="312"/>
      <c r="NMA745" s="312"/>
      <c r="NMB745" s="312"/>
      <c r="NMC745" s="312"/>
      <c r="NMD745" s="312"/>
      <c r="NME745" s="312"/>
      <c r="NMF745" s="312"/>
      <c r="NMG745" s="312"/>
      <c r="NMH745" s="312"/>
      <c r="NMI745" s="312"/>
      <c r="NMJ745" s="312"/>
      <c r="NMK745" s="312"/>
      <c r="NML745" s="312"/>
      <c r="NMM745" s="312"/>
      <c r="NMN745" s="312"/>
      <c r="NMO745" s="312"/>
      <c r="NMP745" s="312"/>
      <c r="NMQ745" s="312"/>
      <c r="NMR745" s="312"/>
      <c r="NMS745" s="312"/>
      <c r="NMT745" s="312"/>
      <c r="NMU745" s="312"/>
      <c r="NMV745" s="312"/>
      <c r="NMW745" s="312"/>
      <c r="NMX745" s="312"/>
      <c r="NMY745" s="312"/>
      <c r="NMZ745" s="312"/>
      <c r="NNA745" s="312"/>
      <c r="NNB745" s="312"/>
      <c r="NNC745" s="312"/>
      <c r="NND745" s="312"/>
      <c r="NNE745" s="312"/>
      <c r="NNF745" s="312"/>
      <c r="NNG745" s="312"/>
      <c r="NNH745" s="312"/>
      <c r="NNI745" s="312"/>
      <c r="NNJ745" s="312"/>
      <c r="NNK745" s="312"/>
      <c r="NNL745" s="312"/>
      <c r="NNM745" s="312"/>
      <c r="NNN745" s="312"/>
      <c r="NNO745" s="312"/>
      <c r="NNP745" s="312"/>
      <c r="NNQ745" s="312"/>
      <c r="NNR745" s="312"/>
      <c r="NNS745" s="312"/>
      <c r="NNT745" s="312"/>
      <c r="NNU745" s="312"/>
      <c r="NNV745" s="312"/>
      <c r="NNW745" s="312"/>
      <c r="NNX745" s="312"/>
      <c r="NNY745" s="312"/>
      <c r="NNZ745" s="312"/>
      <c r="NOA745" s="312"/>
      <c r="NOB745" s="312"/>
      <c r="NOC745" s="312"/>
      <c r="NOD745" s="312"/>
      <c r="NOE745" s="312"/>
      <c r="NOF745" s="312"/>
      <c r="NOG745" s="312"/>
      <c r="NOH745" s="312"/>
      <c r="NOI745" s="312"/>
      <c r="NOJ745" s="312"/>
      <c r="NOK745" s="312"/>
      <c r="NOL745" s="312"/>
      <c r="NOM745" s="312"/>
      <c r="NON745" s="312"/>
      <c r="NOO745" s="312"/>
      <c r="NOP745" s="312"/>
      <c r="NOQ745" s="312"/>
      <c r="NOR745" s="312"/>
      <c r="NOS745" s="312"/>
      <c r="NOT745" s="312"/>
      <c r="NOU745" s="312"/>
      <c r="NOV745" s="312"/>
      <c r="NOW745" s="312"/>
      <c r="NOX745" s="312"/>
      <c r="NOY745" s="312"/>
      <c r="NOZ745" s="312"/>
      <c r="NPA745" s="312"/>
      <c r="NPB745" s="312"/>
      <c r="NPC745" s="312"/>
      <c r="NPD745" s="312"/>
      <c r="NPE745" s="312"/>
      <c r="NPF745" s="312"/>
      <c r="NPG745" s="312"/>
      <c r="NPH745" s="312"/>
      <c r="NPI745" s="312"/>
      <c r="NPJ745" s="312"/>
      <c r="NPK745" s="312"/>
      <c r="NPL745" s="312"/>
      <c r="NPM745" s="312"/>
      <c r="NPN745" s="312"/>
      <c r="NPO745" s="312"/>
      <c r="NPP745" s="312"/>
      <c r="NPQ745" s="312"/>
      <c r="NPR745" s="312"/>
      <c r="NPS745" s="312"/>
      <c r="NPT745" s="312"/>
      <c r="NPU745" s="312"/>
      <c r="NPV745" s="312"/>
      <c r="NPW745" s="312"/>
      <c r="NPX745" s="312"/>
      <c r="NPY745" s="312"/>
      <c r="NPZ745" s="312"/>
      <c r="NQA745" s="312"/>
      <c r="NQB745" s="312"/>
      <c r="NQC745" s="312"/>
      <c r="NQD745" s="312"/>
      <c r="NQE745" s="312"/>
      <c r="NQF745" s="312"/>
      <c r="NQG745" s="312"/>
      <c r="NQH745" s="312"/>
      <c r="NQI745" s="312"/>
      <c r="NQJ745" s="312"/>
      <c r="NQK745" s="312"/>
      <c r="NQL745" s="312"/>
      <c r="NQM745" s="312"/>
      <c r="NQN745" s="312"/>
      <c r="NQO745" s="312"/>
      <c r="NQP745" s="312"/>
      <c r="NQQ745" s="312"/>
      <c r="NQR745" s="312"/>
      <c r="NQS745" s="312"/>
      <c r="NQT745" s="312"/>
      <c r="NQU745" s="312"/>
      <c r="NQV745" s="312"/>
      <c r="NQW745" s="312"/>
      <c r="NQX745" s="312"/>
      <c r="NQY745" s="312"/>
      <c r="NQZ745" s="312"/>
      <c r="NRA745" s="312"/>
      <c r="NRB745" s="312"/>
      <c r="NRC745" s="312"/>
      <c r="NRD745" s="312"/>
      <c r="NRE745" s="312"/>
      <c r="NRF745" s="312"/>
      <c r="NRG745" s="312"/>
      <c r="NRH745" s="312"/>
      <c r="NRI745" s="312"/>
      <c r="NRJ745" s="312"/>
      <c r="NRK745" s="312"/>
      <c r="NRL745" s="312"/>
      <c r="NRM745" s="312"/>
      <c r="NRN745" s="312"/>
      <c r="NRO745" s="312"/>
      <c r="NRP745" s="312"/>
      <c r="NRQ745" s="312"/>
      <c r="NRR745" s="312"/>
      <c r="NRS745" s="312"/>
      <c r="NRT745" s="312"/>
      <c r="NRU745" s="312"/>
      <c r="NRV745" s="312"/>
      <c r="NRW745" s="312"/>
      <c r="NRX745" s="312"/>
      <c r="NRY745" s="312"/>
      <c r="NRZ745" s="312"/>
      <c r="NSA745" s="312"/>
      <c r="NSB745" s="312"/>
      <c r="NSC745" s="312"/>
      <c r="NSD745" s="312"/>
      <c r="NSE745" s="312"/>
      <c r="NSF745" s="312"/>
      <c r="NSG745" s="312"/>
      <c r="NSH745" s="312"/>
      <c r="NSI745" s="312"/>
      <c r="NSJ745" s="312"/>
      <c r="NSK745" s="312"/>
      <c r="NSL745" s="312"/>
      <c r="NSM745" s="312"/>
      <c r="NSN745" s="312"/>
      <c r="NSO745" s="312"/>
      <c r="NSP745" s="312"/>
      <c r="NSQ745" s="312"/>
      <c r="NSR745" s="312"/>
      <c r="NSS745" s="312"/>
      <c r="NST745" s="312"/>
      <c r="NSU745" s="312"/>
      <c r="NSV745" s="312"/>
      <c r="NSW745" s="312"/>
      <c r="NSX745" s="312"/>
      <c r="NSY745" s="312"/>
      <c r="NSZ745" s="312"/>
      <c r="NTA745" s="312"/>
      <c r="NTB745" s="312"/>
      <c r="NTC745" s="312"/>
      <c r="NTD745" s="312"/>
      <c r="NTE745" s="312"/>
      <c r="NTF745" s="312"/>
      <c r="NTG745" s="312"/>
      <c r="NTH745" s="312"/>
      <c r="NTI745" s="312"/>
      <c r="NTJ745" s="312"/>
      <c r="NTK745" s="312"/>
      <c r="NTL745" s="312"/>
      <c r="NTM745" s="312"/>
      <c r="NTN745" s="312"/>
      <c r="NTO745" s="312"/>
      <c r="NTP745" s="312"/>
      <c r="NTQ745" s="312"/>
      <c r="NTR745" s="312"/>
      <c r="NTS745" s="312"/>
      <c r="NTT745" s="312"/>
      <c r="NTU745" s="312"/>
      <c r="NTV745" s="312"/>
      <c r="NTW745" s="312"/>
      <c r="NTX745" s="312"/>
      <c r="NTY745" s="312"/>
      <c r="NTZ745" s="312"/>
      <c r="NUA745" s="312"/>
      <c r="NUB745" s="312"/>
      <c r="NUC745" s="312"/>
      <c r="NUD745" s="312"/>
      <c r="NUE745" s="312"/>
      <c r="NUF745" s="312"/>
      <c r="NUG745" s="312"/>
      <c r="NUH745" s="312"/>
      <c r="NUI745" s="312"/>
      <c r="NUJ745" s="312"/>
      <c r="NUK745" s="312"/>
      <c r="NUL745" s="312"/>
      <c r="NUM745" s="312"/>
      <c r="NUN745" s="312"/>
      <c r="NUO745" s="312"/>
      <c r="NUP745" s="312"/>
      <c r="NUQ745" s="312"/>
      <c r="NUR745" s="312"/>
      <c r="NUS745" s="312"/>
      <c r="NUT745" s="312"/>
      <c r="NUU745" s="312"/>
      <c r="NUV745" s="312"/>
      <c r="NUW745" s="312"/>
      <c r="NUX745" s="312"/>
      <c r="NUY745" s="312"/>
      <c r="NUZ745" s="312"/>
      <c r="NVA745" s="312"/>
      <c r="NVB745" s="312"/>
      <c r="NVC745" s="312"/>
      <c r="NVD745" s="312"/>
      <c r="NVE745" s="312"/>
      <c r="NVF745" s="312"/>
      <c r="NVG745" s="312"/>
      <c r="NVH745" s="312"/>
      <c r="NVI745" s="312"/>
      <c r="NVJ745" s="312"/>
      <c r="NVK745" s="312"/>
      <c r="NVL745" s="312"/>
      <c r="NVM745" s="312"/>
      <c r="NVN745" s="312"/>
      <c r="NVO745" s="312"/>
      <c r="NVP745" s="312"/>
      <c r="NVQ745" s="312"/>
      <c r="NVR745" s="312"/>
      <c r="NVS745" s="312"/>
      <c r="NVT745" s="312"/>
      <c r="NVU745" s="312"/>
      <c r="NVV745" s="312"/>
      <c r="NVW745" s="312"/>
      <c r="NVX745" s="312"/>
      <c r="NVY745" s="312"/>
      <c r="NVZ745" s="312"/>
      <c r="NWA745" s="312"/>
      <c r="NWB745" s="312"/>
      <c r="NWC745" s="312"/>
      <c r="NWD745" s="312"/>
      <c r="NWE745" s="312"/>
      <c r="NWF745" s="312"/>
      <c r="NWG745" s="312"/>
      <c r="NWH745" s="312"/>
      <c r="NWI745" s="312"/>
      <c r="NWJ745" s="312"/>
      <c r="NWK745" s="312"/>
      <c r="NWL745" s="312"/>
      <c r="NWM745" s="312"/>
      <c r="NWN745" s="312"/>
      <c r="NWO745" s="312"/>
      <c r="NWP745" s="312"/>
      <c r="NWQ745" s="312"/>
      <c r="NWR745" s="312"/>
      <c r="NWS745" s="312"/>
      <c r="NWT745" s="312"/>
      <c r="NWU745" s="312"/>
      <c r="NWV745" s="312"/>
      <c r="NWW745" s="312"/>
      <c r="NWX745" s="312"/>
      <c r="NWY745" s="312"/>
      <c r="NWZ745" s="312"/>
      <c r="NXA745" s="312"/>
      <c r="NXB745" s="312"/>
      <c r="NXC745" s="312"/>
      <c r="NXD745" s="312"/>
      <c r="NXE745" s="312"/>
      <c r="NXF745" s="312"/>
      <c r="NXG745" s="312"/>
      <c r="NXH745" s="312"/>
      <c r="NXI745" s="312"/>
      <c r="NXJ745" s="312"/>
      <c r="NXK745" s="312"/>
      <c r="NXL745" s="312"/>
      <c r="NXM745" s="312"/>
      <c r="NXN745" s="312"/>
      <c r="NXO745" s="312"/>
      <c r="NXP745" s="312"/>
      <c r="NXQ745" s="312"/>
      <c r="NXR745" s="312"/>
      <c r="NXS745" s="312"/>
      <c r="NXT745" s="312"/>
      <c r="NXU745" s="312"/>
      <c r="NXV745" s="312"/>
      <c r="NXW745" s="312"/>
      <c r="NXX745" s="312"/>
      <c r="NXY745" s="312"/>
      <c r="NXZ745" s="312"/>
      <c r="NYA745" s="312"/>
      <c r="NYB745" s="312"/>
      <c r="NYC745" s="312"/>
      <c r="NYD745" s="312"/>
      <c r="NYE745" s="312"/>
      <c r="NYF745" s="312"/>
      <c r="NYG745" s="312"/>
      <c r="NYH745" s="312"/>
      <c r="NYI745" s="312"/>
      <c r="NYJ745" s="312"/>
      <c r="NYK745" s="312"/>
      <c r="NYL745" s="312"/>
      <c r="NYM745" s="312"/>
      <c r="NYN745" s="312"/>
      <c r="NYO745" s="312"/>
      <c r="NYP745" s="312"/>
      <c r="NYQ745" s="312"/>
      <c r="NYR745" s="312"/>
      <c r="NYS745" s="312"/>
      <c r="NYT745" s="312"/>
      <c r="NYU745" s="312"/>
      <c r="NYV745" s="312"/>
      <c r="NYW745" s="312"/>
      <c r="NYX745" s="312"/>
      <c r="NYY745" s="312"/>
      <c r="NYZ745" s="312"/>
      <c r="NZA745" s="312"/>
      <c r="NZB745" s="312"/>
      <c r="NZC745" s="312"/>
      <c r="NZD745" s="312"/>
      <c r="NZE745" s="312"/>
      <c r="NZF745" s="312"/>
      <c r="NZG745" s="312"/>
      <c r="NZH745" s="312"/>
      <c r="NZI745" s="312"/>
      <c r="NZJ745" s="312"/>
      <c r="NZK745" s="312"/>
      <c r="NZL745" s="312"/>
      <c r="NZM745" s="312"/>
      <c r="NZN745" s="312"/>
      <c r="NZO745" s="312"/>
      <c r="NZP745" s="312"/>
      <c r="NZQ745" s="312"/>
      <c r="NZR745" s="312"/>
      <c r="NZS745" s="312"/>
      <c r="NZT745" s="312"/>
      <c r="NZU745" s="312"/>
      <c r="NZV745" s="312"/>
      <c r="NZW745" s="312"/>
      <c r="NZX745" s="312"/>
      <c r="NZY745" s="312"/>
      <c r="NZZ745" s="312"/>
      <c r="OAA745" s="312"/>
      <c r="OAB745" s="312"/>
      <c r="OAC745" s="312"/>
      <c r="OAD745" s="312"/>
      <c r="OAE745" s="312"/>
      <c r="OAF745" s="312"/>
      <c r="OAG745" s="312"/>
      <c r="OAH745" s="312"/>
      <c r="OAI745" s="312"/>
      <c r="OAJ745" s="312"/>
      <c r="OAK745" s="312"/>
      <c r="OAL745" s="312"/>
      <c r="OAM745" s="312"/>
      <c r="OAN745" s="312"/>
      <c r="OAO745" s="312"/>
      <c r="OAP745" s="312"/>
      <c r="OAQ745" s="312"/>
      <c r="OAR745" s="312"/>
      <c r="OAS745" s="312"/>
      <c r="OAT745" s="312"/>
      <c r="OAU745" s="312"/>
      <c r="OAV745" s="312"/>
      <c r="OAW745" s="312"/>
      <c r="OAX745" s="312"/>
      <c r="OAY745" s="312"/>
      <c r="OAZ745" s="312"/>
      <c r="OBA745" s="312"/>
      <c r="OBB745" s="312"/>
      <c r="OBC745" s="312"/>
      <c r="OBD745" s="312"/>
      <c r="OBE745" s="312"/>
      <c r="OBF745" s="312"/>
      <c r="OBG745" s="312"/>
      <c r="OBH745" s="312"/>
      <c r="OBI745" s="312"/>
      <c r="OBJ745" s="312"/>
      <c r="OBK745" s="312"/>
      <c r="OBL745" s="312"/>
      <c r="OBM745" s="312"/>
      <c r="OBN745" s="312"/>
      <c r="OBO745" s="312"/>
      <c r="OBP745" s="312"/>
      <c r="OBQ745" s="312"/>
      <c r="OBR745" s="312"/>
      <c r="OBS745" s="312"/>
      <c r="OBT745" s="312"/>
      <c r="OBU745" s="312"/>
      <c r="OBV745" s="312"/>
      <c r="OBW745" s="312"/>
      <c r="OBX745" s="312"/>
      <c r="OBY745" s="312"/>
      <c r="OBZ745" s="312"/>
      <c r="OCA745" s="312"/>
      <c r="OCB745" s="312"/>
      <c r="OCC745" s="312"/>
      <c r="OCD745" s="312"/>
      <c r="OCE745" s="312"/>
      <c r="OCF745" s="312"/>
      <c r="OCG745" s="312"/>
      <c r="OCH745" s="312"/>
      <c r="OCI745" s="312"/>
      <c r="OCJ745" s="312"/>
      <c r="OCK745" s="312"/>
      <c r="OCL745" s="312"/>
      <c r="OCM745" s="312"/>
      <c r="OCN745" s="312"/>
      <c r="OCO745" s="312"/>
      <c r="OCP745" s="312"/>
      <c r="OCQ745" s="312"/>
      <c r="OCR745" s="312"/>
      <c r="OCS745" s="312"/>
      <c r="OCT745" s="312"/>
      <c r="OCU745" s="312"/>
      <c r="OCV745" s="312"/>
      <c r="OCW745" s="312"/>
      <c r="OCX745" s="312"/>
      <c r="OCY745" s="312"/>
      <c r="OCZ745" s="312"/>
      <c r="ODA745" s="312"/>
      <c r="ODB745" s="312"/>
      <c r="ODC745" s="312"/>
      <c r="ODD745" s="312"/>
      <c r="ODE745" s="312"/>
      <c r="ODF745" s="312"/>
      <c r="ODG745" s="312"/>
      <c r="ODH745" s="312"/>
      <c r="ODI745" s="312"/>
      <c r="ODJ745" s="312"/>
      <c r="ODK745" s="312"/>
      <c r="ODL745" s="312"/>
      <c r="ODM745" s="312"/>
      <c r="ODN745" s="312"/>
      <c r="ODO745" s="312"/>
      <c r="ODP745" s="312"/>
      <c r="ODQ745" s="312"/>
      <c r="ODR745" s="312"/>
      <c r="ODS745" s="312"/>
      <c r="ODT745" s="312"/>
      <c r="ODU745" s="312"/>
      <c r="ODV745" s="312"/>
      <c r="ODW745" s="312"/>
      <c r="ODX745" s="312"/>
      <c r="ODY745" s="312"/>
      <c r="ODZ745" s="312"/>
      <c r="OEA745" s="312"/>
      <c r="OEB745" s="312"/>
      <c r="OEC745" s="312"/>
      <c r="OED745" s="312"/>
      <c r="OEE745" s="312"/>
      <c r="OEF745" s="312"/>
      <c r="OEG745" s="312"/>
      <c r="OEH745" s="312"/>
      <c r="OEI745" s="312"/>
      <c r="OEJ745" s="312"/>
      <c r="OEK745" s="312"/>
      <c r="OEL745" s="312"/>
      <c r="OEM745" s="312"/>
      <c r="OEN745" s="312"/>
      <c r="OEO745" s="312"/>
      <c r="OEP745" s="312"/>
      <c r="OEQ745" s="312"/>
      <c r="OER745" s="312"/>
      <c r="OES745" s="312"/>
      <c r="OET745" s="312"/>
      <c r="OEU745" s="312"/>
      <c r="OEV745" s="312"/>
      <c r="OEW745" s="312"/>
      <c r="OEX745" s="312"/>
      <c r="OEY745" s="312"/>
      <c r="OEZ745" s="312"/>
      <c r="OFA745" s="312"/>
      <c r="OFB745" s="312"/>
      <c r="OFC745" s="312"/>
      <c r="OFD745" s="312"/>
      <c r="OFE745" s="312"/>
      <c r="OFF745" s="312"/>
      <c r="OFG745" s="312"/>
      <c r="OFH745" s="312"/>
      <c r="OFI745" s="312"/>
      <c r="OFJ745" s="312"/>
      <c r="OFK745" s="312"/>
      <c r="OFL745" s="312"/>
      <c r="OFM745" s="312"/>
      <c r="OFN745" s="312"/>
      <c r="OFO745" s="312"/>
      <c r="OFP745" s="312"/>
      <c r="OFQ745" s="312"/>
      <c r="OFR745" s="312"/>
      <c r="OFS745" s="312"/>
      <c r="OFT745" s="312"/>
      <c r="OFU745" s="312"/>
      <c r="OFV745" s="312"/>
      <c r="OFW745" s="312"/>
      <c r="OFX745" s="312"/>
      <c r="OFY745" s="312"/>
      <c r="OFZ745" s="312"/>
      <c r="OGA745" s="312"/>
      <c r="OGB745" s="312"/>
      <c r="OGC745" s="312"/>
      <c r="OGD745" s="312"/>
      <c r="OGE745" s="312"/>
      <c r="OGF745" s="312"/>
      <c r="OGG745" s="312"/>
      <c r="OGH745" s="312"/>
      <c r="OGI745" s="312"/>
      <c r="OGJ745" s="312"/>
      <c r="OGK745" s="312"/>
      <c r="OGL745" s="312"/>
      <c r="OGM745" s="312"/>
      <c r="OGN745" s="312"/>
      <c r="OGO745" s="312"/>
      <c r="OGP745" s="312"/>
      <c r="OGQ745" s="312"/>
      <c r="OGR745" s="312"/>
      <c r="OGS745" s="312"/>
      <c r="OGT745" s="312"/>
      <c r="OGU745" s="312"/>
      <c r="OGV745" s="312"/>
      <c r="OGW745" s="312"/>
      <c r="OGX745" s="312"/>
      <c r="OGY745" s="312"/>
      <c r="OGZ745" s="312"/>
      <c r="OHA745" s="312"/>
      <c r="OHB745" s="312"/>
      <c r="OHC745" s="312"/>
      <c r="OHD745" s="312"/>
      <c r="OHE745" s="312"/>
      <c r="OHF745" s="312"/>
      <c r="OHG745" s="312"/>
      <c r="OHH745" s="312"/>
      <c r="OHI745" s="312"/>
      <c r="OHJ745" s="312"/>
      <c r="OHK745" s="312"/>
      <c r="OHL745" s="312"/>
      <c r="OHM745" s="312"/>
      <c r="OHN745" s="312"/>
      <c r="OHO745" s="312"/>
      <c r="OHP745" s="312"/>
      <c r="OHQ745" s="312"/>
      <c r="OHR745" s="312"/>
      <c r="OHS745" s="312"/>
      <c r="OHT745" s="312"/>
      <c r="OHU745" s="312"/>
      <c r="OHV745" s="312"/>
      <c r="OHW745" s="312"/>
      <c r="OHX745" s="312"/>
      <c r="OHY745" s="312"/>
      <c r="OHZ745" s="312"/>
      <c r="OIA745" s="312"/>
      <c r="OIB745" s="312"/>
      <c r="OIC745" s="312"/>
      <c r="OID745" s="312"/>
      <c r="OIE745" s="312"/>
      <c r="OIF745" s="312"/>
      <c r="OIG745" s="312"/>
      <c r="OIH745" s="312"/>
      <c r="OII745" s="312"/>
      <c r="OIJ745" s="312"/>
      <c r="OIK745" s="312"/>
      <c r="OIL745" s="312"/>
      <c r="OIM745" s="312"/>
      <c r="OIN745" s="312"/>
      <c r="OIO745" s="312"/>
      <c r="OIP745" s="312"/>
      <c r="OIQ745" s="312"/>
      <c r="OIR745" s="312"/>
      <c r="OIS745" s="312"/>
      <c r="OIT745" s="312"/>
      <c r="OIU745" s="312"/>
      <c r="OIV745" s="312"/>
      <c r="OIW745" s="312"/>
      <c r="OIX745" s="312"/>
      <c r="OIY745" s="312"/>
      <c r="OIZ745" s="312"/>
      <c r="OJA745" s="312"/>
      <c r="OJB745" s="312"/>
      <c r="OJC745" s="312"/>
      <c r="OJD745" s="312"/>
      <c r="OJE745" s="312"/>
      <c r="OJF745" s="312"/>
      <c r="OJG745" s="312"/>
      <c r="OJH745" s="312"/>
      <c r="OJI745" s="312"/>
      <c r="OJJ745" s="312"/>
      <c r="OJK745" s="312"/>
      <c r="OJL745" s="312"/>
      <c r="OJM745" s="312"/>
      <c r="OJN745" s="312"/>
      <c r="OJO745" s="312"/>
      <c r="OJP745" s="312"/>
      <c r="OJQ745" s="312"/>
      <c r="OJR745" s="312"/>
      <c r="OJS745" s="312"/>
      <c r="OJT745" s="312"/>
      <c r="OJU745" s="312"/>
      <c r="OJV745" s="312"/>
      <c r="OJW745" s="312"/>
      <c r="OJX745" s="312"/>
      <c r="OJY745" s="312"/>
      <c r="OJZ745" s="312"/>
      <c r="OKA745" s="312"/>
      <c r="OKB745" s="312"/>
      <c r="OKC745" s="312"/>
      <c r="OKD745" s="312"/>
      <c r="OKE745" s="312"/>
      <c r="OKF745" s="312"/>
      <c r="OKG745" s="312"/>
      <c r="OKH745" s="312"/>
      <c r="OKI745" s="312"/>
      <c r="OKJ745" s="312"/>
      <c r="OKK745" s="312"/>
      <c r="OKL745" s="312"/>
      <c r="OKM745" s="312"/>
      <c r="OKN745" s="312"/>
      <c r="OKO745" s="312"/>
      <c r="OKP745" s="312"/>
      <c r="OKQ745" s="312"/>
      <c r="OKR745" s="312"/>
      <c r="OKS745" s="312"/>
      <c r="OKT745" s="312"/>
      <c r="OKU745" s="312"/>
      <c r="OKV745" s="312"/>
      <c r="OKW745" s="312"/>
      <c r="OKX745" s="312"/>
      <c r="OKY745" s="312"/>
      <c r="OKZ745" s="312"/>
      <c r="OLA745" s="312"/>
      <c r="OLB745" s="312"/>
      <c r="OLC745" s="312"/>
      <c r="OLD745" s="312"/>
      <c r="OLE745" s="312"/>
      <c r="OLF745" s="312"/>
      <c r="OLG745" s="312"/>
      <c r="OLH745" s="312"/>
      <c r="OLI745" s="312"/>
      <c r="OLJ745" s="312"/>
      <c r="OLK745" s="312"/>
      <c r="OLL745" s="312"/>
      <c r="OLM745" s="312"/>
      <c r="OLN745" s="312"/>
      <c r="OLO745" s="312"/>
      <c r="OLP745" s="312"/>
      <c r="OLQ745" s="312"/>
      <c r="OLR745" s="312"/>
      <c r="OLS745" s="312"/>
      <c r="OLT745" s="312"/>
      <c r="OLU745" s="312"/>
      <c r="OLV745" s="312"/>
      <c r="OLW745" s="312"/>
      <c r="OLX745" s="312"/>
      <c r="OLY745" s="312"/>
      <c r="OLZ745" s="312"/>
      <c r="OMA745" s="312"/>
      <c r="OMB745" s="312"/>
      <c r="OMC745" s="312"/>
      <c r="OMD745" s="312"/>
      <c r="OME745" s="312"/>
      <c r="OMF745" s="312"/>
      <c r="OMG745" s="312"/>
      <c r="OMH745" s="312"/>
      <c r="OMI745" s="312"/>
      <c r="OMJ745" s="312"/>
      <c r="OMK745" s="312"/>
      <c r="OML745" s="312"/>
      <c r="OMM745" s="312"/>
      <c r="OMN745" s="312"/>
      <c r="OMO745" s="312"/>
      <c r="OMP745" s="312"/>
      <c r="OMQ745" s="312"/>
      <c r="OMR745" s="312"/>
      <c r="OMS745" s="312"/>
      <c r="OMT745" s="312"/>
      <c r="OMU745" s="312"/>
      <c r="OMV745" s="312"/>
      <c r="OMW745" s="312"/>
      <c r="OMX745" s="312"/>
      <c r="OMY745" s="312"/>
      <c r="OMZ745" s="312"/>
      <c r="ONA745" s="312"/>
      <c r="ONB745" s="312"/>
      <c r="ONC745" s="312"/>
      <c r="OND745" s="312"/>
      <c r="ONE745" s="312"/>
      <c r="ONF745" s="312"/>
      <c r="ONG745" s="312"/>
      <c r="ONH745" s="312"/>
      <c r="ONI745" s="312"/>
      <c r="ONJ745" s="312"/>
      <c r="ONK745" s="312"/>
      <c r="ONL745" s="312"/>
      <c r="ONM745" s="312"/>
      <c r="ONN745" s="312"/>
      <c r="ONO745" s="312"/>
      <c r="ONP745" s="312"/>
      <c r="ONQ745" s="312"/>
      <c r="ONR745" s="312"/>
      <c r="ONS745" s="312"/>
      <c r="ONT745" s="312"/>
      <c r="ONU745" s="312"/>
      <c r="ONV745" s="312"/>
      <c r="ONW745" s="312"/>
      <c r="ONX745" s="312"/>
      <c r="ONY745" s="312"/>
      <c r="ONZ745" s="312"/>
      <c r="OOA745" s="312"/>
      <c r="OOB745" s="312"/>
      <c r="OOC745" s="312"/>
      <c r="OOD745" s="312"/>
      <c r="OOE745" s="312"/>
      <c r="OOF745" s="312"/>
      <c r="OOG745" s="312"/>
      <c r="OOH745" s="312"/>
      <c r="OOI745" s="312"/>
      <c r="OOJ745" s="312"/>
      <c r="OOK745" s="312"/>
      <c r="OOL745" s="312"/>
      <c r="OOM745" s="312"/>
      <c r="OON745" s="312"/>
      <c r="OOO745" s="312"/>
      <c r="OOP745" s="312"/>
      <c r="OOQ745" s="312"/>
      <c r="OOR745" s="312"/>
      <c r="OOS745" s="312"/>
      <c r="OOT745" s="312"/>
      <c r="OOU745" s="312"/>
      <c r="OOV745" s="312"/>
      <c r="OOW745" s="312"/>
      <c r="OOX745" s="312"/>
      <c r="OOY745" s="312"/>
      <c r="OOZ745" s="312"/>
      <c r="OPA745" s="312"/>
      <c r="OPB745" s="312"/>
      <c r="OPC745" s="312"/>
      <c r="OPD745" s="312"/>
      <c r="OPE745" s="312"/>
      <c r="OPF745" s="312"/>
      <c r="OPG745" s="312"/>
      <c r="OPH745" s="312"/>
      <c r="OPI745" s="312"/>
      <c r="OPJ745" s="312"/>
      <c r="OPK745" s="312"/>
      <c r="OPL745" s="312"/>
      <c r="OPM745" s="312"/>
      <c r="OPN745" s="312"/>
      <c r="OPO745" s="312"/>
      <c r="OPP745" s="312"/>
      <c r="OPQ745" s="312"/>
      <c r="OPR745" s="312"/>
      <c r="OPS745" s="312"/>
      <c r="OPT745" s="312"/>
      <c r="OPU745" s="312"/>
      <c r="OPV745" s="312"/>
      <c r="OPW745" s="312"/>
      <c r="OPX745" s="312"/>
      <c r="OPY745" s="312"/>
      <c r="OPZ745" s="312"/>
      <c r="OQA745" s="312"/>
      <c r="OQB745" s="312"/>
      <c r="OQC745" s="312"/>
      <c r="OQD745" s="312"/>
      <c r="OQE745" s="312"/>
      <c r="OQF745" s="312"/>
      <c r="OQG745" s="312"/>
      <c r="OQH745" s="312"/>
      <c r="OQI745" s="312"/>
      <c r="OQJ745" s="312"/>
      <c r="OQK745" s="312"/>
      <c r="OQL745" s="312"/>
      <c r="OQM745" s="312"/>
      <c r="OQN745" s="312"/>
      <c r="OQO745" s="312"/>
      <c r="OQP745" s="312"/>
      <c r="OQQ745" s="312"/>
      <c r="OQR745" s="312"/>
      <c r="OQS745" s="312"/>
      <c r="OQT745" s="312"/>
      <c r="OQU745" s="312"/>
      <c r="OQV745" s="312"/>
      <c r="OQW745" s="312"/>
      <c r="OQX745" s="312"/>
      <c r="OQY745" s="312"/>
      <c r="OQZ745" s="312"/>
      <c r="ORA745" s="312"/>
      <c r="ORB745" s="312"/>
      <c r="ORC745" s="312"/>
      <c r="ORD745" s="312"/>
      <c r="ORE745" s="312"/>
      <c r="ORF745" s="312"/>
      <c r="ORG745" s="312"/>
      <c r="ORH745" s="312"/>
      <c r="ORI745" s="312"/>
      <c r="ORJ745" s="312"/>
      <c r="ORK745" s="312"/>
      <c r="ORL745" s="312"/>
      <c r="ORM745" s="312"/>
      <c r="ORN745" s="312"/>
      <c r="ORO745" s="312"/>
      <c r="ORP745" s="312"/>
      <c r="ORQ745" s="312"/>
      <c r="ORR745" s="312"/>
      <c r="ORS745" s="312"/>
      <c r="ORT745" s="312"/>
      <c r="ORU745" s="312"/>
      <c r="ORV745" s="312"/>
      <c r="ORW745" s="312"/>
      <c r="ORX745" s="312"/>
      <c r="ORY745" s="312"/>
      <c r="ORZ745" s="312"/>
      <c r="OSA745" s="312"/>
      <c r="OSB745" s="312"/>
      <c r="OSC745" s="312"/>
      <c r="OSD745" s="312"/>
      <c r="OSE745" s="312"/>
      <c r="OSF745" s="312"/>
      <c r="OSG745" s="312"/>
      <c r="OSH745" s="312"/>
      <c r="OSI745" s="312"/>
      <c r="OSJ745" s="312"/>
      <c r="OSK745" s="312"/>
      <c r="OSL745" s="312"/>
      <c r="OSM745" s="312"/>
      <c r="OSN745" s="312"/>
      <c r="OSO745" s="312"/>
      <c r="OSP745" s="312"/>
      <c r="OSQ745" s="312"/>
      <c r="OSR745" s="312"/>
      <c r="OSS745" s="312"/>
      <c r="OST745" s="312"/>
      <c r="OSU745" s="312"/>
      <c r="OSV745" s="312"/>
      <c r="OSW745" s="312"/>
      <c r="OSX745" s="312"/>
      <c r="OSY745" s="312"/>
      <c r="OSZ745" s="312"/>
      <c r="OTA745" s="312"/>
      <c r="OTB745" s="312"/>
      <c r="OTC745" s="312"/>
      <c r="OTD745" s="312"/>
      <c r="OTE745" s="312"/>
      <c r="OTF745" s="312"/>
      <c r="OTG745" s="312"/>
      <c r="OTH745" s="312"/>
      <c r="OTI745" s="312"/>
      <c r="OTJ745" s="312"/>
      <c r="OTK745" s="312"/>
      <c r="OTL745" s="312"/>
      <c r="OTM745" s="312"/>
      <c r="OTN745" s="312"/>
      <c r="OTO745" s="312"/>
      <c r="OTP745" s="312"/>
      <c r="OTQ745" s="312"/>
      <c r="OTR745" s="312"/>
      <c r="OTS745" s="312"/>
      <c r="OTT745" s="312"/>
      <c r="OTU745" s="312"/>
      <c r="OTV745" s="312"/>
      <c r="OTW745" s="312"/>
      <c r="OTX745" s="312"/>
      <c r="OTY745" s="312"/>
      <c r="OTZ745" s="312"/>
      <c r="OUA745" s="312"/>
      <c r="OUB745" s="312"/>
      <c r="OUC745" s="312"/>
      <c r="OUD745" s="312"/>
      <c r="OUE745" s="312"/>
      <c r="OUF745" s="312"/>
      <c r="OUG745" s="312"/>
      <c r="OUH745" s="312"/>
      <c r="OUI745" s="312"/>
      <c r="OUJ745" s="312"/>
      <c r="OUK745" s="312"/>
      <c r="OUL745" s="312"/>
      <c r="OUM745" s="312"/>
      <c r="OUN745" s="312"/>
      <c r="OUO745" s="312"/>
      <c r="OUP745" s="312"/>
      <c r="OUQ745" s="312"/>
      <c r="OUR745" s="312"/>
      <c r="OUS745" s="312"/>
      <c r="OUT745" s="312"/>
      <c r="OUU745" s="312"/>
      <c r="OUV745" s="312"/>
      <c r="OUW745" s="312"/>
      <c r="OUX745" s="312"/>
      <c r="OUY745" s="312"/>
      <c r="OUZ745" s="312"/>
      <c r="OVA745" s="312"/>
      <c r="OVB745" s="312"/>
      <c r="OVC745" s="312"/>
      <c r="OVD745" s="312"/>
      <c r="OVE745" s="312"/>
      <c r="OVF745" s="312"/>
      <c r="OVG745" s="312"/>
      <c r="OVH745" s="312"/>
      <c r="OVI745" s="312"/>
      <c r="OVJ745" s="312"/>
      <c r="OVK745" s="312"/>
      <c r="OVL745" s="312"/>
      <c r="OVM745" s="312"/>
      <c r="OVN745" s="312"/>
      <c r="OVO745" s="312"/>
      <c r="OVP745" s="312"/>
      <c r="OVQ745" s="312"/>
      <c r="OVR745" s="312"/>
      <c r="OVS745" s="312"/>
      <c r="OVT745" s="312"/>
      <c r="OVU745" s="312"/>
      <c r="OVV745" s="312"/>
      <c r="OVW745" s="312"/>
      <c r="OVX745" s="312"/>
      <c r="OVY745" s="312"/>
      <c r="OVZ745" s="312"/>
      <c r="OWA745" s="312"/>
      <c r="OWB745" s="312"/>
      <c r="OWC745" s="312"/>
      <c r="OWD745" s="312"/>
      <c r="OWE745" s="312"/>
      <c r="OWF745" s="312"/>
      <c r="OWG745" s="312"/>
      <c r="OWH745" s="312"/>
      <c r="OWI745" s="312"/>
      <c r="OWJ745" s="312"/>
      <c r="OWK745" s="312"/>
      <c r="OWL745" s="312"/>
      <c r="OWM745" s="312"/>
      <c r="OWN745" s="312"/>
      <c r="OWO745" s="312"/>
      <c r="OWP745" s="312"/>
      <c r="OWQ745" s="312"/>
      <c r="OWR745" s="312"/>
      <c r="OWS745" s="312"/>
      <c r="OWT745" s="312"/>
      <c r="OWU745" s="312"/>
      <c r="OWV745" s="312"/>
      <c r="OWW745" s="312"/>
      <c r="OWX745" s="312"/>
      <c r="OWY745" s="312"/>
      <c r="OWZ745" s="312"/>
      <c r="OXA745" s="312"/>
      <c r="OXB745" s="312"/>
      <c r="OXC745" s="312"/>
      <c r="OXD745" s="312"/>
      <c r="OXE745" s="312"/>
      <c r="OXF745" s="312"/>
      <c r="OXG745" s="312"/>
      <c r="OXH745" s="312"/>
      <c r="OXI745" s="312"/>
      <c r="OXJ745" s="312"/>
      <c r="OXK745" s="312"/>
      <c r="OXL745" s="312"/>
      <c r="OXM745" s="312"/>
      <c r="OXN745" s="312"/>
      <c r="OXO745" s="312"/>
      <c r="OXP745" s="312"/>
      <c r="OXQ745" s="312"/>
      <c r="OXR745" s="312"/>
      <c r="OXS745" s="312"/>
      <c r="OXT745" s="312"/>
      <c r="OXU745" s="312"/>
      <c r="OXV745" s="312"/>
      <c r="OXW745" s="312"/>
      <c r="OXX745" s="312"/>
      <c r="OXY745" s="312"/>
      <c r="OXZ745" s="312"/>
      <c r="OYA745" s="312"/>
      <c r="OYB745" s="312"/>
      <c r="OYC745" s="312"/>
      <c r="OYD745" s="312"/>
      <c r="OYE745" s="312"/>
      <c r="OYF745" s="312"/>
      <c r="OYG745" s="312"/>
      <c r="OYH745" s="312"/>
      <c r="OYI745" s="312"/>
      <c r="OYJ745" s="312"/>
      <c r="OYK745" s="312"/>
      <c r="OYL745" s="312"/>
      <c r="OYM745" s="312"/>
      <c r="OYN745" s="312"/>
      <c r="OYO745" s="312"/>
      <c r="OYP745" s="312"/>
      <c r="OYQ745" s="312"/>
      <c r="OYR745" s="312"/>
      <c r="OYS745" s="312"/>
      <c r="OYT745" s="312"/>
      <c r="OYU745" s="312"/>
      <c r="OYV745" s="312"/>
      <c r="OYW745" s="312"/>
      <c r="OYX745" s="312"/>
      <c r="OYY745" s="312"/>
      <c r="OYZ745" s="312"/>
      <c r="OZA745" s="312"/>
      <c r="OZB745" s="312"/>
      <c r="OZC745" s="312"/>
      <c r="OZD745" s="312"/>
      <c r="OZE745" s="312"/>
      <c r="OZF745" s="312"/>
      <c r="OZG745" s="312"/>
      <c r="OZH745" s="312"/>
      <c r="OZI745" s="312"/>
      <c r="OZJ745" s="312"/>
      <c r="OZK745" s="312"/>
      <c r="OZL745" s="312"/>
      <c r="OZM745" s="312"/>
      <c r="OZN745" s="312"/>
      <c r="OZO745" s="312"/>
      <c r="OZP745" s="312"/>
      <c r="OZQ745" s="312"/>
      <c r="OZR745" s="312"/>
      <c r="OZS745" s="312"/>
      <c r="OZT745" s="312"/>
      <c r="OZU745" s="312"/>
      <c r="OZV745" s="312"/>
      <c r="OZW745" s="312"/>
      <c r="OZX745" s="312"/>
      <c r="OZY745" s="312"/>
      <c r="OZZ745" s="312"/>
      <c r="PAA745" s="312"/>
      <c r="PAB745" s="312"/>
      <c r="PAC745" s="312"/>
      <c r="PAD745" s="312"/>
      <c r="PAE745" s="312"/>
      <c r="PAF745" s="312"/>
      <c r="PAG745" s="312"/>
      <c r="PAH745" s="312"/>
      <c r="PAI745" s="312"/>
      <c r="PAJ745" s="312"/>
      <c r="PAK745" s="312"/>
      <c r="PAL745" s="312"/>
      <c r="PAM745" s="312"/>
      <c r="PAN745" s="312"/>
      <c r="PAO745" s="312"/>
      <c r="PAP745" s="312"/>
      <c r="PAQ745" s="312"/>
      <c r="PAR745" s="312"/>
      <c r="PAS745" s="312"/>
      <c r="PAT745" s="312"/>
      <c r="PAU745" s="312"/>
      <c r="PAV745" s="312"/>
      <c r="PAW745" s="312"/>
      <c r="PAX745" s="312"/>
      <c r="PAY745" s="312"/>
      <c r="PAZ745" s="312"/>
      <c r="PBA745" s="312"/>
      <c r="PBB745" s="312"/>
      <c r="PBC745" s="312"/>
      <c r="PBD745" s="312"/>
      <c r="PBE745" s="312"/>
      <c r="PBF745" s="312"/>
      <c r="PBG745" s="312"/>
      <c r="PBH745" s="312"/>
      <c r="PBI745" s="312"/>
      <c r="PBJ745" s="312"/>
      <c r="PBK745" s="312"/>
      <c r="PBL745" s="312"/>
      <c r="PBM745" s="312"/>
      <c r="PBN745" s="312"/>
      <c r="PBO745" s="312"/>
      <c r="PBP745" s="312"/>
      <c r="PBQ745" s="312"/>
      <c r="PBR745" s="312"/>
      <c r="PBS745" s="312"/>
      <c r="PBT745" s="312"/>
      <c r="PBU745" s="312"/>
      <c r="PBV745" s="312"/>
      <c r="PBW745" s="312"/>
      <c r="PBX745" s="312"/>
      <c r="PBY745" s="312"/>
      <c r="PBZ745" s="312"/>
      <c r="PCA745" s="312"/>
      <c r="PCB745" s="312"/>
      <c r="PCC745" s="312"/>
      <c r="PCD745" s="312"/>
      <c r="PCE745" s="312"/>
      <c r="PCF745" s="312"/>
      <c r="PCG745" s="312"/>
      <c r="PCH745" s="312"/>
      <c r="PCI745" s="312"/>
      <c r="PCJ745" s="312"/>
      <c r="PCK745" s="312"/>
      <c r="PCL745" s="312"/>
      <c r="PCM745" s="312"/>
      <c r="PCN745" s="312"/>
      <c r="PCO745" s="312"/>
      <c r="PCP745" s="312"/>
      <c r="PCQ745" s="312"/>
      <c r="PCR745" s="312"/>
      <c r="PCS745" s="312"/>
      <c r="PCT745" s="312"/>
      <c r="PCU745" s="312"/>
      <c r="PCV745" s="312"/>
      <c r="PCW745" s="312"/>
      <c r="PCX745" s="312"/>
      <c r="PCY745" s="312"/>
      <c r="PCZ745" s="312"/>
      <c r="PDA745" s="312"/>
      <c r="PDB745" s="312"/>
      <c r="PDC745" s="312"/>
      <c r="PDD745" s="312"/>
      <c r="PDE745" s="312"/>
      <c r="PDF745" s="312"/>
      <c r="PDG745" s="312"/>
      <c r="PDH745" s="312"/>
      <c r="PDI745" s="312"/>
      <c r="PDJ745" s="312"/>
      <c r="PDK745" s="312"/>
      <c r="PDL745" s="312"/>
      <c r="PDM745" s="312"/>
      <c r="PDN745" s="312"/>
      <c r="PDO745" s="312"/>
      <c r="PDP745" s="312"/>
      <c r="PDQ745" s="312"/>
      <c r="PDR745" s="312"/>
      <c r="PDS745" s="312"/>
      <c r="PDT745" s="312"/>
      <c r="PDU745" s="312"/>
      <c r="PDV745" s="312"/>
      <c r="PDW745" s="312"/>
      <c r="PDX745" s="312"/>
      <c r="PDY745" s="312"/>
      <c r="PDZ745" s="312"/>
      <c r="PEA745" s="312"/>
      <c r="PEB745" s="312"/>
      <c r="PEC745" s="312"/>
      <c r="PED745" s="312"/>
      <c r="PEE745" s="312"/>
      <c r="PEF745" s="312"/>
      <c r="PEG745" s="312"/>
      <c r="PEH745" s="312"/>
      <c r="PEI745" s="312"/>
      <c r="PEJ745" s="312"/>
      <c r="PEK745" s="312"/>
      <c r="PEL745" s="312"/>
      <c r="PEM745" s="312"/>
      <c r="PEN745" s="312"/>
      <c r="PEO745" s="312"/>
      <c r="PEP745" s="312"/>
      <c r="PEQ745" s="312"/>
      <c r="PER745" s="312"/>
      <c r="PES745" s="312"/>
      <c r="PET745" s="312"/>
      <c r="PEU745" s="312"/>
      <c r="PEV745" s="312"/>
      <c r="PEW745" s="312"/>
      <c r="PEX745" s="312"/>
      <c r="PEY745" s="312"/>
      <c r="PEZ745" s="312"/>
      <c r="PFA745" s="312"/>
      <c r="PFB745" s="312"/>
      <c r="PFC745" s="312"/>
      <c r="PFD745" s="312"/>
      <c r="PFE745" s="312"/>
      <c r="PFF745" s="312"/>
      <c r="PFG745" s="312"/>
      <c r="PFH745" s="312"/>
      <c r="PFI745" s="312"/>
      <c r="PFJ745" s="312"/>
      <c r="PFK745" s="312"/>
      <c r="PFL745" s="312"/>
      <c r="PFM745" s="312"/>
      <c r="PFN745" s="312"/>
      <c r="PFO745" s="312"/>
      <c r="PFP745" s="312"/>
      <c r="PFQ745" s="312"/>
      <c r="PFR745" s="312"/>
      <c r="PFS745" s="312"/>
      <c r="PFT745" s="312"/>
      <c r="PFU745" s="312"/>
      <c r="PFV745" s="312"/>
      <c r="PFW745" s="312"/>
      <c r="PFX745" s="312"/>
      <c r="PFY745" s="312"/>
      <c r="PFZ745" s="312"/>
      <c r="PGA745" s="312"/>
      <c r="PGB745" s="312"/>
      <c r="PGC745" s="312"/>
      <c r="PGD745" s="312"/>
      <c r="PGE745" s="312"/>
      <c r="PGF745" s="312"/>
      <c r="PGG745" s="312"/>
      <c r="PGH745" s="312"/>
      <c r="PGI745" s="312"/>
      <c r="PGJ745" s="312"/>
      <c r="PGK745" s="312"/>
      <c r="PGL745" s="312"/>
      <c r="PGM745" s="312"/>
      <c r="PGN745" s="312"/>
      <c r="PGO745" s="312"/>
      <c r="PGP745" s="312"/>
      <c r="PGQ745" s="312"/>
      <c r="PGR745" s="312"/>
      <c r="PGS745" s="312"/>
      <c r="PGT745" s="312"/>
      <c r="PGU745" s="312"/>
      <c r="PGV745" s="312"/>
      <c r="PGW745" s="312"/>
      <c r="PGX745" s="312"/>
      <c r="PGY745" s="312"/>
      <c r="PGZ745" s="312"/>
      <c r="PHA745" s="312"/>
      <c r="PHB745" s="312"/>
      <c r="PHC745" s="312"/>
      <c r="PHD745" s="312"/>
      <c r="PHE745" s="312"/>
      <c r="PHF745" s="312"/>
      <c r="PHG745" s="312"/>
      <c r="PHH745" s="312"/>
      <c r="PHI745" s="312"/>
      <c r="PHJ745" s="312"/>
      <c r="PHK745" s="312"/>
      <c r="PHL745" s="312"/>
      <c r="PHM745" s="312"/>
      <c r="PHN745" s="312"/>
      <c r="PHO745" s="312"/>
      <c r="PHP745" s="312"/>
      <c r="PHQ745" s="312"/>
      <c r="PHR745" s="312"/>
      <c r="PHS745" s="312"/>
      <c r="PHT745" s="312"/>
      <c r="PHU745" s="312"/>
      <c r="PHV745" s="312"/>
      <c r="PHW745" s="312"/>
      <c r="PHX745" s="312"/>
      <c r="PHY745" s="312"/>
      <c r="PHZ745" s="312"/>
      <c r="PIA745" s="312"/>
      <c r="PIB745" s="312"/>
      <c r="PIC745" s="312"/>
      <c r="PID745" s="312"/>
      <c r="PIE745" s="312"/>
      <c r="PIF745" s="312"/>
      <c r="PIG745" s="312"/>
      <c r="PIH745" s="312"/>
      <c r="PII745" s="312"/>
      <c r="PIJ745" s="312"/>
      <c r="PIK745" s="312"/>
      <c r="PIL745" s="312"/>
      <c r="PIM745" s="312"/>
      <c r="PIN745" s="312"/>
      <c r="PIO745" s="312"/>
      <c r="PIP745" s="312"/>
      <c r="PIQ745" s="312"/>
      <c r="PIR745" s="312"/>
      <c r="PIS745" s="312"/>
      <c r="PIT745" s="312"/>
      <c r="PIU745" s="312"/>
      <c r="PIV745" s="312"/>
      <c r="PIW745" s="312"/>
      <c r="PIX745" s="312"/>
      <c r="PIY745" s="312"/>
      <c r="PIZ745" s="312"/>
      <c r="PJA745" s="312"/>
      <c r="PJB745" s="312"/>
      <c r="PJC745" s="312"/>
      <c r="PJD745" s="312"/>
      <c r="PJE745" s="312"/>
      <c r="PJF745" s="312"/>
      <c r="PJG745" s="312"/>
      <c r="PJH745" s="312"/>
      <c r="PJI745" s="312"/>
      <c r="PJJ745" s="312"/>
      <c r="PJK745" s="312"/>
      <c r="PJL745" s="312"/>
      <c r="PJM745" s="312"/>
      <c r="PJN745" s="312"/>
      <c r="PJO745" s="312"/>
      <c r="PJP745" s="312"/>
      <c r="PJQ745" s="312"/>
      <c r="PJR745" s="312"/>
      <c r="PJS745" s="312"/>
      <c r="PJT745" s="312"/>
      <c r="PJU745" s="312"/>
      <c r="PJV745" s="312"/>
      <c r="PJW745" s="312"/>
      <c r="PJX745" s="312"/>
      <c r="PJY745" s="312"/>
      <c r="PJZ745" s="312"/>
      <c r="PKA745" s="312"/>
      <c r="PKB745" s="312"/>
      <c r="PKC745" s="312"/>
      <c r="PKD745" s="312"/>
      <c r="PKE745" s="312"/>
      <c r="PKF745" s="312"/>
      <c r="PKG745" s="312"/>
      <c r="PKH745" s="312"/>
      <c r="PKI745" s="312"/>
      <c r="PKJ745" s="312"/>
      <c r="PKK745" s="312"/>
      <c r="PKL745" s="312"/>
      <c r="PKM745" s="312"/>
      <c r="PKN745" s="312"/>
      <c r="PKO745" s="312"/>
      <c r="PKP745" s="312"/>
      <c r="PKQ745" s="312"/>
      <c r="PKR745" s="312"/>
      <c r="PKS745" s="312"/>
      <c r="PKT745" s="312"/>
      <c r="PKU745" s="312"/>
      <c r="PKV745" s="312"/>
      <c r="PKW745" s="312"/>
      <c r="PKX745" s="312"/>
      <c r="PKY745" s="312"/>
      <c r="PKZ745" s="312"/>
      <c r="PLA745" s="312"/>
      <c r="PLB745" s="312"/>
      <c r="PLC745" s="312"/>
      <c r="PLD745" s="312"/>
      <c r="PLE745" s="312"/>
      <c r="PLF745" s="312"/>
      <c r="PLG745" s="312"/>
      <c r="PLH745" s="312"/>
      <c r="PLI745" s="312"/>
      <c r="PLJ745" s="312"/>
      <c r="PLK745" s="312"/>
      <c r="PLL745" s="312"/>
      <c r="PLM745" s="312"/>
      <c r="PLN745" s="312"/>
      <c r="PLO745" s="312"/>
      <c r="PLP745" s="312"/>
      <c r="PLQ745" s="312"/>
      <c r="PLR745" s="312"/>
      <c r="PLS745" s="312"/>
      <c r="PLT745" s="312"/>
      <c r="PLU745" s="312"/>
      <c r="PLV745" s="312"/>
      <c r="PLW745" s="312"/>
      <c r="PLX745" s="312"/>
      <c r="PLY745" s="312"/>
      <c r="PLZ745" s="312"/>
      <c r="PMA745" s="312"/>
      <c r="PMB745" s="312"/>
      <c r="PMC745" s="312"/>
      <c r="PMD745" s="312"/>
      <c r="PME745" s="312"/>
      <c r="PMF745" s="312"/>
      <c r="PMG745" s="312"/>
      <c r="PMH745" s="312"/>
      <c r="PMI745" s="312"/>
      <c r="PMJ745" s="312"/>
      <c r="PMK745" s="312"/>
      <c r="PML745" s="312"/>
      <c r="PMM745" s="312"/>
      <c r="PMN745" s="312"/>
      <c r="PMO745" s="312"/>
      <c r="PMP745" s="312"/>
      <c r="PMQ745" s="312"/>
      <c r="PMR745" s="312"/>
      <c r="PMS745" s="312"/>
      <c r="PMT745" s="312"/>
      <c r="PMU745" s="312"/>
      <c r="PMV745" s="312"/>
      <c r="PMW745" s="312"/>
      <c r="PMX745" s="312"/>
      <c r="PMY745" s="312"/>
      <c r="PMZ745" s="312"/>
      <c r="PNA745" s="312"/>
      <c r="PNB745" s="312"/>
      <c r="PNC745" s="312"/>
      <c r="PND745" s="312"/>
      <c r="PNE745" s="312"/>
      <c r="PNF745" s="312"/>
      <c r="PNG745" s="312"/>
      <c r="PNH745" s="312"/>
      <c r="PNI745" s="312"/>
      <c r="PNJ745" s="312"/>
      <c r="PNK745" s="312"/>
      <c r="PNL745" s="312"/>
      <c r="PNM745" s="312"/>
      <c r="PNN745" s="312"/>
      <c r="PNO745" s="312"/>
      <c r="PNP745" s="312"/>
      <c r="PNQ745" s="312"/>
      <c r="PNR745" s="312"/>
      <c r="PNS745" s="312"/>
      <c r="PNT745" s="312"/>
      <c r="PNU745" s="312"/>
      <c r="PNV745" s="312"/>
      <c r="PNW745" s="312"/>
      <c r="PNX745" s="312"/>
      <c r="PNY745" s="312"/>
      <c r="PNZ745" s="312"/>
      <c r="POA745" s="312"/>
      <c r="POB745" s="312"/>
      <c r="POC745" s="312"/>
      <c r="POD745" s="312"/>
      <c r="POE745" s="312"/>
      <c r="POF745" s="312"/>
      <c r="POG745" s="312"/>
      <c r="POH745" s="312"/>
      <c r="POI745" s="312"/>
      <c r="POJ745" s="312"/>
      <c r="POK745" s="312"/>
      <c r="POL745" s="312"/>
      <c r="POM745" s="312"/>
      <c r="PON745" s="312"/>
      <c r="POO745" s="312"/>
      <c r="POP745" s="312"/>
      <c r="POQ745" s="312"/>
      <c r="POR745" s="312"/>
      <c r="POS745" s="312"/>
      <c r="POT745" s="312"/>
      <c r="POU745" s="312"/>
      <c r="POV745" s="312"/>
      <c r="POW745" s="312"/>
      <c r="POX745" s="312"/>
      <c r="POY745" s="312"/>
      <c r="POZ745" s="312"/>
      <c r="PPA745" s="312"/>
      <c r="PPB745" s="312"/>
      <c r="PPC745" s="312"/>
      <c r="PPD745" s="312"/>
      <c r="PPE745" s="312"/>
      <c r="PPF745" s="312"/>
      <c r="PPG745" s="312"/>
      <c r="PPH745" s="312"/>
      <c r="PPI745" s="312"/>
      <c r="PPJ745" s="312"/>
      <c r="PPK745" s="312"/>
      <c r="PPL745" s="312"/>
      <c r="PPM745" s="312"/>
      <c r="PPN745" s="312"/>
      <c r="PPO745" s="312"/>
      <c r="PPP745" s="312"/>
      <c r="PPQ745" s="312"/>
      <c r="PPR745" s="312"/>
      <c r="PPS745" s="312"/>
      <c r="PPT745" s="312"/>
      <c r="PPU745" s="312"/>
      <c r="PPV745" s="312"/>
      <c r="PPW745" s="312"/>
      <c r="PPX745" s="312"/>
      <c r="PPY745" s="312"/>
      <c r="PPZ745" s="312"/>
      <c r="PQA745" s="312"/>
      <c r="PQB745" s="312"/>
      <c r="PQC745" s="312"/>
      <c r="PQD745" s="312"/>
      <c r="PQE745" s="312"/>
      <c r="PQF745" s="312"/>
      <c r="PQG745" s="312"/>
      <c r="PQH745" s="312"/>
      <c r="PQI745" s="312"/>
      <c r="PQJ745" s="312"/>
      <c r="PQK745" s="312"/>
      <c r="PQL745" s="312"/>
      <c r="PQM745" s="312"/>
      <c r="PQN745" s="312"/>
      <c r="PQO745" s="312"/>
      <c r="PQP745" s="312"/>
      <c r="PQQ745" s="312"/>
      <c r="PQR745" s="312"/>
      <c r="PQS745" s="312"/>
      <c r="PQT745" s="312"/>
      <c r="PQU745" s="312"/>
      <c r="PQV745" s="312"/>
      <c r="PQW745" s="312"/>
      <c r="PQX745" s="312"/>
      <c r="PQY745" s="312"/>
      <c r="PQZ745" s="312"/>
      <c r="PRA745" s="312"/>
      <c r="PRB745" s="312"/>
      <c r="PRC745" s="312"/>
      <c r="PRD745" s="312"/>
      <c r="PRE745" s="312"/>
      <c r="PRF745" s="312"/>
      <c r="PRG745" s="312"/>
      <c r="PRH745" s="312"/>
      <c r="PRI745" s="312"/>
      <c r="PRJ745" s="312"/>
      <c r="PRK745" s="312"/>
      <c r="PRL745" s="312"/>
      <c r="PRM745" s="312"/>
      <c r="PRN745" s="312"/>
      <c r="PRO745" s="312"/>
      <c r="PRP745" s="312"/>
      <c r="PRQ745" s="312"/>
      <c r="PRR745" s="312"/>
      <c r="PRS745" s="312"/>
      <c r="PRT745" s="312"/>
      <c r="PRU745" s="312"/>
      <c r="PRV745" s="312"/>
      <c r="PRW745" s="312"/>
      <c r="PRX745" s="312"/>
      <c r="PRY745" s="312"/>
      <c r="PRZ745" s="312"/>
      <c r="PSA745" s="312"/>
      <c r="PSB745" s="312"/>
      <c r="PSC745" s="312"/>
      <c r="PSD745" s="312"/>
      <c r="PSE745" s="312"/>
      <c r="PSF745" s="312"/>
      <c r="PSG745" s="312"/>
      <c r="PSH745" s="312"/>
      <c r="PSI745" s="312"/>
      <c r="PSJ745" s="312"/>
      <c r="PSK745" s="312"/>
      <c r="PSL745" s="312"/>
      <c r="PSM745" s="312"/>
      <c r="PSN745" s="312"/>
      <c r="PSO745" s="312"/>
      <c r="PSP745" s="312"/>
      <c r="PSQ745" s="312"/>
      <c r="PSR745" s="312"/>
      <c r="PSS745" s="312"/>
      <c r="PST745" s="312"/>
      <c r="PSU745" s="312"/>
      <c r="PSV745" s="312"/>
      <c r="PSW745" s="312"/>
      <c r="PSX745" s="312"/>
      <c r="PSY745" s="312"/>
      <c r="PSZ745" s="312"/>
      <c r="PTA745" s="312"/>
      <c r="PTB745" s="312"/>
      <c r="PTC745" s="312"/>
      <c r="PTD745" s="312"/>
      <c r="PTE745" s="312"/>
      <c r="PTF745" s="312"/>
      <c r="PTG745" s="312"/>
      <c r="PTH745" s="312"/>
      <c r="PTI745" s="312"/>
      <c r="PTJ745" s="312"/>
      <c r="PTK745" s="312"/>
      <c r="PTL745" s="312"/>
      <c r="PTM745" s="312"/>
      <c r="PTN745" s="312"/>
      <c r="PTO745" s="312"/>
      <c r="PTP745" s="312"/>
      <c r="PTQ745" s="312"/>
      <c r="PTR745" s="312"/>
      <c r="PTS745" s="312"/>
      <c r="PTT745" s="312"/>
      <c r="PTU745" s="312"/>
      <c r="PTV745" s="312"/>
      <c r="PTW745" s="312"/>
      <c r="PTX745" s="312"/>
      <c r="PTY745" s="312"/>
      <c r="PTZ745" s="312"/>
      <c r="PUA745" s="312"/>
      <c r="PUB745" s="312"/>
      <c r="PUC745" s="312"/>
      <c r="PUD745" s="312"/>
      <c r="PUE745" s="312"/>
      <c r="PUF745" s="312"/>
      <c r="PUG745" s="312"/>
      <c r="PUH745" s="312"/>
      <c r="PUI745" s="312"/>
      <c r="PUJ745" s="312"/>
      <c r="PUK745" s="312"/>
      <c r="PUL745" s="312"/>
      <c r="PUM745" s="312"/>
      <c r="PUN745" s="312"/>
      <c r="PUO745" s="312"/>
      <c r="PUP745" s="312"/>
      <c r="PUQ745" s="312"/>
      <c r="PUR745" s="312"/>
      <c r="PUS745" s="312"/>
      <c r="PUT745" s="312"/>
      <c r="PUU745" s="312"/>
      <c r="PUV745" s="312"/>
      <c r="PUW745" s="312"/>
      <c r="PUX745" s="312"/>
      <c r="PUY745" s="312"/>
      <c r="PUZ745" s="312"/>
      <c r="PVA745" s="312"/>
      <c r="PVB745" s="312"/>
      <c r="PVC745" s="312"/>
      <c r="PVD745" s="312"/>
      <c r="PVE745" s="312"/>
      <c r="PVF745" s="312"/>
      <c r="PVG745" s="312"/>
      <c r="PVH745" s="312"/>
      <c r="PVI745" s="312"/>
      <c r="PVJ745" s="312"/>
      <c r="PVK745" s="312"/>
      <c r="PVL745" s="312"/>
      <c r="PVM745" s="312"/>
      <c r="PVN745" s="312"/>
      <c r="PVO745" s="312"/>
      <c r="PVP745" s="312"/>
      <c r="PVQ745" s="312"/>
      <c r="PVR745" s="312"/>
      <c r="PVS745" s="312"/>
      <c r="PVT745" s="312"/>
      <c r="PVU745" s="312"/>
      <c r="PVV745" s="312"/>
      <c r="PVW745" s="312"/>
      <c r="PVX745" s="312"/>
      <c r="PVY745" s="312"/>
      <c r="PVZ745" s="312"/>
      <c r="PWA745" s="312"/>
      <c r="PWB745" s="312"/>
      <c r="PWC745" s="312"/>
      <c r="PWD745" s="312"/>
      <c r="PWE745" s="312"/>
      <c r="PWF745" s="312"/>
      <c r="PWG745" s="312"/>
      <c r="PWH745" s="312"/>
      <c r="PWI745" s="312"/>
      <c r="PWJ745" s="312"/>
      <c r="PWK745" s="312"/>
      <c r="PWL745" s="312"/>
      <c r="PWM745" s="312"/>
      <c r="PWN745" s="312"/>
      <c r="PWO745" s="312"/>
      <c r="PWP745" s="312"/>
      <c r="PWQ745" s="312"/>
      <c r="PWR745" s="312"/>
      <c r="PWS745" s="312"/>
      <c r="PWT745" s="312"/>
      <c r="PWU745" s="312"/>
      <c r="PWV745" s="312"/>
      <c r="PWW745" s="312"/>
      <c r="PWX745" s="312"/>
      <c r="PWY745" s="312"/>
      <c r="PWZ745" s="312"/>
      <c r="PXA745" s="312"/>
      <c r="PXB745" s="312"/>
      <c r="PXC745" s="312"/>
      <c r="PXD745" s="312"/>
      <c r="PXE745" s="312"/>
      <c r="PXF745" s="312"/>
      <c r="PXG745" s="312"/>
      <c r="PXH745" s="312"/>
      <c r="PXI745" s="312"/>
      <c r="PXJ745" s="312"/>
      <c r="PXK745" s="312"/>
      <c r="PXL745" s="312"/>
      <c r="PXM745" s="312"/>
      <c r="PXN745" s="312"/>
      <c r="PXO745" s="312"/>
      <c r="PXP745" s="312"/>
      <c r="PXQ745" s="312"/>
      <c r="PXR745" s="312"/>
      <c r="PXS745" s="312"/>
      <c r="PXT745" s="312"/>
      <c r="PXU745" s="312"/>
      <c r="PXV745" s="312"/>
      <c r="PXW745" s="312"/>
      <c r="PXX745" s="312"/>
      <c r="PXY745" s="312"/>
      <c r="PXZ745" s="312"/>
      <c r="PYA745" s="312"/>
      <c r="PYB745" s="312"/>
      <c r="PYC745" s="312"/>
      <c r="PYD745" s="312"/>
      <c r="PYE745" s="312"/>
      <c r="PYF745" s="312"/>
      <c r="PYG745" s="312"/>
      <c r="PYH745" s="312"/>
      <c r="PYI745" s="312"/>
      <c r="PYJ745" s="312"/>
      <c r="PYK745" s="312"/>
      <c r="PYL745" s="312"/>
      <c r="PYM745" s="312"/>
      <c r="PYN745" s="312"/>
      <c r="PYO745" s="312"/>
      <c r="PYP745" s="312"/>
      <c r="PYQ745" s="312"/>
      <c r="PYR745" s="312"/>
      <c r="PYS745" s="312"/>
      <c r="PYT745" s="312"/>
      <c r="PYU745" s="312"/>
      <c r="PYV745" s="312"/>
      <c r="PYW745" s="312"/>
      <c r="PYX745" s="312"/>
      <c r="PYY745" s="312"/>
      <c r="PYZ745" s="312"/>
      <c r="PZA745" s="312"/>
      <c r="PZB745" s="312"/>
      <c r="PZC745" s="312"/>
      <c r="PZD745" s="312"/>
      <c r="PZE745" s="312"/>
      <c r="PZF745" s="312"/>
      <c r="PZG745" s="312"/>
      <c r="PZH745" s="312"/>
      <c r="PZI745" s="312"/>
      <c r="PZJ745" s="312"/>
      <c r="PZK745" s="312"/>
      <c r="PZL745" s="312"/>
      <c r="PZM745" s="312"/>
      <c r="PZN745" s="312"/>
      <c r="PZO745" s="312"/>
      <c r="PZP745" s="312"/>
      <c r="PZQ745" s="312"/>
      <c r="PZR745" s="312"/>
      <c r="PZS745" s="312"/>
      <c r="PZT745" s="312"/>
      <c r="PZU745" s="312"/>
      <c r="PZV745" s="312"/>
      <c r="PZW745" s="312"/>
      <c r="PZX745" s="312"/>
      <c r="PZY745" s="312"/>
      <c r="PZZ745" s="312"/>
      <c r="QAA745" s="312"/>
      <c r="QAB745" s="312"/>
      <c r="QAC745" s="312"/>
      <c r="QAD745" s="312"/>
      <c r="QAE745" s="312"/>
      <c r="QAF745" s="312"/>
      <c r="QAG745" s="312"/>
      <c r="QAH745" s="312"/>
      <c r="QAI745" s="312"/>
      <c r="QAJ745" s="312"/>
      <c r="QAK745" s="312"/>
      <c r="QAL745" s="312"/>
      <c r="QAM745" s="312"/>
      <c r="QAN745" s="312"/>
      <c r="QAO745" s="312"/>
      <c r="QAP745" s="312"/>
      <c r="QAQ745" s="312"/>
      <c r="QAR745" s="312"/>
      <c r="QAS745" s="312"/>
      <c r="QAT745" s="312"/>
      <c r="QAU745" s="312"/>
      <c r="QAV745" s="312"/>
      <c r="QAW745" s="312"/>
      <c r="QAX745" s="312"/>
      <c r="QAY745" s="312"/>
      <c r="QAZ745" s="312"/>
      <c r="QBA745" s="312"/>
      <c r="QBB745" s="312"/>
      <c r="QBC745" s="312"/>
      <c r="QBD745" s="312"/>
      <c r="QBE745" s="312"/>
      <c r="QBF745" s="312"/>
      <c r="QBG745" s="312"/>
      <c r="QBH745" s="312"/>
      <c r="QBI745" s="312"/>
      <c r="QBJ745" s="312"/>
      <c r="QBK745" s="312"/>
      <c r="QBL745" s="312"/>
      <c r="QBM745" s="312"/>
      <c r="QBN745" s="312"/>
      <c r="QBO745" s="312"/>
      <c r="QBP745" s="312"/>
      <c r="QBQ745" s="312"/>
      <c r="QBR745" s="312"/>
      <c r="QBS745" s="312"/>
      <c r="QBT745" s="312"/>
      <c r="QBU745" s="312"/>
      <c r="QBV745" s="312"/>
      <c r="QBW745" s="312"/>
      <c r="QBX745" s="312"/>
      <c r="QBY745" s="312"/>
      <c r="QBZ745" s="312"/>
      <c r="QCA745" s="312"/>
      <c r="QCB745" s="312"/>
      <c r="QCC745" s="312"/>
      <c r="QCD745" s="312"/>
      <c r="QCE745" s="312"/>
      <c r="QCF745" s="312"/>
      <c r="QCG745" s="312"/>
      <c r="QCH745" s="312"/>
      <c r="QCI745" s="312"/>
      <c r="QCJ745" s="312"/>
      <c r="QCK745" s="312"/>
      <c r="QCL745" s="312"/>
      <c r="QCM745" s="312"/>
      <c r="QCN745" s="312"/>
      <c r="QCO745" s="312"/>
      <c r="QCP745" s="312"/>
      <c r="QCQ745" s="312"/>
      <c r="QCR745" s="312"/>
      <c r="QCS745" s="312"/>
      <c r="QCT745" s="312"/>
      <c r="QCU745" s="312"/>
      <c r="QCV745" s="312"/>
      <c r="QCW745" s="312"/>
      <c r="QCX745" s="312"/>
      <c r="QCY745" s="312"/>
      <c r="QCZ745" s="312"/>
      <c r="QDA745" s="312"/>
      <c r="QDB745" s="312"/>
      <c r="QDC745" s="312"/>
      <c r="QDD745" s="312"/>
      <c r="QDE745" s="312"/>
      <c r="QDF745" s="312"/>
      <c r="QDG745" s="312"/>
      <c r="QDH745" s="312"/>
      <c r="QDI745" s="312"/>
      <c r="QDJ745" s="312"/>
      <c r="QDK745" s="312"/>
      <c r="QDL745" s="312"/>
      <c r="QDM745" s="312"/>
      <c r="QDN745" s="312"/>
      <c r="QDO745" s="312"/>
      <c r="QDP745" s="312"/>
      <c r="QDQ745" s="312"/>
      <c r="QDR745" s="312"/>
      <c r="QDS745" s="312"/>
      <c r="QDT745" s="312"/>
      <c r="QDU745" s="312"/>
      <c r="QDV745" s="312"/>
      <c r="QDW745" s="312"/>
      <c r="QDX745" s="312"/>
      <c r="QDY745" s="312"/>
      <c r="QDZ745" s="312"/>
      <c r="QEA745" s="312"/>
      <c r="QEB745" s="312"/>
      <c r="QEC745" s="312"/>
      <c r="QED745" s="312"/>
      <c r="QEE745" s="312"/>
      <c r="QEF745" s="312"/>
      <c r="QEG745" s="312"/>
      <c r="QEH745" s="312"/>
      <c r="QEI745" s="312"/>
      <c r="QEJ745" s="312"/>
      <c r="QEK745" s="312"/>
      <c r="QEL745" s="312"/>
      <c r="QEM745" s="312"/>
      <c r="QEN745" s="312"/>
      <c r="QEO745" s="312"/>
      <c r="QEP745" s="312"/>
      <c r="QEQ745" s="312"/>
      <c r="QER745" s="312"/>
      <c r="QES745" s="312"/>
      <c r="QET745" s="312"/>
      <c r="QEU745" s="312"/>
      <c r="QEV745" s="312"/>
      <c r="QEW745" s="312"/>
      <c r="QEX745" s="312"/>
      <c r="QEY745" s="312"/>
      <c r="QEZ745" s="312"/>
      <c r="QFA745" s="312"/>
      <c r="QFB745" s="312"/>
      <c r="QFC745" s="312"/>
      <c r="QFD745" s="312"/>
      <c r="QFE745" s="312"/>
      <c r="QFF745" s="312"/>
      <c r="QFG745" s="312"/>
      <c r="QFH745" s="312"/>
      <c r="QFI745" s="312"/>
      <c r="QFJ745" s="312"/>
      <c r="QFK745" s="312"/>
      <c r="QFL745" s="312"/>
      <c r="QFM745" s="312"/>
      <c r="QFN745" s="312"/>
      <c r="QFO745" s="312"/>
      <c r="QFP745" s="312"/>
      <c r="QFQ745" s="312"/>
      <c r="QFR745" s="312"/>
      <c r="QFS745" s="312"/>
      <c r="QFT745" s="312"/>
      <c r="QFU745" s="312"/>
      <c r="QFV745" s="312"/>
      <c r="QFW745" s="312"/>
      <c r="QFX745" s="312"/>
      <c r="QFY745" s="312"/>
      <c r="QFZ745" s="312"/>
      <c r="QGA745" s="312"/>
      <c r="QGB745" s="312"/>
      <c r="QGC745" s="312"/>
      <c r="QGD745" s="312"/>
      <c r="QGE745" s="312"/>
      <c r="QGF745" s="312"/>
      <c r="QGG745" s="312"/>
      <c r="QGH745" s="312"/>
      <c r="QGI745" s="312"/>
      <c r="QGJ745" s="312"/>
      <c r="QGK745" s="312"/>
      <c r="QGL745" s="312"/>
      <c r="QGM745" s="312"/>
      <c r="QGN745" s="312"/>
      <c r="QGO745" s="312"/>
      <c r="QGP745" s="312"/>
      <c r="QGQ745" s="312"/>
      <c r="QGR745" s="312"/>
      <c r="QGS745" s="312"/>
      <c r="QGT745" s="312"/>
      <c r="QGU745" s="312"/>
      <c r="QGV745" s="312"/>
      <c r="QGW745" s="312"/>
      <c r="QGX745" s="312"/>
      <c r="QGY745" s="312"/>
      <c r="QGZ745" s="312"/>
      <c r="QHA745" s="312"/>
      <c r="QHB745" s="312"/>
      <c r="QHC745" s="312"/>
      <c r="QHD745" s="312"/>
      <c r="QHE745" s="312"/>
      <c r="QHF745" s="312"/>
      <c r="QHG745" s="312"/>
      <c r="QHH745" s="312"/>
      <c r="QHI745" s="312"/>
      <c r="QHJ745" s="312"/>
      <c r="QHK745" s="312"/>
      <c r="QHL745" s="312"/>
      <c r="QHM745" s="312"/>
      <c r="QHN745" s="312"/>
      <c r="QHO745" s="312"/>
      <c r="QHP745" s="312"/>
      <c r="QHQ745" s="312"/>
      <c r="QHR745" s="312"/>
      <c r="QHS745" s="312"/>
      <c r="QHT745" s="312"/>
      <c r="QHU745" s="312"/>
      <c r="QHV745" s="312"/>
      <c r="QHW745" s="312"/>
      <c r="QHX745" s="312"/>
      <c r="QHY745" s="312"/>
      <c r="QHZ745" s="312"/>
      <c r="QIA745" s="312"/>
      <c r="QIB745" s="312"/>
      <c r="QIC745" s="312"/>
      <c r="QID745" s="312"/>
      <c r="QIE745" s="312"/>
      <c r="QIF745" s="312"/>
      <c r="QIG745" s="312"/>
      <c r="QIH745" s="312"/>
      <c r="QII745" s="312"/>
      <c r="QIJ745" s="312"/>
      <c r="QIK745" s="312"/>
      <c r="QIL745" s="312"/>
      <c r="QIM745" s="312"/>
      <c r="QIN745" s="312"/>
      <c r="QIO745" s="312"/>
      <c r="QIP745" s="312"/>
      <c r="QIQ745" s="312"/>
      <c r="QIR745" s="312"/>
      <c r="QIS745" s="312"/>
      <c r="QIT745" s="312"/>
      <c r="QIU745" s="312"/>
      <c r="QIV745" s="312"/>
      <c r="QIW745" s="312"/>
      <c r="QIX745" s="312"/>
      <c r="QIY745" s="312"/>
      <c r="QIZ745" s="312"/>
      <c r="QJA745" s="312"/>
      <c r="QJB745" s="312"/>
      <c r="QJC745" s="312"/>
      <c r="QJD745" s="312"/>
      <c r="QJE745" s="312"/>
      <c r="QJF745" s="312"/>
      <c r="QJG745" s="312"/>
      <c r="QJH745" s="312"/>
      <c r="QJI745" s="312"/>
      <c r="QJJ745" s="312"/>
      <c r="QJK745" s="312"/>
      <c r="QJL745" s="312"/>
      <c r="QJM745" s="312"/>
      <c r="QJN745" s="312"/>
      <c r="QJO745" s="312"/>
      <c r="QJP745" s="312"/>
      <c r="QJQ745" s="312"/>
      <c r="QJR745" s="312"/>
      <c r="QJS745" s="312"/>
      <c r="QJT745" s="312"/>
      <c r="QJU745" s="312"/>
      <c r="QJV745" s="312"/>
      <c r="QJW745" s="312"/>
      <c r="QJX745" s="312"/>
      <c r="QJY745" s="312"/>
      <c r="QJZ745" s="312"/>
      <c r="QKA745" s="312"/>
      <c r="QKB745" s="312"/>
      <c r="QKC745" s="312"/>
      <c r="QKD745" s="312"/>
      <c r="QKE745" s="312"/>
      <c r="QKF745" s="312"/>
      <c r="QKG745" s="312"/>
      <c r="QKH745" s="312"/>
      <c r="QKI745" s="312"/>
      <c r="QKJ745" s="312"/>
      <c r="QKK745" s="312"/>
      <c r="QKL745" s="312"/>
      <c r="QKM745" s="312"/>
      <c r="QKN745" s="312"/>
      <c r="QKO745" s="312"/>
      <c r="QKP745" s="312"/>
      <c r="QKQ745" s="312"/>
      <c r="QKR745" s="312"/>
      <c r="QKS745" s="312"/>
      <c r="QKT745" s="312"/>
      <c r="QKU745" s="312"/>
      <c r="QKV745" s="312"/>
      <c r="QKW745" s="312"/>
      <c r="QKX745" s="312"/>
      <c r="QKY745" s="312"/>
      <c r="QKZ745" s="312"/>
      <c r="QLA745" s="312"/>
      <c r="QLB745" s="312"/>
      <c r="QLC745" s="312"/>
      <c r="QLD745" s="312"/>
      <c r="QLE745" s="312"/>
      <c r="QLF745" s="312"/>
      <c r="QLG745" s="312"/>
      <c r="QLH745" s="312"/>
      <c r="QLI745" s="312"/>
      <c r="QLJ745" s="312"/>
      <c r="QLK745" s="312"/>
      <c r="QLL745" s="312"/>
      <c r="QLM745" s="312"/>
      <c r="QLN745" s="312"/>
      <c r="QLO745" s="312"/>
      <c r="QLP745" s="312"/>
      <c r="QLQ745" s="312"/>
      <c r="QLR745" s="312"/>
      <c r="QLS745" s="312"/>
      <c r="QLT745" s="312"/>
      <c r="QLU745" s="312"/>
      <c r="QLV745" s="312"/>
      <c r="QLW745" s="312"/>
      <c r="QLX745" s="312"/>
      <c r="QLY745" s="312"/>
      <c r="QLZ745" s="312"/>
      <c r="QMA745" s="312"/>
      <c r="QMB745" s="312"/>
      <c r="QMC745" s="312"/>
      <c r="QMD745" s="312"/>
      <c r="QME745" s="312"/>
      <c r="QMF745" s="312"/>
      <c r="QMG745" s="312"/>
      <c r="QMH745" s="312"/>
      <c r="QMI745" s="312"/>
      <c r="QMJ745" s="312"/>
      <c r="QMK745" s="312"/>
      <c r="QML745" s="312"/>
      <c r="QMM745" s="312"/>
      <c r="QMN745" s="312"/>
      <c r="QMO745" s="312"/>
      <c r="QMP745" s="312"/>
      <c r="QMQ745" s="312"/>
      <c r="QMR745" s="312"/>
      <c r="QMS745" s="312"/>
      <c r="QMT745" s="312"/>
      <c r="QMU745" s="312"/>
      <c r="QMV745" s="312"/>
      <c r="QMW745" s="312"/>
      <c r="QMX745" s="312"/>
      <c r="QMY745" s="312"/>
      <c r="QMZ745" s="312"/>
      <c r="QNA745" s="312"/>
      <c r="QNB745" s="312"/>
      <c r="QNC745" s="312"/>
      <c r="QND745" s="312"/>
      <c r="QNE745" s="312"/>
      <c r="QNF745" s="312"/>
      <c r="QNG745" s="312"/>
      <c r="QNH745" s="312"/>
      <c r="QNI745" s="312"/>
      <c r="QNJ745" s="312"/>
      <c r="QNK745" s="312"/>
      <c r="QNL745" s="312"/>
      <c r="QNM745" s="312"/>
      <c r="QNN745" s="312"/>
      <c r="QNO745" s="312"/>
      <c r="QNP745" s="312"/>
      <c r="QNQ745" s="312"/>
      <c r="QNR745" s="312"/>
      <c r="QNS745" s="312"/>
      <c r="QNT745" s="312"/>
      <c r="QNU745" s="312"/>
      <c r="QNV745" s="312"/>
      <c r="QNW745" s="312"/>
      <c r="QNX745" s="312"/>
      <c r="QNY745" s="312"/>
      <c r="QNZ745" s="312"/>
      <c r="QOA745" s="312"/>
      <c r="QOB745" s="312"/>
      <c r="QOC745" s="312"/>
      <c r="QOD745" s="312"/>
      <c r="QOE745" s="312"/>
      <c r="QOF745" s="312"/>
      <c r="QOG745" s="312"/>
      <c r="QOH745" s="312"/>
      <c r="QOI745" s="312"/>
      <c r="QOJ745" s="312"/>
      <c r="QOK745" s="312"/>
      <c r="QOL745" s="312"/>
      <c r="QOM745" s="312"/>
      <c r="QON745" s="312"/>
      <c r="QOO745" s="312"/>
      <c r="QOP745" s="312"/>
      <c r="QOQ745" s="312"/>
      <c r="QOR745" s="312"/>
      <c r="QOS745" s="312"/>
      <c r="QOT745" s="312"/>
      <c r="QOU745" s="312"/>
      <c r="QOV745" s="312"/>
      <c r="QOW745" s="312"/>
      <c r="QOX745" s="312"/>
      <c r="QOY745" s="312"/>
      <c r="QOZ745" s="312"/>
      <c r="QPA745" s="312"/>
      <c r="QPB745" s="312"/>
      <c r="QPC745" s="312"/>
      <c r="QPD745" s="312"/>
      <c r="QPE745" s="312"/>
      <c r="QPF745" s="312"/>
      <c r="QPG745" s="312"/>
      <c r="QPH745" s="312"/>
      <c r="QPI745" s="312"/>
      <c r="QPJ745" s="312"/>
      <c r="QPK745" s="312"/>
      <c r="QPL745" s="312"/>
      <c r="QPM745" s="312"/>
      <c r="QPN745" s="312"/>
      <c r="QPO745" s="312"/>
      <c r="QPP745" s="312"/>
      <c r="QPQ745" s="312"/>
      <c r="QPR745" s="312"/>
      <c r="QPS745" s="312"/>
      <c r="QPT745" s="312"/>
      <c r="QPU745" s="312"/>
      <c r="QPV745" s="312"/>
      <c r="QPW745" s="312"/>
      <c r="QPX745" s="312"/>
      <c r="QPY745" s="312"/>
      <c r="QPZ745" s="312"/>
      <c r="QQA745" s="312"/>
      <c r="QQB745" s="312"/>
      <c r="QQC745" s="312"/>
      <c r="QQD745" s="312"/>
      <c r="QQE745" s="312"/>
      <c r="QQF745" s="312"/>
      <c r="QQG745" s="312"/>
      <c r="QQH745" s="312"/>
      <c r="QQI745" s="312"/>
      <c r="QQJ745" s="312"/>
      <c r="QQK745" s="312"/>
      <c r="QQL745" s="312"/>
      <c r="QQM745" s="312"/>
      <c r="QQN745" s="312"/>
      <c r="QQO745" s="312"/>
      <c r="QQP745" s="312"/>
      <c r="QQQ745" s="312"/>
      <c r="QQR745" s="312"/>
      <c r="QQS745" s="312"/>
      <c r="QQT745" s="312"/>
      <c r="QQU745" s="312"/>
      <c r="QQV745" s="312"/>
      <c r="QQW745" s="312"/>
      <c r="QQX745" s="312"/>
      <c r="QQY745" s="312"/>
      <c r="QQZ745" s="312"/>
      <c r="QRA745" s="312"/>
      <c r="QRB745" s="312"/>
      <c r="QRC745" s="312"/>
      <c r="QRD745" s="312"/>
      <c r="QRE745" s="312"/>
      <c r="QRF745" s="312"/>
      <c r="QRG745" s="312"/>
      <c r="QRH745" s="312"/>
      <c r="QRI745" s="312"/>
      <c r="QRJ745" s="312"/>
      <c r="QRK745" s="312"/>
      <c r="QRL745" s="312"/>
      <c r="QRM745" s="312"/>
      <c r="QRN745" s="312"/>
      <c r="QRO745" s="312"/>
      <c r="QRP745" s="312"/>
      <c r="QRQ745" s="312"/>
      <c r="QRR745" s="312"/>
      <c r="QRS745" s="312"/>
      <c r="QRT745" s="312"/>
      <c r="QRU745" s="312"/>
      <c r="QRV745" s="312"/>
      <c r="QRW745" s="312"/>
      <c r="QRX745" s="312"/>
      <c r="QRY745" s="312"/>
      <c r="QRZ745" s="312"/>
      <c r="QSA745" s="312"/>
      <c r="QSB745" s="312"/>
      <c r="QSC745" s="312"/>
      <c r="QSD745" s="312"/>
      <c r="QSE745" s="312"/>
      <c r="QSF745" s="312"/>
      <c r="QSG745" s="312"/>
      <c r="QSH745" s="312"/>
      <c r="QSI745" s="312"/>
      <c r="QSJ745" s="312"/>
      <c r="QSK745" s="312"/>
      <c r="QSL745" s="312"/>
      <c r="QSM745" s="312"/>
      <c r="QSN745" s="312"/>
      <c r="QSO745" s="312"/>
      <c r="QSP745" s="312"/>
      <c r="QSQ745" s="312"/>
      <c r="QSR745" s="312"/>
      <c r="QSS745" s="312"/>
      <c r="QST745" s="312"/>
      <c r="QSU745" s="312"/>
      <c r="QSV745" s="312"/>
      <c r="QSW745" s="312"/>
      <c r="QSX745" s="312"/>
      <c r="QSY745" s="312"/>
      <c r="QSZ745" s="312"/>
      <c r="QTA745" s="312"/>
      <c r="QTB745" s="312"/>
      <c r="QTC745" s="312"/>
      <c r="QTD745" s="312"/>
      <c r="QTE745" s="312"/>
      <c r="QTF745" s="312"/>
      <c r="QTG745" s="312"/>
      <c r="QTH745" s="312"/>
      <c r="QTI745" s="312"/>
      <c r="QTJ745" s="312"/>
      <c r="QTK745" s="312"/>
      <c r="QTL745" s="312"/>
      <c r="QTM745" s="312"/>
      <c r="QTN745" s="312"/>
      <c r="QTO745" s="312"/>
      <c r="QTP745" s="312"/>
      <c r="QTQ745" s="312"/>
      <c r="QTR745" s="312"/>
      <c r="QTS745" s="312"/>
      <c r="QTT745" s="312"/>
      <c r="QTU745" s="312"/>
      <c r="QTV745" s="312"/>
      <c r="QTW745" s="312"/>
      <c r="QTX745" s="312"/>
      <c r="QTY745" s="312"/>
      <c r="QTZ745" s="312"/>
      <c r="QUA745" s="312"/>
      <c r="QUB745" s="312"/>
      <c r="QUC745" s="312"/>
      <c r="QUD745" s="312"/>
      <c r="QUE745" s="312"/>
      <c r="QUF745" s="312"/>
      <c r="QUG745" s="312"/>
      <c r="QUH745" s="312"/>
      <c r="QUI745" s="312"/>
      <c r="QUJ745" s="312"/>
      <c r="QUK745" s="312"/>
      <c r="QUL745" s="312"/>
      <c r="QUM745" s="312"/>
      <c r="QUN745" s="312"/>
      <c r="QUO745" s="312"/>
      <c r="QUP745" s="312"/>
      <c r="QUQ745" s="312"/>
      <c r="QUR745" s="312"/>
      <c r="QUS745" s="312"/>
      <c r="QUT745" s="312"/>
      <c r="QUU745" s="312"/>
      <c r="QUV745" s="312"/>
      <c r="QUW745" s="312"/>
      <c r="QUX745" s="312"/>
      <c r="QUY745" s="312"/>
      <c r="QUZ745" s="312"/>
      <c r="QVA745" s="312"/>
      <c r="QVB745" s="312"/>
      <c r="QVC745" s="312"/>
      <c r="QVD745" s="312"/>
      <c r="QVE745" s="312"/>
      <c r="QVF745" s="312"/>
      <c r="QVG745" s="312"/>
      <c r="QVH745" s="312"/>
      <c r="QVI745" s="312"/>
      <c r="QVJ745" s="312"/>
      <c r="QVK745" s="312"/>
      <c r="QVL745" s="312"/>
      <c r="QVM745" s="312"/>
      <c r="QVN745" s="312"/>
      <c r="QVO745" s="312"/>
      <c r="QVP745" s="312"/>
      <c r="QVQ745" s="312"/>
      <c r="QVR745" s="312"/>
      <c r="QVS745" s="312"/>
      <c r="QVT745" s="312"/>
      <c r="QVU745" s="312"/>
      <c r="QVV745" s="312"/>
      <c r="QVW745" s="312"/>
      <c r="QVX745" s="312"/>
      <c r="QVY745" s="312"/>
      <c r="QVZ745" s="312"/>
      <c r="QWA745" s="312"/>
      <c r="QWB745" s="312"/>
      <c r="QWC745" s="312"/>
      <c r="QWD745" s="312"/>
      <c r="QWE745" s="312"/>
      <c r="QWF745" s="312"/>
      <c r="QWG745" s="312"/>
      <c r="QWH745" s="312"/>
      <c r="QWI745" s="312"/>
      <c r="QWJ745" s="312"/>
      <c r="QWK745" s="312"/>
      <c r="QWL745" s="312"/>
      <c r="QWM745" s="312"/>
      <c r="QWN745" s="312"/>
      <c r="QWO745" s="312"/>
      <c r="QWP745" s="312"/>
      <c r="QWQ745" s="312"/>
      <c r="QWR745" s="312"/>
      <c r="QWS745" s="312"/>
      <c r="QWT745" s="312"/>
      <c r="QWU745" s="312"/>
      <c r="QWV745" s="312"/>
      <c r="QWW745" s="312"/>
      <c r="QWX745" s="312"/>
      <c r="QWY745" s="312"/>
      <c r="QWZ745" s="312"/>
      <c r="QXA745" s="312"/>
      <c r="QXB745" s="312"/>
      <c r="QXC745" s="312"/>
      <c r="QXD745" s="312"/>
      <c r="QXE745" s="312"/>
      <c r="QXF745" s="312"/>
      <c r="QXG745" s="312"/>
      <c r="QXH745" s="312"/>
      <c r="QXI745" s="312"/>
      <c r="QXJ745" s="312"/>
      <c r="QXK745" s="312"/>
      <c r="QXL745" s="312"/>
      <c r="QXM745" s="312"/>
      <c r="QXN745" s="312"/>
      <c r="QXO745" s="312"/>
      <c r="QXP745" s="312"/>
      <c r="QXQ745" s="312"/>
      <c r="QXR745" s="312"/>
      <c r="QXS745" s="312"/>
      <c r="QXT745" s="312"/>
      <c r="QXU745" s="312"/>
      <c r="QXV745" s="312"/>
      <c r="QXW745" s="312"/>
      <c r="QXX745" s="312"/>
      <c r="QXY745" s="312"/>
      <c r="QXZ745" s="312"/>
      <c r="QYA745" s="312"/>
      <c r="QYB745" s="312"/>
      <c r="QYC745" s="312"/>
      <c r="QYD745" s="312"/>
      <c r="QYE745" s="312"/>
      <c r="QYF745" s="312"/>
      <c r="QYG745" s="312"/>
      <c r="QYH745" s="312"/>
      <c r="QYI745" s="312"/>
      <c r="QYJ745" s="312"/>
      <c r="QYK745" s="312"/>
      <c r="QYL745" s="312"/>
      <c r="QYM745" s="312"/>
      <c r="QYN745" s="312"/>
      <c r="QYO745" s="312"/>
      <c r="QYP745" s="312"/>
      <c r="QYQ745" s="312"/>
      <c r="QYR745" s="312"/>
      <c r="QYS745" s="312"/>
      <c r="QYT745" s="312"/>
      <c r="QYU745" s="312"/>
      <c r="QYV745" s="312"/>
      <c r="QYW745" s="312"/>
      <c r="QYX745" s="312"/>
      <c r="QYY745" s="312"/>
      <c r="QYZ745" s="312"/>
      <c r="QZA745" s="312"/>
      <c r="QZB745" s="312"/>
      <c r="QZC745" s="312"/>
      <c r="QZD745" s="312"/>
      <c r="QZE745" s="312"/>
      <c r="QZF745" s="312"/>
      <c r="QZG745" s="312"/>
      <c r="QZH745" s="312"/>
      <c r="QZI745" s="312"/>
      <c r="QZJ745" s="312"/>
      <c r="QZK745" s="312"/>
      <c r="QZL745" s="312"/>
      <c r="QZM745" s="312"/>
      <c r="QZN745" s="312"/>
      <c r="QZO745" s="312"/>
      <c r="QZP745" s="312"/>
      <c r="QZQ745" s="312"/>
      <c r="QZR745" s="312"/>
      <c r="QZS745" s="312"/>
      <c r="QZT745" s="312"/>
      <c r="QZU745" s="312"/>
      <c r="QZV745" s="312"/>
      <c r="QZW745" s="312"/>
      <c r="QZX745" s="312"/>
      <c r="QZY745" s="312"/>
      <c r="QZZ745" s="312"/>
      <c r="RAA745" s="312"/>
      <c r="RAB745" s="312"/>
      <c r="RAC745" s="312"/>
      <c r="RAD745" s="312"/>
      <c r="RAE745" s="312"/>
      <c r="RAF745" s="312"/>
      <c r="RAG745" s="312"/>
      <c r="RAH745" s="312"/>
      <c r="RAI745" s="312"/>
      <c r="RAJ745" s="312"/>
      <c r="RAK745" s="312"/>
      <c r="RAL745" s="312"/>
      <c r="RAM745" s="312"/>
      <c r="RAN745" s="312"/>
      <c r="RAO745" s="312"/>
      <c r="RAP745" s="312"/>
      <c r="RAQ745" s="312"/>
      <c r="RAR745" s="312"/>
      <c r="RAS745" s="312"/>
      <c r="RAT745" s="312"/>
      <c r="RAU745" s="312"/>
      <c r="RAV745" s="312"/>
      <c r="RAW745" s="312"/>
      <c r="RAX745" s="312"/>
      <c r="RAY745" s="312"/>
      <c r="RAZ745" s="312"/>
      <c r="RBA745" s="312"/>
      <c r="RBB745" s="312"/>
      <c r="RBC745" s="312"/>
      <c r="RBD745" s="312"/>
      <c r="RBE745" s="312"/>
      <c r="RBF745" s="312"/>
      <c r="RBG745" s="312"/>
      <c r="RBH745" s="312"/>
      <c r="RBI745" s="312"/>
      <c r="RBJ745" s="312"/>
      <c r="RBK745" s="312"/>
      <c r="RBL745" s="312"/>
      <c r="RBM745" s="312"/>
      <c r="RBN745" s="312"/>
      <c r="RBO745" s="312"/>
      <c r="RBP745" s="312"/>
      <c r="RBQ745" s="312"/>
      <c r="RBR745" s="312"/>
      <c r="RBS745" s="312"/>
      <c r="RBT745" s="312"/>
      <c r="RBU745" s="312"/>
      <c r="RBV745" s="312"/>
      <c r="RBW745" s="312"/>
      <c r="RBX745" s="312"/>
      <c r="RBY745" s="312"/>
      <c r="RBZ745" s="312"/>
      <c r="RCA745" s="312"/>
      <c r="RCB745" s="312"/>
      <c r="RCC745" s="312"/>
      <c r="RCD745" s="312"/>
      <c r="RCE745" s="312"/>
      <c r="RCF745" s="312"/>
      <c r="RCG745" s="312"/>
      <c r="RCH745" s="312"/>
      <c r="RCI745" s="312"/>
      <c r="RCJ745" s="312"/>
      <c r="RCK745" s="312"/>
      <c r="RCL745" s="312"/>
      <c r="RCM745" s="312"/>
      <c r="RCN745" s="312"/>
      <c r="RCO745" s="312"/>
      <c r="RCP745" s="312"/>
      <c r="RCQ745" s="312"/>
      <c r="RCR745" s="312"/>
      <c r="RCS745" s="312"/>
      <c r="RCT745" s="312"/>
      <c r="RCU745" s="312"/>
      <c r="RCV745" s="312"/>
      <c r="RCW745" s="312"/>
      <c r="RCX745" s="312"/>
      <c r="RCY745" s="312"/>
      <c r="RCZ745" s="312"/>
      <c r="RDA745" s="312"/>
      <c r="RDB745" s="312"/>
      <c r="RDC745" s="312"/>
      <c r="RDD745" s="312"/>
      <c r="RDE745" s="312"/>
      <c r="RDF745" s="312"/>
      <c r="RDG745" s="312"/>
      <c r="RDH745" s="312"/>
      <c r="RDI745" s="312"/>
      <c r="RDJ745" s="312"/>
      <c r="RDK745" s="312"/>
      <c r="RDL745" s="312"/>
      <c r="RDM745" s="312"/>
      <c r="RDN745" s="312"/>
      <c r="RDO745" s="312"/>
      <c r="RDP745" s="312"/>
      <c r="RDQ745" s="312"/>
      <c r="RDR745" s="312"/>
      <c r="RDS745" s="312"/>
      <c r="RDT745" s="312"/>
      <c r="RDU745" s="312"/>
      <c r="RDV745" s="312"/>
      <c r="RDW745" s="312"/>
      <c r="RDX745" s="312"/>
      <c r="RDY745" s="312"/>
      <c r="RDZ745" s="312"/>
      <c r="REA745" s="312"/>
      <c r="REB745" s="312"/>
      <c r="REC745" s="312"/>
      <c r="RED745" s="312"/>
      <c r="REE745" s="312"/>
      <c r="REF745" s="312"/>
      <c r="REG745" s="312"/>
      <c r="REH745" s="312"/>
      <c r="REI745" s="312"/>
      <c r="REJ745" s="312"/>
      <c r="REK745" s="312"/>
      <c r="REL745" s="312"/>
      <c r="REM745" s="312"/>
      <c r="REN745" s="312"/>
      <c r="REO745" s="312"/>
      <c r="REP745" s="312"/>
      <c r="REQ745" s="312"/>
      <c r="RER745" s="312"/>
      <c r="RES745" s="312"/>
      <c r="RET745" s="312"/>
      <c r="REU745" s="312"/>
      <c r="REV745" s="312"/>
      <c r="REW745" s="312"/>
      <c r="REX745" s="312"/>
      <c r="REY745" s="312"/>
      <c r="REZ745" s="312"/>
      <c r="RFA745" s="312"/>
      <c r="RFB745" s="312"/>
      <c r="RFC745" s="312"/>
      <c r="RFD745" s="312"/>
      <c r="RFE745" s="312"/>
      <c r="RFF745" s="312"/>
      <c r="RFG745" s="312"/>
      <c r="RFH745" s="312"/>
      <c r="RFI745" s="312"/>
      <c r="RFJ745" s="312"/>
      <c r="RFK745" s="312"/>
      <c r="RFL745" s="312"/>
      <c r="RFM745" s="312"/>
      <c r="RFN745" s="312"/>
      <c r="RFO745" s="312"/>
      <c r="RFP745" s="312"/>
      <c r="RFQ745" s="312"/>
      <c r="RFR745" s="312"/>
      <c r="RFS745" s="312"/>
      <c r="RFT745" s="312"/>
      <c r="RFU745" s="312"/>
      <c r="RFV745" s="312"/>
      <c r="RFW745" s="312"/>
      <c r="RFX745" s="312"/>
      <c r="RFY745" s="312"/>
      <c r="RFZ745" s="312"/>
      <c r="RGA745" s="312"/>
      <c r="RGB745" s="312"/>
      <c r="RGC745" s="312"/>
      <c r="RGD745" s="312"/>
      <c r="RGE745" s="312"/>
      <c r="RGF745" s="312"/>
      <c r="RGG745" s="312"/>
      <c r="RGH745" s="312"/>
      <c r="RGI745" s="312"/>
      <c r="RGJ745" s="312"/>
      <c r="RGK745" s="312"/>
      <c r="RGL745" s="312"/>
      <c r="RGM745" s="312"/>
      <c r="RGN745" s="312"/>
      <c r="RGO745" s="312"/>
      <c r="RGP745" s="312"/>
      <c r="RGQ745" s="312"/>
      <c r="RGR745" s="312"/>
      <c r="RGS745" s="312"/>
      <c r="RGT745" s="312"/>
      <c r="RGU745" s="312"/>
      <c r="RGV745" s="312"/>
      <c r="RGW745" s="312"/>
      <c r="RGX745" s="312"/>
      <c r="RGY745" s="312"/>
      <c r="RGZ745" s="312"/>
      <c r="RHA745" s="312"/>
      <c r="RHB745" s="312"/>
      <c r="RHC745" s="312"/>
      <c r="RHD745" s="312"/>
      <c r="RHE745" s="312"/>
      <c r="RHF745" s="312"/>
      <c r="RHG745" s="312"/>
      <c r="RHH745" s="312"/>
      <c r="RHI745" s="312"/>
      <c r="RHJ745" s="312"/>
      <c r="RHK745" s="312"/>
      <c r="RHL745" s="312"/>
      <c r="RHM745" s="312"/>
      <c r="RHN745" s="312"/>
      <c r="RHO745" s="312"/>
      <c r="RHP745" s="312"/>
      <c r="RHQ745" s="312"/>
      <c r="RHR745" s="312"/>
      <c r="RHS745" s="312"/>
      <c r="RHT745" s="312"/>
      <c r="RHU745" s="312"/>
      <c r="RHV745" s="312"/>
      <c r="RHW745" s="312"/>
      <c r="RHX745" s="312"/>
      <c r="RHY745" s="312"/>
      <c r="RHZ745" s="312"/>
      <c r="RIA745" s="312"/>
      <c r="RIB745" s="312"/>
      <c r="RIC745" s="312"/>
      <c r="RID745" s="312"/>
      <c r="RIE745" s="312"/>
      <c r="RIF745" s="312"/>
      <c r="RIG745" s="312"/>
      <c r="RIH745" s="312"/>
      <c r="RII745" s="312"/>
      <c r="RIJ745" s="312"/>
      <c r="RIK745" s="312"/>
      <c r="RIL745" s="312"/>
      <c r="RIM745" s="312"/>
      <c r="RIN745" s="312"/>
      <c r="RIO745" s="312"/>
      <c r="RIP745" s="312"/>
      <c r="RIQ745" s="312"/>
      <c r="RIR745" s="312"/>
      <c r="RIS745" s="312"/>
      <c r="RIT745" s="312"/>
      <c r="RIU745" s="312"/>
      <c r="RIV745" s="312"/>
      <c r="RIW745" s="312"/>
      <c r="RIX745" s="312"/>
      <c r="RIY745" s="312"/>
      <c r="RIZ745" s="312"/>
      <c r="RJA745" s="312"/>
      <c r="RJB745" s="312"/>
      <c r="RJC745" s="312"/>
      <c r="RJD745" s="312"/>
      <c r="RJE745" s="312"/>
      <c r="RJF745" s="312"/>
      <c r="RJG745" s="312"/>
      <c r="RJH745" s="312"/>
      <c r="RJI745" s="312"/>
      <c r="RJJ745" s="312"/>
      <c r="RJK745" s="312"/>
      <c r="RJL745" s="312"/>
      <c r="RJM745" s="312"/>
      <c r="RJN745" s="312"/>
      <c r="RJO745" s="312"/>
      <c r="RJP745" s="312"/>
      <c r="RJQ745" s="312"/>
      <c r="RJR745" s="312"/>
      <c r="RJS745" s="312"/>
      <c r="RJT745" s="312"/>
      <c r="RJU745" s="312"/>
      <c r="RJV745" s="312"/>
      <c r="RJW745" s="312"/>
      <c r="RJX745" s="312"/>
      <c r="RJY745" s="312"/>
      <c r="RJZ745" s="312"/>
      <c r="RKA745" s="312"/>
      <c r="RKB745" s="312"/>
      <c r="RKC745" s="312"/>
      <c r="RKD745" s="312"/>
      <c r="RKE745" s="312"/>
      <c r="RKF745" s="312"/>
      <c r="RKG745" s="312"/>
      <c r="RKH745" s="312"/>
      <c r="RKI745" s="312"/>
      <c r="RKJ745" s="312"/>
      <c r="RKK745" s="312"/>
      <c r="RKL745" s="312"/>
      <c r="RKM745" s="312"/>
      <c r="RKN745" s="312"/>
      <c r="RKO745" s="312"/>
      <c r="RKP745" s="312"/>
      <c r="RKQ745" s="312"/>
      <c r="RKR745" s="312"/>
      <c r="RKS745" s="312"/>
      <c r="RKT745" s="312"/>
      <c r="RKU745" s="312"/>
      <c r="RKV745" s="312"/>
      <c r="RKW745" s="312"/>
      <c r="RKX745" s="312"/>
      <c r="RKY745" s="312"/>
      <c r="RKZ745" s="312"/>
      <c r="RLA745" s="312"/>
      <c r="RLB745" s="312"/>
      <c r="RLC745" s="312"/>
      <c r="RLD745" s="312"/>
      <c r="RLE745" s="312"/>
      <c r="RLF745" s="312"/>
      <c r="RLG745" s="312"/>
      <c r="RLH745" s="312"/>
      <c r="RLI745" s="312"/>
      <c r="RLJ745" s="312"/>
      <c r="RLK745" s="312"/>
      <c r="RLL745" s="312"/>
      <c r="RLM745" s="312"/>
      <c r="RLN745" s="312"/>
      <c r="RLO745" s="312"/>
      <c r="RLP745" s="312"/>
      <c r="RLQ745" s="312"/>
      <c r="RLR745" s="312"/>
      <c r="RLS745" s="312"/>
      <c r="RLT745" s="312"/>
      <c r="RLU745" s="312"/>
      <c r="RLV745" s="312"/>
      <c r="RLW745" s="312"/>
      <c r="RLX745" s="312"/>
      <c r="RLY745" s="312"/>
      <c r="RLZ745" s="312"/>
      <c r="RMA745" s="312"/>
      <c r="RMB745" s="312"/>
      <c r="RMC745" s="312"/>
      <c r="RMD745" s="312"/>
      <c r="RME745" s="312"/>
      <c r="RMF745" s="312"/>
      <c r="RMG745" s="312"/>
      <c r="RMH745" s="312"/>
      <c r="RMI745" s="312"/>
      <c r="RMJ745" s="312"/>
      <c r="RMK745" s="312"/>
      <c r="RML745" s="312"/>
      <c r="RMM745" s="312"/>
      <c r="RMN745" s="312"/>
      <c r="RMO745" s="312"/>
      <c r="RMP745" s="312"/>
      <c r="RMQ745" s="312"/>
      <c r="RMR745" s="312"/>
      <c r="RMS745" s="312"/>
      <c r="RMT745" s="312"/>
      <c r="RMU745" s="312"/>
      <c r="RMV745" s="312"/>
      <c r="RMW745" s="312"/>
      <c r="RMX745" s="312"/>
      <c r="RMY745" s="312"/>
      <c r="RMZ745" s="312"/>
      <c r="RNA745" s="312"/>
      <c r="RNB745" s="312"/>
      <c r="RNC745" s="312"/>
      <c r="RND745" s="312"/>
      <c r="RNE745" s="312"/>
      <c r="RNF745" s="312"/>
      <c r="RNG745" s="312"/>
      <c r="RNH745" s="312"/>
      <c r="RNI745" s="312"/>
      <c r="RNJ745" s="312"/>
      <c r="RNK745" s="312"/>
      <c r="RNL745" s="312"/>
      <c r="RNM745" s="312"/>
      <c r="RNN745" s="312"/>
      <c r="RNO745" s="312"/>
      <c r="RNP745" s="312"/>
      <c r="RNQ745" s="312"/>
      <c r="RNR745" s="312"/>
      <c r="RNS745" s="312"/>
      <c r="RNT745" s="312"/>
      <c r="RNU745" s="312"/>
      <c r="RNV745" s="312"/>
      <c r="RNW745" s="312"/>
      <c r="RNX745" s="312"/>
      <c r="RNY745" s="312"/>
      <c r="RNZ745" s="312"/>
      <c r="ROA745" s="312"/>
      <c r="ROB745" s="312"/>
      <c r="ROC745" s="312"/>
      <c r="ROD745" s="312"/>
      <c r="ROE745" s="312"/>
      <c r="ROF745" s="312"/>
      <c r="ROG745" s="312"/>
      <c r="ROH745" s="312"/>
      <c r="ROI745" s="312"/>
      <c r="ROJ745" s="312"/>
      <c r="ROK745" s="312"/>
      <c r="ROL745" s="312"/>
      <c r="ROM745" s="312"/>
      <c r="RON745" s="312"/>
      <c r="ROO745" s="312"/>
      <c r="ROP745" s="312"/>
      <c r="ROQ745" s="312"/>
      <c r="ROR745" s="312"/>
      <c r="ROS745" s="312"/>
      <c r="ROT745" s="312"/>
      <c r="ROU745" s="312"/>
      <c r="ROV745" s="312"/>
      <c r="ROW745" s="312"/>
      <c r="ROX745" s="312"/>
      <c r="ROY745" s="312"/>
      <c r="ROZ745" s="312"/>
      <c r="RPA745" s="312"/>
      <c r="RPB745" s="312"/>
      <c r="RPC745" s="312"/>
      <c r="RPD745" s="312"/>
      <c r="RPE745" s="312"/>
      <c r="RPF745" s="312"/>
      <c r="RPG745" s="312"/>
      <c r="RPH745" s="312"/>
      <c r="RPI745" s="312"/>
      <c r="RPJ745" s="312"/>
      <c r="RPK745" s="312"/>
      <c r="RPL745" s="312"/>
      <c r="RPM745" s="312"/>
      <c r="RPN745" s="312"/>
      <c r="RPO745" s="312"/>
      <c r="RPP745" s="312"/>
      <c r="RPQ745" s="312"/>
      <c r="RPR745" s="312"/>
      <c r="RPS745" s="312"/>
      <c r="RPT745" s="312"/>
      <c r="RPU745" s="312"/>
      <c r="RPV745" s="312"/>
      <c r="RPW745" s="312"/>
      <c r="RPX745" s="312"/>
      <c r="RPY745" s="312"/>
      <c r="RPZ745" s="312"/>
      <c r="RQA745" s="312"/>
      <c r="RQB745" s="312"/>
      <c r="RQC745" s="312"/>
      <c r="RQD745" s="312"/>
      <c r="RQE745" s="312"/>
      <c r="RQF745" s="312"/>
      <c r="RQG745" s="312"/>
      <c r="RQH745" s="312"/>
      <c r="RQI745" s="312"/>
      <c r="RQJ745" s="312"/>
      <c r="RQK745" s="312"/>
      <c r="RQL745" s="312"/>
      <c r="RQM745" s="312"/>
      <c r="RQN745" s="312"/>
      <c r="RQO745" s="312"/>
      <c r="RQP745" s="312"/>
      <c r="RQQ745" s="312"/>
      <c r="RQR745" s="312"/>
      <c r="RQS745" s="312"/>
      <c r="RQT745" s="312"/>
      <c r="RQU745" s="312"/>
      <c r="RQV745" s="312"/>
      <c r="RQW745" s="312"/>
      <c r="RQX745" s="312"/>
      <c r="RQY745" s="312"/>
      <c r="RQZ745" s="312"/>
      <c r="RRA745" s="312"/>
      <c r="RRB745" s="312"/>
      <c r="RRC745" s="312"/>
      <c r="RRD745" s="312"/>
      <c r="RRE745" s="312"/>
      <c r="RRF745" s="312"/>
      <c r="RRG745" s="312"/>
      <c r="RRH745" s="312"/>
      <c r="RRI745" s="312"/>
      <c r="RRJ745" s="312"/>
      <c r="RRK745" s="312"/>
      <c r="RRL745" s="312"/>
      <c r="RRM745" s="312"/>
      <c r="RRN745" s="312"/>
      <c r="RRO745" s="312"/>
      <c r="RRP745" s="312"/>
      <c r="RRQ745" s="312"/>
      <c r="RRR745" s="312"/>
      <c r="RRS745" s="312"/>
      <c r="RRT745" s="312"/>
      <c r="RRU745" s="312"/>
      <c r="RRV745" s="312"/>
      <c r="RRW745" s="312"/>
      <c r="RRX745" s="312"/>
      <c r="RRY745" s="312"/>
      <c r="RRZ745" s="312"/>
      <c r="RSA745" s="312"/>
      <c r="RSB745" s="312"/>
      <c r="RSC745" s="312"/>
      <c r="RSD745" s="312"/>
      <c r="RSE745" s="312"/>
      <c r="RSF745" s="312"/>
      <c r="RSG745" s="312"/>
      <c r="RSH745" s="312"/>
      <c r="RSI745" s="312"/>
      <c r="RSJ745" s="312"/>
      <c r="RSK745" s="312"/>
      <c r="RSL745" s="312"/>
      <c r="RSM745" s="312"/>
      <c r="RSN745" s="312"/>
      <c r="RSO745" s="312"/>
      <c r="RSP745" s="312"/>
      <c r="RSQ745" s="312"/>
      <c r="RSR745" s="312"/>
      <c r="RSS745" s="312"/>
      <c r="RST745" s="312"/>
      <c r="RSU745" s="312"/>
      <c r="RSV745" s="312"/>
      <c r="RSW745" s="312"/>
      <c r="RSX745" s="312"/>
      <c r="RSY745" s="312"/>
      <c r="RSZ745" s="312"/>
      <c r="RTA745" s="312"/>
      <c r="RTB745" s="312"/>
      <c r="RTC745" s="312"/>
      <c r="RTD745" s="312"/>
      <c r="RTE745" s="312"/>
      <c r="RTF745" s="312"/>
      <c r="RTG745" s="312"/>
      <c r="RTH745" s="312"/>
      <c r="RTI745" s="312"/>
      <c r="RTJ745" s="312"/>
      <c r="RTK745" s="312"/>
      <c r="RTL745" s="312"/>
      <c r="RTM745" s="312"/>
      <c r="RTN745" s="312"/>
      <c r="RTO745" s="312"/>
      <c r="RTP745" s="312"/>
      <c r="RTQ745" s="312"/>
      <c r="RTR745" s="312"/>
      <c r="RTS745" s="312"/>
      <c r="RTT745" s="312"/>
      <c r="RTU745" s="312"/>
      <c r="RTV745" s="312"/>
      <c r="RTW745" s="312"/>
      <c r="RTX745" s="312"/>
      <c r="RTY745" s="312"/>
      <c r="RTZ745" s="312"/>
      <c r="RUA745" s="312"/>
      <c r="RUB745" s="312"/>
      <c r="RUC745" s="312"/>
      <c r="RUD745" s="312"/>
      <c r="RUE745" s="312"/>
      <c r="RUF745" s="312"/>
      <c r="RUG745" s="312"/>
      <c r="RUH745" s="312"/>
      <c r="RUI745" s="312"/>
      <c r="RUJ745" s="312"/>
      <c r="RUK745" s="312"/>
      <c r="RUL745" s="312"/>
      <c r="RUM745" s="312"/>
      <c r="RUN745" s="312"/>
      <c r="RUO745" s="312"/>
      <c r="RUP745" s="312"/>
      <c r="RUQ745" s="312"/>
      <c r="RUR745" s="312"/>
      <c r="RUS745" s="312"/>
      <c r="RUT745" s="312"/>
      <c r="RUU745" s="312"/>
      <c r="RUV745" s="312"/>
      <c r="RUW745" s="312"/>
      <c r="RUX745" s="312"/>
      <c r="RUY745" s="312"/>
      <c r="RUZ745" s="312"/>
      <c r="RVA745" s="312"/>
      <c r="RVB745" s="312"/>
      <c r="RVC745" s="312"/>
      <c r="RVD745" s="312"/>
      <c r="RVE745" s="312"/>
      <c r="RVF745" s="312"/>
      <c r="RVG745" s="312"/>
      <c r="RVH745" s="312"/>
      <c r="RVI745" s="312"/>
      <c r="RVJ745" s="312"/>
      <c r="RVK745" s="312"/>
      <c r="RVL745" s="312"/>
      <c r="RVM745" s="312"/>
      <c r="RVN745" s="312"/>
      <c r="RVO745" s="312"/>
      <c r="RVP745" s="312"/>
      <c r="RVQ745" s="312"/>
      <c r="RVR745" s="312"/>
      <c r="RVS745" s="312"/>
      <c r="RVT745" s="312"/>
      <c r="RVU745" s="312"/>
      <c r="RVV745" s="312"/>
      <c r="RVW745" s="312"/>
      <c r="RVX745" s="312"/>
      <c r="RVY745" s="312"/>
      <c r="RVZ745" s="312"/>
      <c r="RWA745" s="312"/>
      <c r="RWB745" s="312"/>
      <c r="RWC745" s="312"/>
      <c r="RWD745" s="312"/>
      <c r="RWE745" s="312"/>
      <c r="RWF745" s="312"/>
      <c r="RWG745" s="312"/>
      <c r="RWH745" s="312"/>
      <c r="RWI745" s="312"/>
      <c r="RWJ745" s="312"/>
      <c r="RWK745" s="312"/>
      <c r="RWL745" s="312"/>
      <c r="RWM745" s="312"/>
      <c r="RWN745" s="312"/>
      <c r="RWO745" s="312"/>
      <c r="RWP745" s="312"/>
      <c r="RWQ745" s="312"/>
      <c r="RWR745" s="312"/>
      <c r="RWS745" s="312"/>
      <c r="RWT745" s="312"/>
      <c r="RWU745" s="312"/>
      <c r="RWV745" s="312"/>
      <c r="RWW745" s="312"/>
      <c r="RWX745" s="312"/>
      <c r="RWY745" s="312"/>
      <c r="RWZ745" s="312"/>
      <c r="RXA745" s="312"/>
      <c r="RXB745" s="312"/>
      <c r="RXC745" s="312"/>
      <c r="RXD745" s="312"/>
      <c r="RXE745" s="312"/>
      <c r="RXF745" s="312"/>
      <c r="RXG745" s="312"/>
      <c r="RXH745" s="312"/>
      <c r="RXI745" s="312"/>
      <c r="RXJ745" s="312"/>
      <c r="RXK745" s="312"/>
      <c r="RXL745" s="312"/>
      <c r="RXM745" s="312"/>
      <c r="RXN745" s="312"/>
      <c r="RXO745" s="312"/>
      <c r="RXP745" s="312"/>
      <c r="RXQ745" s="312"/>
      <c r="RXR745" s="312"/>
      <c r="RXS745" s="312"/>
      <c r="RXT745" s="312"/>
      <c r="RXU745" s="312"/>
      <c r="RXV745" s="312"/>
      <c r="RXW745" s="312"/>
      <c r="RXX745" s="312"/>
      <c r="RXY745" s="312"/>
      <c r="RXZ745" s="312"/>
      <c r="RYA745" s="312"/>
      <c r="RYB745" s="312"/>
      <c r="RYC745" s="312"/>
      <c r="RYD745" s="312"/>
      <c r="RYE745" s="312"/>
      <c r="RYF745" s="312"/>
      <c r="RYG745" s="312"/>
      <c r="RYH745" s="312"/>
      <c r="RYI745" s="312"/>
      <c r="RYJ745" s="312"/>
      <c r="RYK745" s="312"/>
      <c r="RYL745" s="312"/>
      <c r="RYM745" s="312"/>
      <c r="RYN745" s="312"/>
      <c r="RYO745" s="312"/>
      <c r="RYP745" s="312"/>
      <c r="RYQ745" s="312"/>
      <c r="RYR745" s="312"/>
      <c r="RYS745" s="312"/>
      <c r="RYT745" s="312"/>
      <c r="RYU745" s="312"/>
      <c r="RYV745" s="312"/>
      <c r="RYW745" s="312"/>
      <c r="RYX745" s="312"/>
      <c r="RYY745" s="312"/>
      <c r="RYZ745" s="312"/>
      <c r="RZA745" s="312"/>
      <c r="RZB745" s="312"/>
      <c r="RZC745" s="312"/>
      <c r="RZD745" s="312"/>
      <c r="RZE745" s="312"/>
      <c r="RZF745" s="312"/>
      <c r="RZG745" s="312"/>
      <c r="RZH745" s="312"/>
      <c r="RZI745" s="312"/>
      <c r="RZJ745" s="312"/>
      <c r="RZK745" s="312"/>
      <c r="RZL745" s="312"/>
      <c r="RZM745" s="312"/>
      <c r="RZN745" s="312"/>
      <c r="RZO745" s="312"/>
      <c r="RZP745" s="312"/>
      <c r="RZQ745" s="312"/>
      <c r="RZR745" s="312"/>
      <c r="RZS745" s="312"/>
      <c r="RZT745" s="312"/>
      <c r="RZU745" s="312"/>
      <c r="RZV745" s="312"/>
      <c r="RZW745" s="312"/>
      <c r="RZX745" s="312"/>
      <c r="RZY745" s="312"/>
      <c r="RZZ745" s="312"/>
      <c r="SAA745" s="312"/>
      <c r="SAB745" s="312"/>
      <c r="SAC745" s="312"/>
      <c r="SAD745" s="312"/>
      <c r="SAE745" s="312"/>
      <c r="SAF745" s="312"/>
      <c r="SAG745" s="312"/>
      <c r="SAH745" s="312"/>
      <c r="SAI745" s="312"/>
      <c r="SAJ745" s="312"/>
      <c r="SAK745" s="312"/>
      <c r="SAL745" s="312"/>
      <c r="SAM745" s="312"/>
      <c r="SAN745" s="312"/>
      <c r="SAO745" s="312"/>
      <c r="SAP745" s="312"/>
      <c r="SAQ745" s="312"/>
      <c r="SAR745" s="312"/>
      <c r="SAS745" s="312"/>
      <c r="SAT745" s="312"/>
      <c r="SAU745" s="312"/>
      <c r="SAV745" s="312"/>
      <c r="SAW745" s="312"/>
      <c r="SAX745" s="312"/>
      <c r="SAY745" s="312"/>
      <c r="SAZ745" s="312"/>
      <c r="SBA745" s="312"/>
      <c r="SBB745" s="312"/>
      <c r="SBC745" s="312"/>
      <c r="SBD745" s="312"/>
      <c r="SBE745" s="312"/>
      <c r="SBF745" s="312"/>
      <c r="SBG745" s="312"/>
      <c r="SBH745" s="312"/>
      <c r="SBI745" s="312"/>
      <c r="SBJ745" s="312"/>
      <c r="SBK745" s="312"/>
      <c r="SBL745" s="312"/>
      <c r="SBM745" s="312"/>
      <c r="SBN745" s="312"/>
      <c r="SBO745" s="312"/>
      <c r="SBP745" s="312"/>
      <c r="SBQ745" s="312"/>
      <c r="SBR745" s="312"/>
      <c r="SBS745" s="312"/>
      <c r="SBT745" s="312"/>
      <c r="SBU745" s="312"/>
      <c r="SBV745" s="312"/>
      <c r="SBW745" s="312"/>
      <c r="SBX745" s="312"/>
      <c r="SBY745" s="312"/>
      <c r="SBZ745" s="312"/>
      <c r="SCA745" s="312"/>
      <c r="SCB745" s="312"/>
      <c r="SCC745" s="312"/>
      <c r="SCD745" s="312"/>
      <c r="SCE745" s="312"/>
      <c r="SCF745" s="312"/>
      <c r="SCG745" s="312"/>
      <c r="SCH745" s="312"/>
      <c r="SCI745" s="312"/>
      <c r="SCJ745" s="312"/>
      <c r="SCK745" s="312"/>
      <c r="SCL745" s="312"/>
      <c r="SCM745" s="312"/>
      <c r="SCN745" s="312"/>
      <c r="SCO745" s="312"/>
      <c r="SCP745" s="312"/>
      <c r="SCQ745" s="312"/>
      <c r="SCR745" s="312"/>
      <c r="SCS745" s="312"/>
      <c r="SCT745" s="312"/>
      <c r="SCU745" s="312"/>
      <c r="SCV745" s="312"/>
      <c r="SCW745" s="312"/>
      <c r="SCX745" s="312"/>
      <c r="SCY745" s="312"/>
      <c r="SCZ745" s="312"/>
      <c r="SDA745" s="312"/>
      <c r="SDB745" s="312"/>
      <c r="SDC745" s="312"/>
      <c r="SDD745" s="312"/>
      <c r="SDE745" s="312"/>
      <c r="SDF745" s="312"/>
      <c r="SDG745" s="312"/>
      <c r="SDH745" s="312"/>
      <c r="SDI745" s="312"/>
      <c r="SDJ745" s="312"/>
      <c r="SDK745" s="312"/>
      <c r="SDL745" s="312"/>
      <c r="SDM745" s="312"/>
      <c r="SDN745" s="312"/>
      <c r="SDO745" s="312"/>
      <c r="SDP745" s="312"/>
      <c r="SDQ745" s="312"/>
      <c r="SDR745" s="312"/>
      <c r="SDS745" s="312"/>
      <c r="SDT745" s="312"/>
      <c r="SDU745" s="312"/>
      <c r="SDV745" s="312"/>
      <c r="SDW745" s="312"/>
      <c r="SDX745" s="312"/>
      <c r="SDY745" s="312"/>
      <c r="SDZ745" s="312"/>
      <c r="SEA745" s="312"/>
      <c r="SEB745" s="312"/>
      <c r="SEC745" s="312"/>
      <c r="SED745" s="312"/>
      <c r="SEE745" s="312"/>
      <c r="SEF745" s="312"/>
      <c r="SEG745" s="312"/>
      <c r="SEH745" s="312"/>
      <c r="SEI745" s="312"/>
      <c r="SEJ745" s="312"/>
      <c r="SEK745" s="312"/>
      <c r="SEL745" s="312"/>
      <c r="SEM745" s="312"/>
      <c r="SEN745" s="312"/>
      <c r="SEO745" s="312"/>
      <c r="SEP745" s="312"/>
      <c r="SEQ745" s="312"/>
      <c r="SER745" s="312"/>
      <c r="SES745" s="312"/>
      <c r="SET745" s="312"/>
      <c r="SEU745" s="312"/>
      <c r="SEV745" s="312"/>
      <c r="SEW745" s="312"/>
      <c r="SEX745" s="312"/>
      <c r="SEY745" s="312"/>
      <c r="SEZ745" s="312"/>
      <c r="SFA745" s="312"/>
      <c r="SFB745" s="312"/>
      <c r="SFC745" s="312"/>
      <c r="SFD745" s="312"/>
      <c r="SFE745" s="312"/>
      <c r="SFF745" s="312"/>
      <c r="SFG745" s="312"/>
      <c r="SFH745" s="312"/>
      <c r="SFI745" s="312"/>
      <c r="SFJ745" s="312"/>
      <c r="SFK745" s="312"/>
      <c r="SFL745" s="312"/>
      <c r="SFM745" s="312"/>
      <c r="SFN745" s="312"/>
      <c r="SFO745" s="312"/>
      <c r="SFP745" s="312"/>
      <c r="SFQ745" s="312"/>
      <c r="SFR745" s="312"/>
      <c r="SFS745" s="312"/>
      <c r="SFT745" s="312"/>
      <c r="SFU745" s="312"/>
      <c r="SFV745" s="312"/>
      <c r="SFW745" s="312"/>
      <c r="SFX745" s="312"/>
      <c r="SFY745" s="312"/>
      <c r="SFZ745" s="312"/>
      <c r="SGA745" s="312"/>
      <c r="SGB745" s="312"/>
      <c r="SGC745" s="312"/>
      <c r="SGD745" s="312"/>
      <c r="SGE745" s="312"/>
      <c r="SGF745" s="312"/>
      <c r="SGG745" s="312"/>
      <c r="SGH745" s="312"/>
      <c r="SGI745" s="312"/>
      <c r="SGJ745" s="312"/>
      <c r="SGK745" s="312"/>
      <c r="SGL745" s="312"/>
      <c r="SGM745" s="312"/>
      <c r="SGN745" s="312"/>
      <c r="SGO745" s="312"/>
      <c r="SGP745" s="312"/>
      <c r="SGQ745" s="312"/>
      <c r="SGR745" s="312"/>
      <c r="SGS745" s="312"/>
      <c r="SGT745" s="312"/>
      <c r="SGU745" s="312"/>
      <c r="SGV745" s="312"/>
      <c r="SGW745" s="312"/>
      <c r="SGX745" s="312"/>
      <c r="SGY745" s="312"/>
      <c r="SGZ745" s="312"/>
      <c r="SHA745" s="312"/>
      <c r="SHB745" s="312"/>
      <c r="SHC745" s="312"/>
      <c r="SHD745" s="312"/>
      <c r="SHE745" s="312"/>
      <c r="SHF745" s="312"/>
      <c r="SHG745" s="312"/>
      <c r="SHH745" s="312"/>
      <c r="SHI745" s="312"/>
      <c r="SHJ745" s="312"/>
      <c r="SHK745" s="312"/>
      <c r="SHL745" s="312"/>
      <c r="SHM745" s="312"/>
      <c r="SHN745" s="312"/>
      <c r="SHO745" s="312"/>
      <c r="SHP745" s="312"/>
      <c r="SHQ745" s="312"/>
      <c r="SHR745" s="312"/>
      <c r="SHS745" s="312"/>
      <c r="SHT745" s="312"/>
      <c r="SHU745" s="312"/>
      <c r="SHV745" s="312"/>
      <c r="SHW745" s="312"/>
      <c r="SHX745" s="312"/>
      <c r="SHY745" s="312"/>
      <c r="SHZ745" s="312"/>
      <c r="SIA745" s="312"/>
      <c r="SIB745" s="312"/>
      <c r="SIC745" s="312"/>
      <c r="SID745" s="312"/>
      <c r="SIE745" s="312"/>
      <c r="SIF745" s="312"/>
      <c r="SIG745" s="312"/>
      <c r="SIH745" s="312"/>
      <c r="SII745" s="312"/>
      <c r="SIJ745" s="312"/>
      <c r="SIK745" s="312"/>
      <c r="SIL745" s="312"/>
      <c r="SIM745" s="312"/>
      <c r="SIN745" s="312"/>
      <c r="SIO745" s="312"/>
      <c r="SIP745" s="312"/>
      <c r="SIQ745" s="312"/>
      <c r="SIR745" s="312"/>
      <c r="SIS745" s="312"/>
      <c r="SIT745" s="312"/>
      <c r="SIU745" s="312"/>
      <c r="SIV745" s="312"/>
      <c r="SIW745" s="312"/>
      <c r="SIX745" s="312"/>
      <c r="SIY745" s="312"/>
      <c r="SIZ745" s="312"/>
      <c r="SJA745" s="312"/>
      <c r="SJB745" s="312"/>
      <c r="SJC745" s="312"/>
      <c r="SJD745" s="312"/>
      <c r="SJE745" s="312"/>
      <c r="SJF745" s="312"/>
      <c r="SJG745" s="312"/>
      <c r="SJH745" s="312"/>
      <c r="SJI745" s="312"/>
      <c r="SJJ745" s="312"/>
      <c r="SJK745" s="312"/>
      <c r="SJL745" s="312"/>
      <c r="SJM745" s="312"/>
      <c r="SJN745" s="312"/>
      <c r="SJO745" s="312"/>
      <c r="SJP745" s="312"/>
      <c r="SJQ745" s="312"/>
      <c r="SJR745" s="312"/>
      <c r="SJS745" s="312"/>
      <c r="SJT745" s="312"/>
      <c r="SJU745" s="312"/>
      <c r="SJV745" s="312"/>
      <c r="SJW745" s="312"/>
      <c r="SJX745" s="312"/>
      <c r="SJY745" s="312"/>
      <c r="SJZ745" s="312"/>
      <c r="SKA745" s="312"/>
      <c r="SKB745" s="312"/>
      <c r="SKC745" s="312"/>
      <c r="SKD745" s="312"/>
      <c r="SKE745" s="312"/>
      <c r="SKF745" s="312"/>
      <c r="SKG745" s="312"/>
      <c r="SKH745" s="312"/>
      <c r="SKI745" s="312"/>
      <c r="SKJ745" s="312"/>
      <c r="SKK745" s="312"/>
      <c r="SKL745" s="312"/>
      <c r="SKM745" s="312"/>
      <c r="SKN745" s="312"/>
      <c r="SKO745" s="312"/>
      <c r="SKP745" s="312"/>
      <c r="SKQ745" s="312"/>
      <c r="SKR745" s="312"/>
      <c r="SKS745" s="312"/>
      <c r="SKT745" s="312"/>
      <c r="SKU745" s="312"/>
      <c r="SKV745" s="312"/>
      <c r="SKW745" s="312"/>
      <c r="SKX745" s="312"/>
      <c r="SKY745" s="312"/>
      <c r="SKZ745" s="312"/>
      <c r="SLA745" s="312"/>
      <c r="SLB745" s="312"/>
      <c r="SLC745" s="312"/>
      <c r="SLD745" s="312"/>
      <c r="SLE745" s="312"/>
      <c r="SLF745" s="312"/>
      <c r="SLG745" s="312"/>
      <c r="SLH745" s="312"/>
      <c r="SLI745" s="312"/>
      <c r="SLJ745" s="312"/>
      <c r="SLK745" s="312"/>
      <c r="SLL745" s="312"/>
      <c r="SLM745" s="312"/>
      <c r="SLN745" s="312"/>
      <c r="SLO745" s="312"/>
      <c r="SLP745" s="312"/>
      <c r="SLQ745" s="312"/>
      <c r="SLR745" s="312"/>
      <c r="SLS745" s="312"/>
      <c r="SLT745" s="312"/>
      <c r="SLU745" s="312"/>
      <c r="SLV745" s="312"/>
      <c r="SLW745" s="312"/>
      <c r="SLX745" s="312"/>
      <c r="SLY745" s="312"/>
      <c r="SLZ745" s="312"/>
      <c r="SMA745" s="312"/>
      <c r="SMB745" s="312"/>
      <c r="SMC745" s="312"/>
      <c r="SMD745" s="312"/>
      <c r="SME745" s="312"/>
      <c r="SMF745" s="312"/>
      <c r="SMG745" s="312"/>
      <c r="SMH745" s="312"/>
      <c r="SMI745" s="312"/>
      <c r="SMJ745" s="312"/>
      <c r="SMK745" s="312"/>
      <c r="SML745" s="312"/>
      <c r="SMM745" s="312"/>
      <c r="SMN745" s="312"/>
      <c r="SMO745" s="312"/>
      <c r="SMP745" s="312"/>
      <c r="SMQ745" s="312"/>
      <c r="SMR745" s="312"/>
      <c r="SMS745" s="312"/>
      <c r="SMT745" s="312"/>
      <c r="SMU745" s="312"/>
      <c r="SMV745" s="312"/>
      <c r="SMW745" s="312"/>
      <c r="SMX745" s="312"/>
      <c r="SMY745" s="312"/>
      <c r="SMZ745" s="312"/>
      <c r="SNA745" s="312"/>
      <c r="SNB745" s="312"/>
      <c r="SNC745" s="312"/>
      <c r="SND745" s="312"/>
      <c r="SNE745" s="312"/>
      <c r="SNF745" s="312"/>
      <c r="SNG745" s="312"/>
      <c r="SNH745" s="312"/>
      <c r="SNI745" s="312"/>
      <c r="SNJ745" s="312"/>
      <c r="SNK745" s="312"/>
      <c r="SNL745" s="312"/>
      <c r="SNM745" s="312"/>
      <c r="SNN745" s="312"/>
      <c r="SNO745" s="312"/>
      <c r="SNP745" s="312"/>
      <c r="SNQ745" s="312"/>
      <c r="SNR745" s="312"/>
      <c r="SNS745" s="312"/>
      <c r="SNT745" s="312"/>
      <c r="SNU745" s="312"/>
      <c r="SNV745" s="312"/>
      <c r="SNW745" s="312"/>
      <c r="SNX745" s="312"/>
      <c r="SNY745" s="312"/>
      <c r="SNZ745" s="312"/>
      <c r="SOA745" s="312"/>
      <c r="SOB745" s="312"/>
      <c r="SOC745" s="312"/>
      <c r="SOD745" s="312"/>
      <c r="SOE745" s="312"/>
      <c r="SOF745" s="312"/>
      <c r="SOG745" s="312"/>
      <c r="SOH745" s="312"/>
      <c r="SOI745" s="312"/>
      <c r="SOJ745" s="312"/>
      <c r="SOK745" s="312"/>
      <c r="SOL745" s="312"/>
      <c r="SOM745" s="312"/>
      <c r="SON745" s="312"/>
      <c r="SOO745" s="312"/>
      <c r="SOP745" s="312"/>
      <c r="SOQ745" s="312"/>
      <c r="SOR745" s="312"/>
      <c r="SOS745" s="312"/>
      <c r="SOT745" s="312"/>
      <c r="SOU745" s="312"/>
      <c r="SOV745" s="312"/>
      <c r="SOW745" s="312"/>
      <c r="SOX745" s="312"/>
      <c r="SOY745" s="312"/>
      <c r="SOZ745" s="312"/>
      <c r="SPA745" s="312"/>
      <c r="SPB745" s="312"/>
      <c r="SPC745" s="312"/>
      <c r="SPD745" s="312"/>
      <c r="SPE745" s="312"/>
      <c r="SPF745" s="312"/>
      <c r="SPG745" s="312"/>
      <c r="SPH745" s="312"/>
      <c r="SPI745" s="312"/>
      <c r="SPJ745" s="312"/>
      <c r="SPK745" s="312"/>
      <c r="SPL745" s="312"/>
      <c r="SPM745" s="312"/>
      <c r="SPN745" s="312"/>
      <c r="SPO745" s="312"/>
      <c r="SPP745" s="312"/>
      <c r="SPQ745" s="312"/>
      <c r="SPR745" s="312"/>
      <c r="SPS745" s="312"/>
      <c r="SPT745" s="312"/>
      <c r="SPU745" s="312"/>
      <c r="SPV745" s="312"/>
      <c r="SPW745" s="312"/>
      <c r="SPX745" s="312"/>
      <c r="SPY745" s="312"/>
      <c r="SPZ745" s="312"/>
      <c r="SQA745" s="312"/>
      <c r="SQB745" s="312"/>
      <c r="SQC745" s="312"/>
      <c r="SQD745" s="312"/>
      <c r="SQE745" s="312"/>
      <c r="SQF745" s="312"/>
      <c r="SQG745" s="312"/>
      <c r="SQH745" s="312"/>
      <c r="SQI745" s="312"/>
      <c r="SQJ745" s="312"/>
      <c r="SQK745" s="312"/>
      <c r="SQL745" s="312"/>
      <c r="SQM745" s="312"/>
      <c r="SQN745" s="312"/>
      <c r="SQO745" s="312"/>
      <c r="SQP745" s="312"/>
      <c r="SQQ745" s="312"/>
      <c r="SQR745" s="312"/>
      <c r="SQS745" s="312"/>
      <c r="SQT745" s="312"/>
      <c r="SQU745" s="312"/>
      <c r="SQV745" s="312"/>
      <c r="SQW745" s="312"/>
      <c r="SQX745" s="312"/>
      <c r="SQY745" s="312"/>
      <c r="SQZ745" s="312"/>
      <c r="SRA745" s="312"/>
      <c r="SRB745" s="312"/>
      <c r="SRC745" s="312"/>
      <c r="SRD745" s="312"/>
      <c r="SRE745" s="312"/>
      <c r="SRF745" s="312"/>
      <c r="SRG745" s="312"/>
      <c r="SRH745" s="312"/>
      <c r="SRI745" s="312"/>
      <c r="SRJ745" s="312"/>
      <c r="SRK745" s="312"/>
      <c r="SRL745" s="312"/>
      <c r="SRM745" s="312"/>
      <c r="SRN745" s="312"/>
      <c r="SRO745" s="312"/>
      <c r="SRP745" s="312"/>
      <c r="SRQ745" s="312"/>
      <c r="SRR745" s="312"/>
      <c r="SRS745" s="312"/>
      <c r="SRT745" s="312"/>
      <c r="SRU745" s="312"/>
      <c r="SRV745" s="312"/>
      <c r="SRW745" s="312"/>
      <c r="SRX745" s="312"/>
      <c r="SRY745" s="312"/>
      <c r="SRZ745" s="312"/>
      <c r="SSA745" s="312"/>
      <c r="SSB745" s="312"/>
      <c r="SSC745" s="312"/>
      <c r="SSD745" s="312"/>
      <c r="SSE745" s="312"/>
      <c r="SSF745" s="312"/>
      <c r="SSG745" s="312"/>
      <c r="SSH745" s="312"/>
      <c r="SSI745" s="312"/>
      <c r="SSJ745" s="312"/>
      <c r="SSK745" s="312"/>
      <c r="SSL745" s="312"/>
      <c r="SSM745" s="312"/>
      <c r="SSN745" s="312"/>
      <c r="SSO745" s="312"/>
      <c r="SSP745" s="312"/>
      <c r="SSQ745" s="312"/>
      <c r="SSR745" s="312"/>
      <c r="SSS745" s="312"/>
      <c r="SST745" s="312"/>
      <c r="SSU745" s="312"/>
      <c r="SSV745" s="312"/>
      <c r="SSW745" s="312"/>
      <c r="SSX745" s="312"/>
      <c r="SSY745" s="312"/>
      <c r="SSZ745" s="312"/>
      <c r="STA745" s="312"/>
      <c r="STB745" s="312"/>
      <c r="STC745" s="312"/>
      <c r="STD745" s="312"/>
      <c r="STE745" s="312"/>
      <c r="STF745" s="312"/>
      <c r="STG745" s="312"/>
      <c r="STH745" s="312"/>
      <c r="STI745" s="312"/>
      <c r="STJ745" s="312"/>
      <c r="STK745" s="312"/>
      <c r="STL745" s="312"/>
      <c r="STM745" s="312"/>
      <c r="STN745" s="312"/>
      <c r="STO745" s="312"/>
      <c r="STP745" s="312"/>
      <c r="STQ745" s="312"/>
      <c r="STR745" s="312"/>
      <c r="STS745" s="312"/>
      <c r="STT745" s="312"/>
      <c r="STU745" s="312"/>
      <c r="STV745" s="312"/>
      <c r="STW745" s="312"/>
      <c r="STX745" s="312"/>
      <c r="STY745" s="312"/>
      <c r="STZ745" s="312"/>
      <c r="SUA745" s="312"/>
      <c r="SUB745" s="312"/>
      <c r="SUC745" s="312"/>
      <c r="SUD745" s="312"/>
      <c r="SUE745" s="312"/>
      <c r="SUF745" s="312"/>
      <c r="SUG745" s="312"/>
      <c r="SUH745" s="312"/>
      <c r="SUI745" s="312"/>
      <c r="SUJ745" s="312"/>
      <c r="SUK745" s="312"/>
      <c r="SUL745" s="312"/>
      <c r="SUM745" s="312"/>
      <c r="SUN745" s="312"/>
      <c r="SUO745" s="312"/>
      <c r="SUP745" s="312"/>
      <c r="SUQ745" s="312"/>
      <c r="SUR745" s="312"/>
      <c r="SUS745" s="312"/>
      <c r="SUT745" s="312"/>
      <c r="SUU745" s="312"/>
      <c r="SUV745" s="312"/>
      <c r="SUW745" s="312"/>
      <c r="SUX745" s="312"/>
      <c r="SUY745" s="312"/>
      <c r="SUZ745" s="312"/>
      <c r="SVA745" s="312"/>
      <c r="SVB745" s="312"/>
      <c r="SVC745" s="312"/>
      <c r="SVD745" s="312"/>
      <c r="SVE745" s="312"/>
      <c r="SVF745" s="312"/>
      <c r="SVG745" s="312"/>
      <c r="SVH745" s="312"/>
      <c r="SVI745" s="312"/>
      <c r="SVJ745" s="312"/>
      <c r="SVK745" s="312"/>
      <c r="SVL745" s="312"/>
      <c r="SVM745" s="312"/>
      <c r="SVN745" s="312"/>
      <c r="SVO745" s="312"/>
      <c r="SVP745" s="312"/>
      <c r="SVQ745" s="312"/>
      <c r="SVR745" s="312"/>
      <c r="SVS745" s="312"/>
      <c r="SVT745" s="312"/>
      <c r="SVU745" s="312"/>
      <c r="SVV745" s="312"/>
      <c r="SVW745" s="312"/>
      <c r="SVX745" s="312"/>
      <c r="SVY745" s="312"/>
      <c r="SVZ745" s="312"/>
      <c r="SWA745" s="312"/>
      <c r="SWB745" s="312"/>
      <c r="SWC745" s="312"/>
      <c r="SWD745" s="312"/>
      <c r="SWE745" s="312"/>
      <c r="SWF745" s="312"/>
      <c r="SWG745" s="312"/>
      <c r="SWH745" s="312"/>
      <c r="SWI745" s="312"/>
      <c r="SWJ745" s="312"/>
      <c r="SWK745" s="312"/>
      <c r="SWL745" s="312"/>
      <c r="SWM745" s="312"/>
      <c r="SWN745" s="312"/>
      <c r="SWO745" s="312"/>
      <c r="SWP745" s="312"/>
      <c r="SWQ745" s="312"/>
      <c r="SWR745" s="312"/>
      <c r="SWS745" s="312"/>
      <c r="SWT745" s="312"/>
      <c r="SWU745" s="312"/>
      <c r="SWV745" s="312"/>
      <c r="SWW745" s="312"/>
      <c r="SWX745" s="312"/>
      <c r="SWY745" s="312"/>
      <c r="SWZ745" s="312"/>
      <c r="SXA745" s="312"/>
      <c r="SXB745" s="312"/>
      <c r="SXC745" s="312"/>
      <c r="SXD745" s="312"/>
      <c r="SXE745" s="312"/>
      <c r="SXF745" s="312"/>
      <c r="SXG745" s="312"/>
      <c r="SXH745" s="312"/>
      <c r="SXI745" s="312"/>
      <c r="SXJ745" s="312"/>
      <c r="SXK745" s="312"/>
      <c r="SXL745" s="312"/>
      <c r="SXM745" s="312"/>
      <c r="SXN745" s="312"/>
      <c r="SXO745" s="312"/>
      <c r="SXP745" s="312"/>
      <c r="SXQ745" s="312"/>
      <c r="SXR745" s="312"/>
      <c r="SXS745" s="312"/>
      <c r="SXT745" s="312"/>
      <c r="SXU745" s="312"/>
      <c r="SXV745" s="312"/>
      <c r="SXW745" s="312"/>
      <c r="SXX745" s="312"/>
      <c r="SXY745" s="312"/>
      <c r="SXZ745" s="312"/>
      <c r="SYA745" s="312"/>
      <c r="SYB745" s="312"/>
      <c r="SYC745" s="312"/>
      <c r="SYD745" s="312"/>
      <c r="SYE745" s="312"/>
      <c r="SYF745" s="312"/>
      <c r="SYG745" s="312"/>
      <c r="SYH745" s="312"/>
      <c r="SYI745" s="312"/>
      <c r="SYJ745" s="312"/>
      <c r="SYK745" s="312"/>
      <c r="SYL745" s="312"/>
      <c r="SYM745" s="312"/>
      <c r="SYN745" s="312"/>
      <c r="SYO745" s="312"/>
      <c r="SYP745" s="312"/>
      <c r="SYQ745" s="312"/>
      <c r="SYR745" s="312"/>
      <c r="SYS745" s="312"/>
      <c r="SYT745" s="312"/>
      <c r="SYU745" s="312"/>
      <c r="SYV745" s="312"/>
      <c r="SYW745" s="312"/>
      <c r="SYX745" s="312"/>
      <c r="SYY745" s="312"/>
      <c r="SYZ745" s="312"/>
      <c r="SZA745" s="312"/>
      <c r="SZB745" s="312"/>
      <c r="SZC745" s="312"/>
      <c r="SZD745" s="312"/>
      <c r="SZE745" s="312"/>
      <c r="SZF745" s="312"/>
      <c r="SZG745" s="312"/>
      <c r="SZH745" s="312"/>
      <c r="SZI745" s="312"/>
      <c r="SZJ745" s="312"/>
      <c r="SZK745" s="312"/>
      <c r="SZL745" s="312"/>
      <c r="SZM745" s="312"/>
      <c r="SZN745" s="312"/>
      <c r="SZO745" s="312"/>
      <c r="SZP745" s="312"/>
      <c r="SZQ745" s="312"/>
      <c r="SZR745" s="312"/>
      <c r="SZS745" s="312"/>
      <c r="SZT745" s="312"/>
      <c r="SZU745" s="312"/>
      <c r="SZV745" s="312"/>
      <c r="SZW745" s="312"/>
      <c r="SZX745" s="312"/>
      <c r="SZY745" s="312"/>
      <c r="SZZ745" s="312"/>
      <c r="TAA745" s="312"/>
      <c r="TAB745" s="312"/>
      <c r="TAC745" s="312"/>
      <c r="TAD745" s="312"/>
      <c r="TAE745" s="312"/>
      <c r="TAF745" s="312"/>
      <c r="TAG745" s="312"/>
      <c r="TAH745" s="312"/>
      <c r="TAI745" s="312"/>
      <c r="TAJ745" s="312"/>
      <c r="TAK745" s="312"/>
      <c r="TAL745" s="312"/>
      <c r="TAM745" s="312"/>
      <c r="TAN745" s="312"/>
      <c r="TAO745" s="312"/>
      <c r="TAP745" s="312"/>
      <c r="TAQ745" s="312"/>
      <c r="TAR745" s="312"/>
      <c r="TAS745" s="312"/>
      <c r="TAT745" s="312"/>
      <c r="TAU745" s="312"/>
      <c r="TAV745" s="312"/>
      <c r="TAW745" s="312"/>
      <c r="TAX745" s="312"/>
      <c r="TAY745" s="312"/>
      <c r="TAZ745" s="312"/>
      <c r="TBA745" s="312"/>
      <c r="TBB745" s="312"/>
      <c r="TBC745" s="312"/>
      <c r="TBD745" s="312"/>
      <c r="TBE745" s="312"/>
      <c r="TBF745" s="312"/>
      <c r="TBG745" s="312"/>
      <c r="TBH745" s="312"/>
      <c r="TBI745" s="312"/>
      <c r="TBJ745" s="312"/>
      <c r="TBK745" s="312"/>
      <c r="TBL745" s="312"/>
      <c r="TBM745" s="312"/>
      <c r="TBN745" s="312"/>
      <c r="TBO745" s="312"/>
      <c r="TBP745" s="312"/>
      <c r="TBQ745" s="312"/>
      <c r="TBR745" s="312"/>
      <c r="TBS745" s="312"/>
      <c r="TBT745" s="312"/>
      <c r="TBU745" s="312"/>
      <c r="TBV745" s="312"/>
      <c r="TBW745" s="312"/>
      <c r="TBX745" s="312"/>
      <c r="TBY745" s="312"/>
      <c r="TBZ745" s="312"/>
      <c r="TCA745" s="312"/>
      <c r="TCB745" s="312"/>
      <c r="TCC745" s="312"/>
      <c r="TCD745" s="312"/>
      <c r="TCE745" s="312"/>
      <c r="TCF745" s="312"/>
      <c r="TCG745" s="312"/>
      <c r="TCH745" s="312"/>
      <c r="TCI745" s="312"/>
      <c r="TCJ745" s="312"/>
      <c r="TCK745" s="312"/>
      <c r="TCL745" s="312"/>
      <c r="TCM745" s="312"/>
      <c r="TCN745" s="312"/>
      <c r="TCO745" s="312"/>
      <c r="TCP745" s="312"/>
      <c r="TCQ745" s="312"/>
      <c r="TCR745" s="312"/>
      <c r="TCS745" s="312"/>
      <c r="TCT745" s="312"/>
      <c r="TCU745" s="312"/>
      <c r="TCV745" s="312"/>
      <c r="TCW745" s="312"/>
      <c r="TCX745" s="312"/>
      <c r="TCY745" s="312"/>
      <c r="TCZ745" s="312"/>
      <c r="TDA745" s="312"/>
      <c r="TDB745" s="312"/>
      <c r="TDC745" s="312"/>
      <c r="TDD745" s="312"/>
      <c r="TDE745" s="312"/>
      <c r="TDF745" s="312"/>
      <c r="TDG745" s="312"/>
      <c r="TDH745" s="312"/>
      <c r="TDI745" s="312"/>
      <c r="TDJ745" s="312"/>
      <c r="TDK745" s="312"/>
      <c r="TDL745" s="312"/>
      <c r="TDM745" s="312"/>
      <c r="TDN745" s="312"/>
      <c r="TDO745" s="312"/>
      <c r="TDP745" s="312"/>
      <c r="TDQ745" s="312"/>
      <c r="TDR745" s="312"/>
      <c r="TDS745" s="312"/>
      <c r="TDT745" s="312"/>
      <c r="TDU745" s="312"/>
      <c r="TDV745" s="312"/>
      <c r="TDW745" s="312"/>
      <c r="TDX745" s="312"/>
      <c r="TDY745" s="312"/>
      <c r="TDZ745" s="312"/>
      <c r="TEA745" s="312"/>
      <c r="TEB745" s="312"/>
      <c r="TEC745" s="312"/>
      <c r="TED745" s="312"/>
      <c r="TEE745" s="312"/>
      <c r="TEF745" s="312"/>
      <c r="TEG745" s="312"/>
      <c r="TEH745" s="312"/>
      <c r="TEI745" s="312"/>
      <c r="TEJ745" s="312"/>
      <c r="TEK745" s="312"/>
      <c r="TEL745" s="312"/>
      <c r="TEM745" s="312"/>
      <c r="TEN745" s="312"/>
      <c r="TEO745" s="312"/>
      <c r="TEP745" s="312"/>
      <c r="TEQ745" s="312"/>
      <c r="TER745" s="312"/>
      <c r="TES745" s="312"/>
      <c r="TET745" s="312"/>
      <c r="TEU745" s="312"/>
      <c r="TEV745" s="312"/>
      <c r="TEW745" s="312"/>
      <c r="TEX745" s="312"/>
      <c r="TEY745" s="312"/>
      <c r="TEZ745" s="312"/>
      <c r="TFA745" s="312"/>
      <c r="TFB745" s="312"/>
      <c r="TFC745" s="312"/>
      <c r="TFD745" s="312"/>
      <c r="TFE745" s="312"/>
      <c r="TFF745" s="312"/>
      <c r="TFG745" s="312"/>
      <c r="TFH745" s="312"/>
      <c r="TFI745" s="312"/>
      <c r="TFJ745" s="312"/>
      <c r="TFK745" s="312"/>
      <c r="TFL745" s="312"/>
      <c r="TFM745" s="312"/>
      <c r="TFN745" s="312"/>
      <c r="TFO745" s="312"/>
      <c r="TFP745" s="312"/>
      <c r="TFQ745" s="312"/>
      <c r="TFR745" s="312"/>
      <c r="TFS745" s="312"/>
      <c r="TFT745" s="312"/>
      <c r="TFU745" s="312"/>
      <c r="TFV745" s="312"/>
      <c r="TFW745" s="312"/>
      <c r="TFX745" s="312"/>
      <c r="TFY745" s="312"/>
      <c r="TFZ745" s="312"/>
      <c r="TGA745" s="312"/>
      <c r="TGB745" s="312"/>
      <c r="TGC745" s="312"/>
      <c r="TGD745" s="312"/>
      <c r="TGE745" s="312"/>
      <c r="TGF745" s="312"/>
      <c r="TGG745" s="312"/>
      <c r="TGH745" s="312"/>
      <c r="TGI745" s="312"/>
      <c r="TGJ745" s="312"/>
      <c r="TGK745" s="312"/>
      <c r="TGL745" s="312"/>
      <c r="TGM745" s="312"/>
      <c r="TGN745" s="312"/>
      <c r="TGO745" s="312"/>
      <c r="TGP745" s="312"/>
      <c r="TGQ745" s="312"/>
      <c r="TGR745" s="312"/>
      <c r="TGS745" s="312"/>
      <c r="TGT745" s="312"/>
      <c r="TGU745" s="312"/>
      <c r="TGV745" s="312"/>
      <c r="TGW745" s="312"/>
      <c r="TGX745" s="312"/>
      <c r="TGY745" s="312"/>
      <c r="TGZ745" s="312"/>
      <c r="THA745" s="312"/>
      <c r="THB745" s="312"/>
      <c r="THC745" s="312"/>
      <c r="THD745" s="312"/>
      <c r="THE745" s="312"/>
      <c r="THF745" s="312"/>
      <c r="THG745" s="312"/>
      <c r="THH745" s="312"/>
      <c r="THI745" s="312"/>
      <c r="THJ745" s="312"/>
      <c r="THK745" s="312"/>
      <c r="THL745" s="312"/>
      <c r="THM745" s="312"/>
      <c r="THN745" s="312"/>
      <c r="THO745" s="312"/>
      <c r="THP745" s="312"/>
      <c r="THQ745" s="312"/>
      <c r="THR745" s="312"/>
      <c r="THS745" s="312"/>
      <c r="THT745" s="312"/>
      <c r="THU745" s="312"/>
      <c r="THV745" s="312"/>
      <c r="THW745" s="312"/>
      <c r="THX745" s="312"/>
      <c r="THY745" s="312"/>
      <c r="THZ745" s="312"/>
      <c r="TIA745" s="312"/>
      <c r="TIB745" s="312"/>
      <c r="TIC745" s="312"/>
      <c r="TID745" s="312"/>
      <c r="TIE745" s="312"/>
      <c r="TIF745" s="312"/>
      <c r="TIG745" s="312"/>
      <c r="TIH745" s="312"/>
      <c r="TII745" s="312"/>
      <c r="TIJ745" s="312"/>
      <c r="TIK745" s="312"/>
      <c r="TIL745" s="312"/>
      <c r="TIM745" s="312"/>
      <c r="TIN745" s="312"/>
      <c r="TIO745" s="312"/>
      <c r="TIP745" s="312"/>
      <c r="TIQ745" s="312"/>
      <c r="TIR745" s="312"/>
      <c r="TIS745" s="312"/>
      <c r="TIT745" s="312"/>
      <c r="TIU745" s="312"/>
      <c r="TIV745" s="312"/>
      <c r="TIW745" s="312"/>
      <c r="TIX745" s="312"/>
      <c r="TIY745" s="312"/>
      <c r="TIZ745" s="312"/>
      <c r="TJA745" s="312"/>
      <c r="TJB745" s="312"/>
      <c r="TJC745" s="312"/>
      <c r="TJD745" s="312"/>
      <c r="TJE745" s="312"/>
      <c r="TJF745" s="312"/>
      <c r="TJG745" s="312"/>
      <c r="TJH745" s="312"/>
      <c r="TJI745" s="312"/>
      <c r="TJJ745" s="312"/>
      <c r="TJK745" s="312"/>
      <c r="TJL745" s="312"/>
      <c r="TJM745" s="312"/>
      <c r="TJN745" s="312"/>
      <c r="TJO745" s="312"/>
      <c r="TJP745" s="312"/>
      <c r="TJQ745" s="312"/>
      <c r="TJR745" s="312"/>
      <c r="TJS745" s="312"/>
      <c r="TJT745" s="312"/>
      <c r="TJU745" s="312"/>
      <c r="TJV745" s="312"/>
      <c r="TJW745" s="312"/>
      <c r="TJX745" s="312"/>
      <c r="TJY745" s="312"/>
      <c r="TJZ745" s="312"/>
      <c r="TKA745" s="312"/>
      <c r="TKB745" s="312"/>
      <c r="TKC745" s="312"/>
      <c r="TKD745" s="312"/>
      <c r="TKE745" s="312"/>
      <c r="TKF745" s="312"/>
      <c r="TKG745" s="312"/>
      <c r="TKH745" s="312"/>
      <c r="TKI745" s="312"/>
      <c r="TKJ745" s="312"/>
      <c r="TKK745" s="312"/>
      <c r="TKL745" s="312"/>
      <c r="TKM745" s="312"/>
      <c r="TKN745" s="312"/>
      <c r="TKO745" s="312"/>
      <c r="TKP745" s="312"/>
      <c r="TKQ745" s="312"/>
      <c r="TKR745" s="312"/>
      <c r="TKS745" s="312"/>
      <c r="TKT745" s="312"/>
      <c r="TKU745" s="312"/>
      <c r="TKV745" s="312"/>
      <c r="TKW745" s="312"/>
      <c r="TKX745" s="312"/>
      <c r="TKY745" s="312"/>
      <c r="TKZ745" s="312"/>
      <c r="TLA745" s="312"/>
      <c r="TLB745" s="312"/>
      <c r="TLC745" s="312"/>
      <c r="TLD745" s="312"/>
      <c r="TLE745" s="312"/>
      <c r="TLF745" s="312"/>
      <c r="TLG745" s="312"/>
      <c r="TLH745" s="312"/>
      <c r="TLI745" s="312"/>
      <c r="TLJ745" s="312"/>
      <c r="TLK745" s="312"/>
      <c r="TLL745" s="312"/>
      <c r="TLM745" s="312"/>
      <c r="TLN745" s="312"/>
      <c r="TLO745" s="312"/>
      <c r="TLP745" s="312"/>
      <c r="TLQ745" s="312"/>
      <c r="TLR745" s="312"/>
      <c r="TLS745" s="312"/>
      <c r="TLT745" s="312"/>
      <c r="TLU745" s="312"/>
      <c r="TLV745" s="312"/>
      <c r="TLW745" s="312"/>
      <c r="TLX745" s="312"/>
      <c r="TLY745" s="312"/>
      <c r="TLZ745" s="312"/>
      <c r="TMA745" s="312"/>
      <c r="TMB745" s="312"/>
      <c r="TMC745" s="312"/>
      <c r="TMD745" s="312"/>
      <c r="TME745" s="312"/>
      <c r="TMF745" s="312"/>
      <c r="TMG745" s="312"/>
      <c r="TMH745" s="312"/>
      <c r="TMI745" s="312"/>
      <c r="TMJ745" s="312"/>
      <c r="TMK745" s="312"/>
      <c r="TML745" s="312"/>
      <c r="TMM745" s="312"/>
      <c r="TMN745" s="312"/>
      <c r="TMO745" s="312"/>
      <c r="TMP745" s="312"/>
      <c r="TMQ745" s="312"/>
      <c r="TMR745" s="312"/>
      <c r="TMS745" s="312"/>
      <c r="TMT745" s="312"/>
      <c r="TMU745" s="312"/>
      <c r="TMV745" s="312"/>
      <c r="TMW745" s="312"/>
      <c r="TMX745" s="312"/>
      <c r="TMY745" s="312"/>
      <c r="TMZ745" s="312"/>
      <c r="TNA745" s="312"/>
      <c r="TNB745" s="312"/>
      <c r="TNC745" s="312"/>
      <c r="TND745" s="312"/>
      <c r="TNE745" s="312"/>
      <c r="TNF745" s="312"/>
      <c r="TNG745" s="312"/>
      <c r="TNH745" s="312"/>
      <c r="TNI745" s="312"/>
      <c r="TNJ745" s="312"/>
      <c r="TNK745" s="312"/>
      <c r="TNL745" s="312"/>
      <c r="TNM745" s="312"/>
      <c r="TNN745" s="312"/>
      <c r="TNO745" s="312"/>
      <c r="TNP745" s="312"/>
      <c r="TNQ745" s="312"/>
      <c r="TNR745" s="312"/>
      <c r="TNS745" s="312"/>
      <c r="TNT745" s="312"/>
      <c r="TNU745" s="312"/>
      <c r="TNV745" s="312"/>
      <c r="TNW745" s="312"/>
      <c r="TNX745" s="312"/>
      <c r="TNY745" s="312"/>
      <c r="TNZ745" s="312"/>
      <c r="TOA745" s="312"/>
      <c r="TOB745" s="312"/>
      <c r="TOC745" s="312"/>
      <c r="TOD745" s="312"/>
      <c r="TOE745" s="312"/>
      <c r="TOF745" s="312"/>
      <c r="TOG745" s="312"/>
      <c r="TOH745" s="312"/>
      <c r="TOI745" s="312"/>
      <c r="TOJ745" s="312"/>
      <c r="TOK745" s="312"/>
      <c r="TOL745" s="312"/>
      <c r="TOM745" s="312"/>
      <c r="TON745" s="312"/>
      <c r="TOO745" s="312"/>
      <c r="TOP745" s="312"/>
      <c r="TOQ745" s="312"/>
      <c r="TOR745" s="312"/>
      <c r="TOS745" s="312"/>
      <c r="TOT745" s="312"/>
      <c r="TOU745" s="312"/>
      <c r="TOV745" s="312"/>
      <c r="TOW745" s="312"/>
      <c r="TOX745" s="312"/>
      <c r="TOY745" s="312"/>
      <c r="TOZ745" s="312"/>
      <c r="TPA745" s="312"/>
      <c r="TPB745" s="312"/>
      <c r="TPC745" s="312"/>
      <c r="TPD745" s="312"/>
      <c r="TPE745" s="312"/>
      <c r="TPF745" s="312"/>
      <c r="TPG745" s="312"/>
      <c r="TPH745" s="312"/>
      <c r="TPI745" s="312"/>
      <c r="TPJ745" s="312"/>
      <c r="TPK745" s="312"/>
      <c r="TPL745" s="312"/>
      <c r="TPM745" s="312"/>
      <c r="TPN745" s="312"/>
      <c r="TPO745" s="312"/>
      <c r="TPP745" s="312"/>
      <c r="TPQ745" s="312"/>
      <c r="TPR745" s="312"/>
      <c r="TPS745" s="312"/>
      <c r="TPT745" s="312"/>
      <c r="TPU745" s="312"/>
      <c r="TPV745" s="312"/>
      <c r="TPW745" s="312"/>
      <c r="TPX745" s="312"/>
      <c r="TPY745" s="312"/>
      <c r="TPZ745" s="312"/>
      <c r="TQA745" s="312"/>
      <c r="TQB745" s="312"/>
      <c r="TQC745" s="312"/>
      <c r="TQD745" s="312"/>
      <c r="TQE745" s="312"/>
      <c r="TQF745" s="312"/>
      <c r="TQG745" s="312"/>
      <c r="TQH745" s="312"/>
      <c r="TQI745" s="312"/>
      <c r="TQJ745" s="312"/>
      <c r="TQK745" s="312"/>
      <c r="TQL745" s="312"/>
      <c r="TQM745" s="312"/>
      <c r="TQN745" s="312"/>
      <c r="TQO745" s="312"/>
      <c r="TQP745" s="312"/>
      <c r="TQQ745" s="312"/>
      <c r="TQR745" s="312"/>
      <c r="TQS745" s="312"/>
      <c r="TQT745" s="312"/>
      <c r="TQU745" s="312"/>
      <c r="TQV745" s="312"/>
      <c r="TQW745" s="312"/>
      <c r="TQX745" s="312"/>
      <c r="TQY745" s="312"/>
      <c r="TQZ745" s="312"/>
      <c r="TRA745" s="312"/>
      <c r="TRB745" s="312"/>
      <c r="TRC745" s="312"/>
      <c r="TRD745" s="312"/>
      <c r="TRE745" s="312"/>
      <c r="TRF745" s="312"/>
      <c r="TRG745" s="312"/>
      <c r="TRH745" s="312"/>
      <c r="TRI745" s="312"/>
      <c r="TRJ745" s="312"/>
      <c r="TRK745" s="312"/>
      <c r="TRL745" s="312"/>
      <c r="TRM745" s="312"/>
      <c r="TRN745" s="312"/>
      <c r="TRO745" s="312"/>
      <c r="TRP745" s="312"/>
      <c r="TRQ745" s="312"/>
      <c r="TRR745" s="312"/>
      <c r="TRS745" s="312"/>
      <c r="TRT745" s="312"/>
      <c r="TRU745" s="312"/>
      <c r="TRV745" s="312"/>
      <c r="TRW745" s="312"/>
      <c r="TRX745" s="312"/>
      <c r="TRY745" s="312"/>
      <c r="TRZ745" s="312"/>
      <c r="TSA745" s="312"/>
      <c r="TSB745" s="312"/>
      <c r="TSC745" s="312"/>
      <c r="TSD745" s="312"/>
      <c r="TSE745" s="312"/>
      <c r="TSF745" s="312"/>
      <c r="TSG745" s="312"/>
      <c r="TSH745" s="312"/>
      <c r="TSI745" s="312"/>
      <c r="TSJ745" s="312"/>
      <c r="TSK745" s="312"/>
      <c r="TSL745" s="312"/>
      <c r="TSM745" s="312"/>
      <c r="TSN745" s="312"/>
      <c r="TSO745" s="312"/>
      <c r="TSP745" s="312"/>
      <c r="TSQ745" s="312"/>
      <c r="TSR745" s="312"/>
      <c r="TSS745" s="312"/>
      <c r="TST745" s="312"/>
      <c r="TSU745" s="312"/>
      <c r="TSV745" s="312"/>
      <c r="TSW745" s="312"/>
      <c r="TSX745" s="312"/>
      <c r="TSY745" s="312"/>
      <c r="TSZ745" s="312"/>
      <c r="TTA745" s="312"/>
      <c r="TTB745" s="312"/>
      <c r="TTC745" s="312"/>
      <c r="TTD745" s="312"/>
      <c r="TTE745" s="312"/>
      <c r="TTF745" s="312"/>
      <c r="TTG745" s="312"/>
      <c r="TTH745" s="312"/>
      <c r="TTI745" s="312"/>
      <c r="TTJ745" s="312"/>
      <c r="TTK745" s="312"/>
      <c r="TTL745" s="312"/>
      <c r="TTM745" s="312"/>
      <c r="TTN745" s="312"/>
      <c r="TTO745" s="312"/>
      <c r="TTP745" s="312"/>
      <c r="TTQ745" s="312"/>
      <c r="TTR745" s="312"/>
      <c r="TTS745" s="312"/>
      <c r="TTT745" s="312"/>
      <c r="TTU745" s="312"/>
      <c r="TTV745" s="312"/>
      <c r="TTW745" s="312"/>
      <c r="TTX745" s="312"/>
      <c r="TTY745" s="312"/>
      <c r="TTZ745" s="312"/>
      <c r="TUA745" s="312"/>
      <c r="TUB745" s="312"/>
      <c r="TUC745" s="312"/>
      <c r="TUD745" s="312"/>
      <c r="TUE745" s="312"/>
      <c r="TUF745" s="312"/>
      <c r="TUG745" s="312"/>
      <c r="TUH745" s="312"/>
      <c r="TUI745" s="312"/>
      <c r="TUJ745" s="312"/>
      <c r="TUK745" s="312"/>
      <c r="TUL745" s="312"/>
      <c r="TUM745" s="312"/>
      <c r="TUN745" s="312"/>
      <c r="TUO745" s="312"/>
      <c r="TUP745" s="312"/>
      <c r="TUQ745" s="312"/>
      <c r="TUR745" s="312"/>
      <c r="TUS745" s="312"/>
      <c r="TUT745" s="312"/>
      <c r="TUU745" s="312"/>
      <c r="TUV745" s="312"/>
      <c r="TUW745" s="312"/>
      <c r="TUX745" s="312"/>
      <c r="TUY745" s="312"/>
      <c r="TUZ745" s="312"/>
      <c r="TVA745" s="312"/>
      <c r="TVB745" s="312"/>
      <c r="TVC745" s="312"/>
      <c r="TVD745" s="312"/>
      <c r="TVE745" s="312"/>
      <c r="TVF745" s="312"/>
      <c r="TVG745" s="312"/>
      <c r="TVH745" s="312"/>
      <c r="TVI745" s="312"/>
      <c r="TVJ745" s="312"/>
      <c r="TVK745" s="312"/>
      <c r="TVL745" s="312"/>
      <c r="TVM745" s="312"/>
      <c r="TVN745" s="312"/>
      <c r="TVO745" s="312"/>
      <c r="TVP745" s="312"/>
      <c r="TVQ745" s="312"/>
      <c r="TVR745" s="312"/>
      <c r="TVS745" s="312"/>
      <c r="TVT745" s="312"/>
      <c r="TVU745" s="312"/>
      <c r="TVV745" s="312"/>
      <c r="TVW745" s="312"/>
      <c r="TVX745" s="312"/>
      <c r="TVY745" s="312"/>
      <c r="TVZ745" s="312"/>
      <c r="TWA745" s="312"/>
      <c r="TWB745" s="312"/>
      <c r="TWC745" s="312"/>
      <c r="TWD745" s="312"/>
      <c r="TWE745" s="312"/>
      <c r="TWF745" s="312"/>
      <c r="TWG745" s="312"/>
      <c r="TWH745" s="312"/>
      <c r="TWI745" s="312"/>
      <c r="TWJ745" s="312"/>
      <c r="TWK745" s="312"/>
      <c r="TWL745" s="312"/>
      <c r="TWM745" s="312"/>
      <c r="TWN745" s="312"/>
      <c r="TWO745" s="312"/>
      <c r="TWP745" s="312"/>
      <c r="TWQ745" s="312"/>
      <c r="TWR745" s="312"/>
      <c r="TWS745" s="312"/>
      <c r="TWT745" s="312"/>
      <c r="TWU745" s="312"/>
      <c r="TWV745" s="312"/>
      <c r="TWW745" s="312"/>
      <c r="TWX745" s="312"/>
      <c r="TWY745" s="312"/>
      <c r="TWZ745" s="312"/>
      <c r="TXA745" s="312"/>
      <c r="TXB745" s="312"/>
      <c r="TXC745" s="312"/>
      <c r="TXD745" s="312"/>
      <c r="TXE745" s="312"/>
      <c r="TXF745" s="312"/>
      <c r="TXG745" s="312"/>
      <c r="TXH745" s="312"/>
      <c r="TXI745" s="312"/>
      <c r="TXJ745" s="312"/>
      <c r="TXK745" s="312"/>
      <c r="TXL745" s="312"/>
      <c r="TXM745" s="312"/>
      <c r="TXN745" s="312"/>
      <c r="TXO745" s="312"/>
      <c r="TXP745" s="312"/>
      <c r="TXQ745" s="312"/>
      <c r="TXR745" s="312"/>
      <c r="TXS745" s="312"/>
      <c r="TXT745" s="312"/>
      <c r="TXU745" s="312"/>
      <c r="TXV745" s="312"/>
      <c r="TXW745" s="312"/>
      <c r="TXX745" s="312"/>
      <c r="TXY745" s="312"/>
      <c r="TXZ745" s="312"/>
      <c r="TYA745" s="312"/>
      <c r="TYB745" s="312"/>
      <c r="TYC745" s="312"/>
      <c r="TYD745" s="312"/>
      <c r="TYE745" s="312"/>
      <c r="TYF745" s="312"/>
      <c r="TYG745" s="312"/>
      <c r="TYH745" s="312"/>
      <c r="TYI745" s="312"/>
      <c r="TYJ745" s="312"/>
      <c r="TYK745" s="312"/>
      <c r="TYL745" s="312"/>
      <c r="TYM745" s="312"/>
      <c r="TYN745" s="312"/>
      <c r="TYO745" s="312"/>
      <c r="TYP745" s="312"/>
      <c r="TYQ745" s="312"/>
      <c r="TYR745" s="312"/>
      <c r="TYS745" s="312"/>
      <c r="TYT745" s="312"/>
      <c r="TYU745" s="312"/>
      <c r="TYV745" s="312"/>
      <c r="TYW745" s="312"/>
      <c r="TYX745" s="312"/>
      <c r="TYY745" s="312"/>
      <c r="TYZ745" s="312"/>
      <c r="TZA745" s="312"/>
      <c r="TZB745" s="312"/>
      <c r="TZC745" s="312"/>
      <c r="TZD745" s="312"/>
      <c r="TZE745" s="312"/>
      <c r="TZF745" s="312"/>
      <c r="TZG745" s="312"/>
      <c r="TZH745" s="312"/>
      <c r="TZI745" s="312"/>
      <c r="TZJ745" s="312"/>
      <c r="TZK745" s="312"/>
      <c r="TZL745" s="312"/>
      <c r="TZM745" s="312"/>
      <c r="TZN745" s="312"/>
      <c r="TZO745" s="312"/>
      <c r="TZP745" s="312"/>
      <c r="TZQ745" s="312"/>
      <c r="TZR745" s="312"/>
      <c r="TZS745" s="312"/>
      <c r="TZT745" s="312"/>
      <c r="TZU745" s="312"/>
      <c r="TZV745" s="312"/>
      <c r="TZW745" s="312"/>
      <c r="TZX745" s="312"/>
      <c r="TZY745" s="312"/>
      <c r="TZZ745" s="312"/>
      <c r="UAA745" s="312"/>
      <c r="UAB745" s="312"/>
      <c r="UAC745" s="312"/>
      <c r="UAD745" s="312"/>
      <c r="UAE745" s="312"/>
      <c r="UAF745" s="312"/>
      <c r="UAG745" s="312"/>
      <c r="UAH745" s="312"/>
      <c r="UAI745" s="312"/>
      <c r="UAJ745" s="312"/>
      <c r="UAK745" s="312"/>
      <c r="UAL745" s="312"/>
      <c r="UAM745" s="312"/>
      <c r="UAN745" s="312"/>
      <c r="UAO745" s="312"/>
      <c r="UAP745" s="312"/>
      <c r="UAQ745" s="312"/>
      <c r="UAR745" s="312"/>
      <c r="UAS745" s="312"/>
      <c r="UAT745" s="312"/>
      <c r="UAU745" s="312"/>
      <c r="UAV745" s="312"/>
      <c r="UAW745" s="312"/>
      <c r="UAX745" s="312"/>
      <c r="UAY745" s="312"/>
      <c r="UAZ745" s="312"/>
      <c r="UBA745" s="312"/>
      <c r="UBB745" s="312"/>
      <c r="UBC745" s="312"/>
      <c r="UBD745" s="312"/>
      <c r="UBE745" s="312"/>
      <c r="UBF745" s="312"/>
      <c r="UBG745" s="312"/>
      <c r="UBH745" s="312"/>
      <c r="UBI745" s="312"/>
      <c r="UBJ745" s="312"/>
      <c r="UBK745" s="312"/>
      <c r="UBL745" s="312"/>
      <c r="UBM745" s="312"/>
      <c r="UBN745" s="312"/>
      <c r="UBO745" s="312"/>
      <c r="UBP745" s="312"/>
      <c r="UBQ745" s="312"/>
      <c r="UBR745" s="312"/>
      <c r="UBS745" s="312"/>
      <c r="UBT745" s="312"/>
      <c r="UBU745" s="312"/>
      <c r="UBV745" s="312"/>
      <c r="UBW745" s="312"/>
      <c r="UBX745" s="312"/>
      <c r="UBY745" s="312"/>
      <c r="UBZ745" s="312"/>
      <c r="UCA745" s="312"/>
      <c r="UCB745" s="312"/>
      <c r="UCC745" s="312"/>
      <c r="UCD745" s="312"/>
      <c r="UCE745" s="312"/>
      <c r="UCF745" s="312"/>
      <c r="UCG745" s="312"/>
      <c r="UCH745" s="312"/>
      <c r="UCI745" s="312"/>
      <c r="UCJ745" s="312"/>
      <c r="UCK745" s="312"/>
      <c r="UCL745" s="312"/>
      <c r="UCM745" s="312"/>
      <c r="UCN745" s="312"/>
      <c r="UCO745" s="312"/>
      <c r="UCP745" s="312"/>
      <c r="UCQ745" s="312"/>
      <c r="UCR745" s="312"/>
      <c r="UCS745" s="312"/>
      <c r="UCT745" s="312"/>
      <c r="UCU745" s="312"/>
      <c r="UCV745" s="312"/>
      <c r="UCW745" s="312"/>
      <c r="UCX745" s="312"/>
      <c r="UCY745" s="312"/>
      <c r="UCZ745" s="312"/>
      <c r="UDA745" s="312"/>
      <c r="UDB745" s="312"/>
      <c r="UDC745" s="312"/>
      <c r="UDD745" s="312"/>
      <c r="UDE745" s="312"/>
      <c r="UDF745" s="312"/>
      <c r="UDG745" s="312"/>
      <c r="UDH745" s="312"/>
      <c r="UDI745" s="312"/>
      <c r="UDJ745" s="312"/>
      <c r="UDK745" s="312"/>
      <c r="UDL745" s="312"/>
      <c r="UDM745" s="312"/>
      <c r="UDN745" s="312"/>
      <c r="UDO745" s="312"/>
      <c r="UDP745" s="312"/>
      <c r="UDQ745" s="312"/>
      <c r="UDR745" s="312"/>
      <c r="UDS745" s="312"/>
      <c r="UDT745" s="312"/>
      <c r="UDU745" s="312"/>
      <c r="UDV745" s="312"/>
      <c r="UDW745" s="312"/>
      <c r="UDX745" s="312"/>
      <c r="UDY745" s="312"/>
      <c r="UDZ745" s="312"/>
      <c r="UEA745" s="312"/>
      <c r="UEB745" s="312"/>
      <c r="UEC745" s="312"/>
      <c r="UED745" s="312"/>
      <c r="UEE745" s="312"/>
      <c r="UEF745" s="312"/>
      <c r="UEG745" s="312"/>
      <c r="UEH745" s="312"/>
      <c r="UEI745" s="312"/>
      <c r="UEJ745" s="312"/>
      <c r="UEK745" s="312"/>
      <c r="UEL745" s="312"/>
      <c r="UEM745" s="312"/>
      <c r="UEN745" s="312"/>
      <c r="UEO745" s="312"/>
      <c r="UEP745" s="312"/>
      <c r="UEQ745" s="312"/>
      <c r="UER745" s="312"/>
      <c r="UES745" s="312"/>
      <c r="UET745" s="312"/>
      <c r="UEU745" s="312"/>
      <c r="UEV745" s="312"/>
      <c r="UEW745" s="312"/>
      <c r="UEX745" s="312"/>
      <c r="UEY745" s="312"/>
      <c r="UEZ745" s="312"/>
      <c r="UFA745" s="312"/>
      <c r="UFB745" s="312"/>
      <c r="UFC745" s="312"/>
      <c r="UFD745" s="312"/>
      <c r="UFE745" s="312"/>
      <c r="UFF745" s="312"/>
      <c r="UFG745" s="312"/>
      <c r="UFH745" s="312"/>
      <c r="UFI745" s="312"/>
      <c r="UFJ745" s="312"/>
      <c r="UFK745" s="312"/>
      <c r="UFL745" s="312"/>
      <c r="UFM745" s="312"/>
      <c r="UFN745" s="312"/>
      <c r="UFO745" s="312"/>
      <c r="UFP745" s="312"/>
      <c r="UFQ745" s="312"/>
      <c r="UFR745" s="312"/>
      <c r="UFS745" s="312"/>
      <c r="UFT745" s="312"/>
      <c r="UFU745" s="312"/>
      <c r="UFV745" s="312"/>
      <c r="UFW745" s="312"/>
      <c r="UFX745" s="312"/>
      <c r="UFY745" s="312"/>
      <c r="UFZ745" s="312"/>
      <c r="UGA745" s="312"/>
      <c r="UGB745" s="312"/>
      <c r="UGC745" s="312"/>
      <c r="UGD745" s="312"/>
      <c r="UGE745" s="312"/>
      <c r="UGF745" s="312"/>
      <c r="UGG745" s="312"/>
      <c r="UGH745" s="312"/>
      <c r="UGI745" s="312"/>
      <c r="UGJ745" s="312"/>
      <c r="UGK745" s="312"/>
      <c r="UGL745" s="312"/>
      <c r="UGM745" s="312"/>
      <c r="UGN745" s="312"/>
      <c r="UGO745" s="312"/>
      <c r="UGP745" s="312"/>
      <c r="UGQ745" s="312"/>
      <c r="UGR745" s="312"/>
      <c r="UGS745" s="312"/>
      <c r="UGT745" s="312"/>
      <c r="UGU745" s="312"/>
      <c r="UGV745" s="312"/>
      <c r="UGW745" s="312"/>
      <c r="UGX745" s="312"/>
      <c r="UGY745" s="312"/>
      <c r="UGZ745" s="312"/>
      <c r="UHA745" s="312"/>
      <c r="UHB745" s="312"/>
      <c r="UHC745" s="312"/>
      <c r="UHD745" s="312"/>
      <c r="UHE745" s="312"/>
      <c r="UHF745" s="312"/>
      <c r="UHG745" s="312"/>
      <c r="UHH745" s="312"/>
      <c r="UHI745" s="312"/>
      <c r="UHJ745" s="312"/>
      <c r="UHK745" s="312"/>
      <c r="UHL745" s="312"/>
      <c r="UHM745" s="312"/>
      <c r="UHN745" s="312"/>
      <c r="UHO745" s="312"/>
      <c r="UHP745" s="312"/>
      <c r="UHQ745" s="312"/>
      <c r="UHR745" s="312"/>
      <c r="UHS745" s="312"/>
      <c r="UHT745" s="312"/>
      <c r="UHU745" s="312"/>
      <c r="UHV745" s="312"/>
      <c r="UHW745" s="312"/>
      <c r="UHX745" s="312"/>
      <c r="UHY745" s="312"/>
      <c r="UHZ745" s="312"/>
      <c r="UIA745" s="312"/>
      <c r="UIB745" s="312"/>
      <c r="UIC745" s="312"/>
      <c r="UID745" s="312"/>
      <c r="UIE745" s="312"/>
      <c r="UIF745" s="312"/>
      <c r="UIG745" s="312"/>
      <c r="UIH745" s="312"/>
      <c r="UII745" s="312"/>
      <c r="UIJ745" s="312"/>
      <c r="UIK745" s="312"/>
      <c r="UIL745" s="312"/>
      <c r="UIM745" s="312"/>
      <c r="UIN745" s="312"/>
      <c r="UIO745" s="312"/>
      <c r="UIP745" s="312"/>
      <c r="UIQ745" s="312"/>
      <c r="UIR745" s="312"/>
      <c r="UIS745" s="312"/>
      <c r="UIT745" s="312"/>
      <c r="UIU745" s="312"/>
      <c r="UIV745" s="312"/>
      <c r="UIW745" s="312"/>
      <c r="UIX745" s="312"/>
      <c r="UIY745" s="312"/>
      <c r="UIZ745" s="312"/>
      <c r="UJA745" s="312"/>
      <c r="UJB745" s="312"/>
      <c r="UJC745" s="312"/>
      <c r="UJD745" s="312"/>
      <c r="UJE745" s="312"/>
      <c r="UJF745" s="312"/>
      <c r="UJG745" s="312"/>
      <c r="UJH745" s="312"/>
      <c r="UJI745" s="312"/>
      <c r="UJJ745" s="312"/>
      <c r="UJK745" s="312"/>
      <c r="UJL745" s="312"/>
      <c r="UJM745" s="312"/>
      <c r="UJN745" s="312"/>
      <c r="UJO745" s="312"/>
      <c r="UJP745" s="312"/>
      <c r="UJQ745" s="312"/>
      <c r="UJR745" s="312"/>
      <c r="UJS745" s="312"/>
      <c r="UJT745" s="312"/>
      <c r="UJU745" s="312"/>
      <c r="UJV745" s="312"/>
      <c r="UJW745" s="312"/>
      <c r="UJX745" s="312"/>
      <c r="UJY745" s="312"/>
      <c r="UJZ745" s="312"/>
      <c r="UKA745" s="312"/>
      <c r="UKB745" s="312"/>
      <c r="UKC745" s="312"/>
      <c r="UKD745" s="312"/>
      <c r="UKE745" s="312"/>
      <c r="UKF745" s="312"/>
      <c r="UKG745" s="312"/>
      <c r="UKH745" s="312"/>
      <c r="UKI745" s="312"/>
      <c r="UKJ745" s="312"/>
      <c r="UKK745" s="312"/>
      <c r="UKL745" s="312"/>
      <c r="UKM745" s="312"/>
      <c r="UKN745" s="312"/>
      <c r="UKO745" s="312"/>
      <c r="UKP745" s="312"/>
      <c r="UKQ745" s="312"/>
      <c r="UKR745" s="312"/>
      <c r="UKS745" s="312"/>
      <c r="UKT745" s="312"/>
      <c r="UKU745" s="312"/>
      <c r="UKV745" s="312"/>
      <c r="UKW745" s="312"/>
      <c r="UKX745" s="312"/>
      <c r="UKY745" s="312"/>
      <c r="UKZ745" s="312"/>
      <c r="ULA745" s="312"/>
      <c r="ULB745" s="312"/>
      <c r="ULC745" s="312"/>
      <c r="ULD745" s="312"/>
      <c r="ULE745" s="312"/>
      <c r="ULF745" s="312"/>
      <c r="ULG745" s="312"/>
      <c r="ULH745" s="312"/>
      <c r="ULI745" s="312"/>
      <c r="ULJ745" s="312"/>
      <c r="ULK745" s="312"/>
      <c r="ULL745" s="312"/>
      <c r="ULM745" s="312"/>
      <c r="ULN745" s="312"/>
      <c r="ULO745" s="312"/>
      <c r="ULP745" s="312"/>
      <c r="ULQ745" s="312"/>
      <c r="ULR745" s="312"/>
      <c r="ULS745" s="312"/>
      <c r="ULT745" s="312"/>
      <c r="ULU745" s="312"/>
      <c r="ULV745" s="312"/>
      <c r="ULW745" s="312"/>
      <c r="ULX745" s="312"/>
      <c r="ULY745" s="312"/>
      <c r="ULZ745" s="312"/>
      <c r="UMA745" s="312"/>
      <c r="UMB745" s="312"/>
      <c r="UMC745" s="312"/>
      <c r="UMD745" s="312"/>
      <c r="UME745" s="312"/>
      <c r="UMF745" s="312"/>
      <c r="UMG745" s="312"/>
      <c r="UMH745" s="312"/>
      <c r="UMI745" s="312"/>
      <c r="UMJ745" s="312"/>
      <c r="UMK745" s="312"/>
      <c r="UML745" s="312"/>
      <c r="UMM745" s="312"/>
      <c r="UMN745" s="312"/>
      <c r="UMO745" s="312"/>
      <c r="UMP745" s="312"/>
      <c r="UMQ745" s="312"/>
      <c r="UMR745" s="312"/>
      <c r="UMS745" s="312"/>
      <c r="UMT745" s="312"/>
      <c r="UMU745" s="312"/>
      <c r="UMV745" s="312"/>
      <c r="UMW745" s="312"/>
      <c r="UMX745" s="312"/>
      <c r="UMY745" s="312"/>
      <c r="UMZ745" s="312"/>
      <c r="UNA745" s="312"/>
      <c r="UNB745" s="312"/>
      <c r="UNC745" s="312"/>
      <c r="UND745" s="312"/>
      <c r="UNE745" s="312"/>
      <c r="UNF745" s="312"/>
      <c r="UNG745" s="312"/>
      <c r="UNH745" s="312"/>
      <c r="UNI745" s="312"/>
      <c r="UNJ745" s="312"/>
      <c r="UNK745" s="312"/>
      <c r="UNL745" s="312"/>
      <c r="UNM745" s="312"/>
      <c r="UNN745" s="312"/>
      <c r="UNO745" s="312"/>
      <c r="UNP745" s="312"/>
      <c r="UNQ745" s="312"/>
      <c r="UNR745" s="312"/>
      <c r="UNS745" s="312"/>
      <c r="UNT745" s="312"/>
      <c r="UNU745" s="312"/>
      <c r="UNV745" s="312"/>
      <c r="UNW745" s="312"/>
      <c r="UNX745" s="312"/>
      <c r="UNY745" s="312"/>
      <c r="UNZ745" s="312"/>
      <c r="UOA745" s="312"/>
      <c r="UOB745" s="312"/>
      <c r="UOC745" s="312"/>
      <c r="UOD745" s="312"/>
      <c r="UOE745" s="312"/>
      <c r="UOF745" s="312"/>
      <c r="UOG745" s="312"/>
      <c r="UOH745" s="312"/>
      <c r="UOI745" s="312"/>
      <c r="UOJ745" s="312"/>
      <c r="UOK745" s="312"/>
      <c r="UOL745" s="312"/>
      <c r="UOM745" s="312"/>
      <c r="UON745" s="312"/>
      <c r="UOO745" s="312"/>
      <c r="UOP745" s="312"/>
      <c r="UOQ745" s="312"/>
      <c r="UOR745" s="312"/>
      <c r="UOS745" s="312"/>
      <c r="UOT745" s="312"/>
      <c r="UOU745" s="312"/>
      <c r="UOV745" s="312"/>
      <c r="UOW745" s="312"/>
      <c r="UOX745" s="312"/>
      <c r="UOY745" s="312"/>
      <c r="UOZ745" s="312"/>
      <c r="UPA745" s="312"/>
      <c r="UPB745" s="312"/>
      <c r="UPC745" s="312"/>
      <c r="UPD745" s="312"/>
      <c r="UPE745" s="312"/>
      <c r="UPF745" s="312"/>
      <c r="UPG745" s="312"/>
      <c r="UPH745" s="312"/>
      <c r="UPI745" s="312"/>
      <c r="UPJ745" s="312"/>
      <c r="UPK745" s="312"/>
      <c r="UPL745" s="312"/>
      <c r="UPM745" s="312"/>
      <c r="UPN745" s="312"/>
      <c r="UPO745" s="312"/>
      <c r="UPP745" s="312"/>
      <c r="UPQ745" s="312"/>
      <c r="UPR745" s="312"/>
      <c r="UPS745" s="312"/>
      <c r="UPT745" s="312"/>
      <c r="UPU745" s="312"/>
      <c r="UPV745" s="312"/>
      <c r="UPW745" s="312"/>
      <c r="UPX745" s="312"/>
      <c r="UPY745" s="312"/>
      <c r="UPZ745" s="312"/>
      <c r="UQA745" s="312"/>
      <c r="UQB745" s="312"/>
      <c r="UQC745" s="312"/>
      <c r="UQD745" s="312"/>
      <c r="UQE745" s="312"/>
      <c r="UQF745" s="312"/>
      <c r="UQG745" s="312"/>
      <c r="UQH745" s="312"/>
      <c r="UQI745" s="312"/>
      <c r="UQJ745" s="312"/>
      <c r="UQK745" s="312"/>
      <c r="UQL745" s="312"/>
      <c r="UQM745" s="312"/>
      <c r="UQN745" s="312"/>
      <c r="UQO745" s="312"/>
      <c r="UQP745" s="312"/>
      <c r="UQQ745" s="312"/>
      <c r="UQR745" s="312"/>
      <c r="UQS745" s="312"/>
      <c r="UQT745" s="312"/>
      <c r="UQU745" s="312"/>
      <c r="UQV745" s="312"/>
      <c r="UQW745" s="312"/>
      <c r="UQX745" s="312"/>
      <c r="UQY745" s="312"/>
      <c r="UQZ745" s="312"/>
      <c r="URA745" s="312"/>
      <c r="URB745" s="312"/>
      <c r="URC745" s="312"/>
      <c r="URD745" s="312"/>
      <c r="URE745" s="312"/>
      <c r="URF745" s="312"/>
      <c r="URG745" s="312"/>
      <c r="URH745" s="312"/>
      <c r="URI745" s="312"/>
      <c r="URJ745" s="312"/>
      <c r="URK745" s="312"/>
      <c r="URL745" s="312"/>
      <c r="URM745" s="312"/>
      <c r="URN745" s="312"/>
      <c r="URO745" s="312"/>
      <c r="URP745" s="312"/>
      <c r="URQ745" s="312"/>
      <c r="URR745" s="312"/>
      <c r="URS745" s="312"/>
      <c r="URT745" s="312"/>
      <c r="URU745" s="312"/>
      <c r="URV745" s="312"/>
      <c r="URW745" s="312"/>
      <c r="URX745" s="312"/>
      <c r="URY745" s="312"/>
      <c r="URZ745" s="312"/>
      <c r="USA745" s="312"/>
      <c r="USB745" s="312"/>
      <c r="USC745" s="312"/>
      <c r="USD745" s="312"/>
      <c r="USE745" s="312"/>
      <c r="USF745" s="312"/>
      <c r="USG745" s="312"/>
      <c r="USH745" s="312"/>
      <c r="USI745" s="312"/>
      <c r="USJ745" s="312"/>
      <c r="USK745" s="312"/>
      <c r="USL745" s="312"/>
      <c r="USM745" s="312"/>
      <c r="USN745" s="312"/>
      <c r="USO745" s="312"/>
      <c r="USP745" s="312"/>
      <c r="USQ745" s="312"/>
      <c r="USR745" s="312"/>
      <c r="USS745" s="312"/>
      <c r="UST745" s="312"/>
      <c r="USU745" s="312"/>
      <c r="USV745" s="312"/>
      <c r="USW745" s="312"/>
      <c r="USX745" s="312"/>
      <c r="USY745" s="312"/>
      <c r="USZ745" s="312"/>
      <c r="UTA745" s="312"/>
      <c r="UTB745" s="312"/>
      <c r="UTC745" s="312"/>
      <c r="UTD745" s="312"/>
      <c r="UTE745" s="312"/>
      <c r="UTF745" s="312"/>
      <c r="UTG745" s="312"/>
      <c r="UTH745" s="312"/>
      <c r="UTI745" s="312"/>
      <c r="UTJ745" s="312"/>
      <c r="UTK745" s="312"/>
      <c r="UTL745" s="312"/>
      <c r="UTM745" s="312"/>
      <c r="UTN745" s="312"/>
      <c r="UTO745" s="312"/>
      <c r="UTP745" s="312"/>
      <c r="UTQ745" s="312"/>
      <c r="UTR745" s="312"/>
      <c r="UTS745" s="312"/>
      <c r="UTT745" s="312"/>
      <c r="UTU745" s="312"/>
      <c r="UTV745" s="312"/>
      <c r="UTW745" s="312"/>
      <c r="UTX745" s="312"/>
      <c r="UTY745" s="312"/>
      <c r="UTZ745" s="312"/>
      <c r="UUA745" s="312"/>
      <c r="UUB745" s="312"/>
      <c r="UUC745" s="312"/>
      <c r="UUD745" s="312"/>
      <c r="UUE745" s="312"/>
      <c r="UUF745" s="312"/>
      <c r="UUG745" s="312"/>
      <c r="UUH745" s="312"/>
      <c r="UUI745" s="312"/>
      <c r="UUJ745" s="312"/>
      <c r="UUK745" s="312"/>
      <c r="UUL745" s="312"/>
      <c r="UUM745" s="312"/>
      <c r="UUN745" s="312"/>
      <c r="UUO745" s="312"/>
      <c r="UUP745" s="312"/>
      <c r="UUQ745" s="312"/>
      <c r="UUR745" s="312"/>
      <c r="UUS745" s="312"/>
      <c r="UUT745" s="312"/>
      <c r="UUU745" s="312"/>
      <c r="UUV745" s="312"/>
      <c r="UUW745" s="312"/>
      <c r="UUX745" s="312"/>
      <c r="UUY745" s="312"/>
      <c r="UUZ745" s="312"/>
      <c r="UVA745" s="312"/>
      <c r="UVB745" s="312"/>
      <c r="UVC745" s="312"/>
      <c r="UVD745" s="312"/>
      <c r="UVE745" s="312"/>
      <c r="UVF745" s="312"/>
      <c r="UVG745" s="312"/>
      <c r="UVH745" s="312"/>
      <c r="UVI745" s="312"/>
      <c r="UVJ745" s="312"/>
      <c r="UVK745" s="312"/>
      <c r="UVL745" s="312"/>
      <c r="UVM745" s="312"/>
      <c r="UVN745" s="312"/>
      <c r="UVO745" s="312"/>
      <c r="UVP745" s="312"/>
      <c r="UVQ745" s="312"/>
      <c r="UVR745" s="312"/>
      <c r="UVS745" s="312"/>
      <c r="UVT745" s="312"/>
      <c r="UVU745" s="312"/>
      <c r="UVV745" s="312"/>
      <c r="UVW745" s="312"/>
      <c r="UVX745" s="312"/>
      <c r="UVY745" s="312"/>
      <c r="UVZ745" s="312"/>
      <c r="UWA745" s="312"/>
      <c r="UWB745" s="312"/>
      <c r="UWC745" s="312"/>
      <c r="UWD745" s="312"/>
      <c r="UWE745" s="312"/>
      <c r="UWF745" s="312"/>
      <c r="UWG745" s="312"/>
      <c r="UWH745" s="312"/>
      <c r="UWI745" s="312"/>
      <c r="UWJ745" s="312"/>
      <c r="UWK745" s="312"/>
      <c r="UWL745" s="312"/>
      <c r="UWM745" s="312"/>
      <c r="UWN745" s="312"/>
      <c r="UWO745" s="312"/>
      <c r="UWP745" s="312"/>
      <c r="UWQ745" s="312"/>
      <c r="UWR745" s="312"/>
      <c r="UWS745" s="312"/>
      <c r="UWT745" s="312"/>
      <c r="UWU745" s="312"/>
      <c r="UWV745" s="312"/>
      <c r="UWW745" s="312"/>
      <c r="UWX745" s="312"/>
      <c r="UWY745" s="312"/>
      <c r="UWZ745" s="312"/>
      <c r="UXA745" s="312"/>
      <c r="UXB745" s="312"/>
      <c r="UXC745" s="312"/>
      <c r="UXD745" s="312"/>
      <c r="UXE745" s="312"/>
      <c r="UXF745" s="312"/>
      <c r="UXG745" s="312"/>
      <c r="UXH745" s="312"/>
      <c r="UXI745" s="312"/>
      <c r="UXJ745" s="312"/>
      <c r="UXK745" s="312"/>
      <c r="UXL745" s="312"/>
      <c r="UXM745" s="312"/>
      <c r="UXN745" s="312"/>
      <c r="UXO745" s="312"/>
      <c r="UXP745" s="312"/>
      <c r="UXQ745" s="312"/>
      <c r="UXR745" s="312"/>
      <c r="UXS745" s="312"/>
      <c r="UXT745" s="312"/>
      <c r="UXU745" s="312"/>
      <c r="UXV745" s="312"/>
      <c r="UXW745" s="312"/>
      <c r="UXX745" s="312"/>
      <c r="UXY745" s="312"/>
      <c r="UXZ745" s="312"/>
      <c r="UYA745" s="312"/>
      <c r="UYB745" s="312"/>
      <c r="UYC745" s="312"/>
      <c r="UYD745" s="312"/>
      <c r="UYE745" s="312"/>
      <c r="UYF745" s="312"/>
      <c r="UYG745" s="312"/>
      <c r="UYH745" s="312"/>
      <c r="UYI745" s="312"/>
      <c r="UYJ745" s="312"/>
      <c r="UYK745" s="312"/>
      <c r="UYL745" s="312"/>
      <c r="UYM745" s="312"/>
      <c r="UYN745" s="312"/>
      <c r="UYO745" s="312"/>
      <c r="UYP745" s="312"/>
      <c r="UYQ745" s="312"/>
      <c r="UYR745" s="312"/>
      <c r="UYS745" s="312"/>
      <c r="UYT745" s="312"/>
      <c r="UYU745" s="312"/>
      <c r="UYV745" s="312"/>
      <c r="UYW745" s="312"/>
      <c r="UYX745" s="312"/>
      <c r="UYY745" s="312"/>
      <c r="UYZ745" s="312"/>
      <c r="UZA745" s="312"/>
      <c r="UZB745" s="312"/>
      <c r="UZC745" s="312"/>
      <c r="UZD745" s="312"/>
      <c r="UZE745" s="312"/>
      <c r="UZF745" s="312"/>
      <c r="UZG745" s="312"/>
      <c r="UZH745" s="312"/>
      <c r="UZI745" s="312"/>
      <c r="UZJ745" s="312"/>
      <c r="UZK745" s="312"/>
      <c r="UZL745" s="312"/>
      <c r="UZM745" s="312"/>
      <c r="UZN745" s="312"/>
      <c r="UZO745" s="312"/>
      <c r="UZP745" s="312"/>
      <c r="UZQ745" s="312"/>
      <c r="UZR745" s="312"/>
      <c r="UZS745" s="312"/>
      <c r="UZT745" s="312"/>
      <c r="UZU745" s="312"/>
      <c r="UZV745" s="312"/>
      <c r="UZW745" s="312"/>
      <c r="UZX745" s="312"/>
      <c r="UZY745" s="312"/>
      <c r="UZZ745" s="312"/>
      <c r="VAA745" s="312"/>
      <c r="VAB745" s="312"/>
      <c r="VAC745" s="312"/>
      <c r="VAD745" s="312"/>
      <c r="VAE745" s="312"/>
      <c r="VAF745" s="312"/>
      <c r="VAG745" s="312"/>
      <c r="VAH745" s="312"/>
      <c r="VAI745" s="312"/>
      <c r="VAJ745" s="312"/>
      <c r="VAK745" s="312"/>
      <c r="VAL745" s="312"/>
      <c r="VAM745" s="312"/>
      <c r="VAN745" s="312"/>
      <c r="VAO745" s="312"/>
      <c r="VAP745" s="312"/>
      <c r="VAQ745" s="312"/>
      <c r="VAR745" s="312"/>
      <c r="VAS745" s="312"/>
      <c r="VAT745" s="312"/>
      <c r="VAU745" s="312"/>
      <c r="VAV745" s="312"/>
      <c r="VAW745" s="312"/>
      <c r="VAX745" s="312"/>
      <c r="VAY745" s="312"/>
      <c r="VAZ745" s="312"/>
      <c r="VBA745" s="312"/>
      <c r="VBB745" s="312"/>
      <c r="VBC745" s="312"/>
      <c r="VBD745" s="312"/>
      <c r="VBE745" s="312"/>
      <c r="VBF745" s="312"/>
      <c r="VBG745" s="312"/>
      <c r="VBH745" s="312"/>
      <c r="VBI745" s="312"/>
      <c r="VBJ745" s="312"/>
      <c r="VBK745" s="312"/>
      <c r="VBL745" s="312"/>
      <c r="VBM745" s="312"/>
      <c r="VBN745" s="312"/>
      <c r="VBO745" s="312"/>
      <c r="VBP745" s="312"/>
      <c r="VBQ745" s="312"/>
      <c r="VBR745" s="312"/>
      <c r="VBS745" s="312"/>
      <c r="VBT745" s="312"/>
      <c r="VBU745" s="312"/>
      <c r="VBV745" s="312"/>
      <c r="VBW745" s="312"/>
      <c r="VBX745" s="312"/>
      <c r="VBY745" s="312"/>
      <c r="VBZ745" s="312"/>
      <c r="VCA745" s="312"/>
      <c r="VCB745" s="312"/>
      <c r="VCC745" s="312"/>
      <c r="VCD745" s="312"/>
      <c r="VCE745" s="312"/>
      <c r="VCF745" s="312"/>
      <c r="VCG745" s="312"/>
      <c r="VCH745" s="312"/>
      <c r="VCI745" s="312"/>
      <c r="VCJ745" s="312"/>
      <c r="VCK745" s="312"/>
      <c r="VCL745" s="312"/>
      <c r="VCM745" s="312"/>
      <c r="VCN745" s="312"/>
      <c r="VCO745" s="312"/>
      <c r="VCP745" s="312"/>
      <c r="VCQ745" s="312"/>
      <c r="VCR745" s="312"/>
      <c r="VCS745" s="312"/>
      <c r="VCT745" s="312"/>
      <c r="VCU745" s="312"/>
      <c r="VCV745" s="312"/>
      <c r="VCW745" s="312"/>
      <c r="VCX745" s="312"/>
      <c r="VCY745" s="312"/>
      <c r="VCZ745" s="312"/>
      <c r="VDA745" s="312"/>
      <c r="VDB745" s="312"/>
      <c r="VDC745" s="312"/>
      <c r="VDD745" s="312"/>
      <c r="VDE745" s="312"/>
      <c r="VDF745" s="312"/>
      <c r="VDG745" s="312"/>
      <c r="VDH745" s="312"/>
      <c r="VDI745" s="312"/>
      <c r="VDJ745" s="312"/>
      <c r="VDK745" s="312"/>
      <c r="VDL745" s="312"/>
      <c r="VDM745" s="312"/>
      <c r="VDN745" s="312"/>
      <c r="VDO745" s="312"/>
      <c r="VDP745" s="312"/>
      <c r="VDQ745" s="312"/>
      <c r="VDR745" s="312"/>
      <c r="VDS745" s="312"/>
      <c r="VDT745" s="312"/>
      <c r="VDU745" s="312"/>
      <c r="VDV745" s="312"/>
      <c r="VDW745" s="312"/>
      <c r="VDX745" s="312"/>
      <c r="VDY745" s="312"/>
      <c r="VDZ745" s="312"/>
      <c r="VEA745" s="312"/>
      <c r="VEB745" s="312"/>
      <c r="VEC745" s="312"/>
      <c r="VED745" s="312"/>
      <c r="VEE745" s="312"/>
      <c r="VEF745" s="312"/>
      <c r="VEG745" s="312"/>
      <c r="VEH745" s="312"/>
      <c r="VEI745" s="312"/>
      <c r="VEJ745" s="312"/>
      <c r="VEK745" s="312"/>
      <c r="VEL745" s="312"/>
      <c r="VEM745" s="312"/>
      <c r="VEN745" s="312"/>
      <c r="VEO745" s="312"/>
      <c r="VEP745" s="312"/>
      <c r="VEQ745" s="312"/>
      <c r="VER745" s="312"/>
      <c r="VES745" s="312"/>
      <c r="VET745" s="312"/>
      <c r="VEU745" s="312"/>
      <c r="VEV745" s="312"/>
      <c r="VEW745" s="312"/>
      <c r="VEX745" s="312"/>
      <c r="VEY745" s="312"/>
      <c r="VEZ745" s="312"/>
      <c r="VFA745" s="312"/>
      <c r="VFB745" s="312"/>
      <c r="VFC745" s="312"/>
      <c r="VFD745" s="312"/>
      <c r="VFE745" s="312"/>
      <c r="VFF745" s="312"/>
      <c r="VFG745" s="312"/>
      <c r="VFH745" s="312"/>
      <c r="VFI745" s="312"/>
      <c r="VFJ745" s="312"/>
      <c r="VFK745" s="312"/>
      <c r="VFL745" s="312"/>
      <c r="VFM745" s="312"/>
      <c r="VFN745" s="312"/>
      <c r="VFO745" s="312"/>
      <c r="VFP745" s="312"/>
      <c r="VFQ745" s="312"/>
      <c r="VFR745" s="312"/>
      <c r="VFS745" s="312"/>
      <c r="VFT745" s="312"/>
      <c r="VFU745" s="312"/>
      <c r="VFV745" s="312"/>
      <c r="VFW745" s="312"/>
      <c r="VFX745" s="312"/>
      <c r="VFY745" s="312"/>
      <c r="VFZ745" s="312"/>
      <c r="VGA745" s="312"/>
      <c r="VGB745" s="312"/>
      <c r="VGC745" s="312"/>
      <c r="VGD745" s="312"/>
      <c r="VGE745" s="312"/>
      <c r="VGF745" s="312"/>
      <c r="VGG745" s="312"/>
      <c r="VGH745" s="312"/>
      <c r="VGI745" s="312"/>
      <c r="VGJ745" s="312"/>
      <c r="VGK745" s="312"/>
      <c r="VGL745" s="312"/>
      <c r="VGM745" s="312"/>
      <c r="VGN745" s="312"/>
      <c r="VGO745" s="312"/>
      <c r="VGP745" s="312"/>
      <c r="VGQ745" s="312"/>
      <c r="VGR745" s="312"/>
      <c r="VGS745" s="312"/>
      <c r="VGT745" s="312"/>
      <c r="VGU745" s="312"/>
      <c r="VGV745" s="312"/>
      <c r="VGW745" s="312"/>
      <c r="VGX745" s="312"/>
      <c r="VGY745" s="312"/>
      <c r="VGZ745" s="312"/>
      <c r="VHA745" s="312"/>
      <c r="VHB745" s="312"/>
      <c r="VHC745" s="312"/>
      <c r="VHD745" s="312"/>
      <c r="VHE745" s="312"/>
      <c r="VHF745" s="312"/>
      <c r="VHG745" s="312"/>
      <c r="VHH745" s="312"/>
      <c r="VHI745" s="312"/>
      <c r="VHJ745" s="312"/>
      <c r="VHK745" s="312"/>
      <c r="VHL745" s="312"/>
      <c r="VHM745" s="312"/>
      <c r="VHN745" s="312"/>
      <c r="VHO745" s="312"/>
      <c r="VHP745" s="312"/>
      <c r="VHQ745" s="312"/>
      <c r="VHR745" s="312"/>
      <c r="VHS745" s="312"/>
      <c r="VHT745" s="312"/>
      <c r="VHU745" s="312"/>
      <c r="VHV745" s="312"/>
      <c r="VHW745" s="312"/>
      <c r="VHX745" s="312"/>
      <c r="VHY745" s="312"/>
      <c r="VHZ745" s="312"/>
      <c r="VIA745" s="312"/>
      <c r="VIB745" s="312"/>
      <c r="VIC745" s="312"/>
      <c r="VID745" s="312"/>
      <c r="VIE745" s="312"/>
      <c r="VIF745" s="312"/>
      <c r="VIG745" s="312"/>
      <c r="VIH745" s="312"/>
      <c r="VII745" s="312"/>
      <c r="VIJ745" s="312"/>
      <c r="VIK745" s="312"/>
      <c r="VIL745" s="312"/>
      <c r="VIM745" s="312"/>
      <c r="VIN745" s="312"/>
      <c r="VIO745" s="312"/>
      <c r="VIP745" s="312"/>
      <c r="VIQ745" s="312"/>
      <c r="VIR745" s="312"/>
      <c r="VIS745" s="312"/>
      <c r="VIT745" s="312"/>
      <c r="VIU745" s="312"/>
      <c r="VIV745" s="312"/>
      <c r="VIW745" s="312"/>
      <c r="VIX745" s="312"/>
      <c r="VIY745" s="312"/>
      <c r="VIZ745" s="312"/>
      <c r="VJA745" s="312"/>
      <c r="VJB745" s="312"/>
      <c r="VJC745" s="312"/>
      <c r="VJD745" s="312"/>
      <c r="VJE745" s="312"/>
      <c r="VJF745" s="312"/>
      <c r="VJG745" s="312"/>
      <c r="VJH745" s="312"/>
      <c r="VJI745" s="312"/>
      <c r="VJJ745" s="312"/>
      <c r="VJK745" s="312"/>
      <c r="VJL745" s="312"/>
      <c r="VJM745" s="312"/>
      <c r="VJN745" s="312"/>
      <c r="VJO745" s="312"/>
      <c r="VJP745" s="312"/>
      <c r="VJQ745" s="312"/>
      <c r="VJR745" s="312"/>
      <c r="VJS745" s="312"/>
      <c r="VJT745" s="312"/>
      <c r="VJU745" s="312"/>
      <c r="VJV745" s="312"/>
      <c r="VJW745" s="312"/>
      <c r="VJX745" s="312"/>
      <c r="VJY745" s="312"/>
      <c r="VJZ745" s="312"/>
      <c r="VKA745" s="312"/>
      <c r="VKB745" s="312"/>
      <c r="VKC745" s="312"/>
      <c r="VKD745" s="312"/>
      <c r="VKE745" s="312"/>
      <c r="VKF745" s="312"/>
      <c r="VKG745" s="312"/>
      <c r="VKH745" s="312"/>
      <c r="VKI745" s="312"/>
      <c r="VKJ745" s="312"/>
      <c r="VKK745" s="312"/>
      <c r="VKL745" s="312"/>
      <c r="VKM745" s="312"/>
      <c r="VKN745" s="312"/>
      <c r="VKO745" s="312"/>
      <c r="VKP745" s="312"/>
      <c r="VKQ745" s="312"/>
      <c r="VKR745" s="312"/>
      <c r="VKS745" s="312"/>
      <c r="VKT745" s="312"/>
      <c r="VKU745" s="312"/>
      <c r="VKV745" s="312"/>
      <c r="VKW745" s="312"/>
      <c r="VKX745" s="312"/>
      <c r="VKY745" s="312"/>
      <c r="VKZ745" s="312"/>
      <c r="VLA745" s="312"/>
      <c r="VLB745" s="312"/>
      <c r="VLC745" s="312"/>
      <c r="VLD745" s="312"/>
      <c r="VLE745" s="312"/>
      <c r="VLF745" s="312"/>
      <c r="VLG745" s="312"/>
      <c r="VLH745" s="312"/>
      <c r="VLI745" s="312"/>
      <c r="VLJ745" s="312"/>
      <c r="VLK745" s="312"/>
      <c r="VLL745" s="312"/>
      <c r="VLM745" s="312"/>
      <c r="VLN745" s="312"/>
      <c r="VLO745" s="312"/>
      <c r="VLP745" s="312"/>
      <c r="VLQ745" s="312"/>
      <c r="VLR745" s="312"/>
      <c r="VLS745" s="312"/>
      <c r="VLT745" s="312"/>
      <c r="VLU745" s="312"/>
      <c r="VLV745" s="312"/>
      <c r="VLW745" s="312"/>
      <c r="VLX745" s="312"/>
      <c r="VLY745" s="312"/>
      <c r="VLZ745" s="312"/>
      <c r="VMA745" s="312"/>
      <c r="VMB745" s="312"/>
      <c r="VMC745" s="312"/>
      <c r="VMD745" s="312"/>
      <c r="VME745" s="312"/>
      <c r="VMF745" s="312"/>
      <c r="VMG745" s="312"/>
      <c r="VMH745" s="312"/>
      <c r="VMI745" s="312"/>
      <c r="VMJ745" s="312"/>
      <c r="VMK745" s="312"/>
      <c r="VML745" s="312"/>
      <c r="VMM745" s="312"/>
      <c r="VMN745" s="312"/>
      <c r="VMO745" s="312"/>
      <c r="VMP745" s="312"/>
      <c r="VMQ745" s="312"/>
      <c r="VMR745" s="312"/>
      <c r="VMS745" s="312"/>
      <c r="VMT745" s="312"/>
      <c r="VMU745" s="312"/>
      <c r="VMV745" s="312"/>
      <c r="VMW745" s="312"/>
      <c r="VMX745" s="312"/>
      <c r="VMY745" s="312"/>
      <c r="VMZ745" s="312"/>
      <c r="VNA745" s="312"/>
      <c r="VNB745" s="312"/>
      <c r="VNC745" s="312"/>
      <c r="VND745" s="312"/>
      <c r="VNE745" s="312"/>
      <c r="VNF745" s="312"/>
      <c r="VNG745" s="312"/>
      <c r="VNH745" s="312"/>
      <c r="VNI745" s="312"/>
      <c r="VNJ745" s="312"/>
      <c r="VNK745" s="312"/>
      <c r="VNL745" s="312"/>
      <c r="VNM745" s="312"/>
      <c r="VNN745" s="312"/>
      <c r="VNO745" s="312"/>
      <c r="VNP745" s="312"/>
      <c r="VNQ745" s="312"/>
      <c r="VNR745" s="312"/>
      <c r="VNS745" s="312"/>
      <c r="VNT745" s="312"/>
      <c r="VNU745" s="312"/>
      <c r="VNV745" s="312"/>
      <c r="VNW745" s="312"/>
      <c r="VNX745" s="312"/>
      <c r="VNY745" s="312"/>
      <c r="VNZ745" s="312"/>
      <c r="VOA745" s="312"/>
      <c r="VOB745" s="312"/>
      <c r="VOC745" s="312"/>
      <c r="VOD745" s="312"/>
      <c r="VOE745" s="312"/>
      <c r="VOF745" s="312"/>
      <c r="VOG745" s="312"/>
      <c r="VOH745" s="312"/>
      <c r="VOI745" s="312"/>
      <c r="VOJ745" s="312"/>
      <c r="VOK745" s="312"/>
      <c r="VOL745" s="312"/>
      <c r="VOM745" s="312"/>
      <c r="VON745" s="312"/>
      <c r="VOO745" s="312"/>
      <c r="VOP745" s="312"/>
      <c r="VOQ745" s="312"/>
      <c r="VOR745" s="312"/>
      <c r="VOS745" s="312"/>
      <c r="VOT745" s="312"/>
      <c r="VOU745" s="312"/>
      <c r="VOV745" s="312"/>
      <c r="VOW745" s="312"/>
      <c r="VOX745" s="312"/>
      <c r="VOY745" s="312"/>
      <c r="VOZ745" s="312"/>
      <c r="VPA745" s="312"/>
      <c r="VPB745" s="312"/>
      <c r="VPC745" s="312"/>
      <c r="VPD745" s="312"/>
      <c r="VPE745" s="312"/>
      <c r="VPF745" s="312"/>
      <c r="VPG745" s="312"/>
      <c r="VPH745" s="312"/>
      <c r="VPI745" s="312"/>
      <c r="VPJ745" s="312"/>
      <c r="VPK745" s="312"/>
      <c r="VPL745" s="312"/>
      <c r="VPM745" s="312"/>
      <c r="VPN745" s="312"/>
      <c r="VPO745" s="312"/>
      <c r="VPP745" s="312"/>
      <c r="VPQ745" s="312"/>
      <c r="VPR745" s="312"/>
      <c r="VPS745" s="312"/>
      <c r="VPT745" s="312"/>
      <c r="VPU745" s="312"/>
      <c r="VPV745" s="312"/>
      <c r="VPW745" s="312"/>
      <c r="VPX745" s="312"/>
      <c r="VPY745" s="312"/>
      <c r="VPZ745" s="312"/>
      <c r="VQA745" s="312"/>
      <c r="VQB745" s="312"/>
      <c r="VQC745" s="312"/>
      <c r="VQD745" s="312"/>
      <c r="VQE745" s="312"/>
      <c r="VQF745" s="312"/>
      <c r="VQG745" s="312"/>
      <c r="VQH745" s="312"/>
      <c r="VQI745" s="312"/>
      <c r="VQJ745" s="312"/>
      <c r="VQK745" s="312"/>
      <c r="VQL745" s="312"/>
      <c r="VQM745" s="312"/>
      <c r="VQN745" s="312"/>
      <c r="VQO745" s="312"/>
      <c r="VQP745" s="312"/>
      <c r="VQQ745" s="312"/>
      <c r="VQR745" s="312"/>
      <c r="VQS745" s="312"/>
      <c r="VQT745" s="312"/>
      <c r="VQU745" s="312"/>
      <c r="VQV745" s="312"/>
      <c r="VQW745" s="312"/>
      <c r="VQX745" s="312"/>
      <c r="VQY745" s="312"/>
      <c r="VQZ745" s="312"/>
      <c r="VRA745" s="312"/>
      <c r="VRB745" s="312"/>
      <c r="VRC745" s="312"/>
      <c r="VRD745" s="312"/>
      <c r="VRE745" s="312"/>
      <c r="VRF745" s="312"/>
      <c r="VRG745" s="312"/>
      <c r="VRH745" s="312"/>
      <c r="VRI745" s="312"/>
      <c r="VRJ745" s="312"/>
      <c r="VRK745" s="312"/>
      <c r="VRL745" s="312"/>
      <c r="VRM745" s="312"/>
      <c r="VRN745" s="312"/>
      <c r="VRO745" s="312"/>
      <c r="VRP745" s="312"/>
      <c r="VRQ745" s="312"/>
      <c r="VRR745" s="312"/>
      <c r="VRS745" s="312"/>
      <c r="VRT745" s="312"/>
      <c r="VRU745" s="312"/>
      <c r="VRV745" s="312"/>
      <c r="VRW745" s="312"/>
      <c r="VRX745" s="312"/>
      <c r="VRY745" s="312"/>
      <c r="VRZ745" s="312"/>
      <c r="VSA745" s="312"/>
      <c r="VSB745" s="312"/>
      <c r="VSC745" s="312"/>
      <c r="VSD745" s="312"/>
      <c r="VSE745" s="312"/>
      <c r="VSF745" s="312"/>
      <c r="VSG745" s="312"/>
      <c r="VSH745" s="312"/>
      <c r="VSI745" s="312"/>
      <c r="VSJ745" s="312"/>
      <c r="VSK745" s="312"/>
      <c r="VSL745" s="312"/>
      <c r="VSM745" s="312"/>
      <c r="VSN745" s="312"/>
      <c r="VSO745" s="312"/>
      <c r="VSP745" s="312"/>
      <c r="VSQ745" s="312"/>
      <c r="VSR745" s="312"/>
      <c r="VSS745" s="312"/>
      <c r="VST745" s="312"/>
      <c r="VSU745" s="312"/>
      <c r="VSV745" s="312"/>
      <c r="VSW745" s="312"/>
      <c r="VSX745" s="312"/>
      <c r="VSY745" s="312"/>
      <c r="VSZ745" s="312"/>
      <c r="VTA745" s="312"/>
      <c r="VTB745" s="312"/>
      <c r="VTC745" s="312"/>
      <c r="VTD745" s="312"/>
      <c r="VTE745" s="312"/>
      <c r="VTF745" s="312"/>
      <c r="VTG745" s="312"/>
      <c r="VTH745" s="312"/>
      <c r="VTI745" s="312"/>
      <c r="VTJ745" s="312"/>
      <c r="VTK745" s="312"/>
      <c r="VTL745" s="312"/>
      <c r="VTM745" s="312"/>
      <c r="VTN745" s="312"/>
      <c r="VTO745" s="312"/>
      <c r="VTP745" s="312"/>
      <c r="VTQ745" s="312"/>
      <c r="VTR745" s="312"/>
      <c r="VTS745" s="312"/>
      <c r="VTT745" s="312"/>
      <c r="VTU745" s="312"/>
      <c r="VTV745" s="312"/>
      <c r="VTW745" s="312"/>
      <c r="VTX745" s="312"/>
      <c r="VTY745" s="312"/>
      <c r="VTZ745" s="312"/>
      <c r="VUA745" s="312"/>
      <c r="VUB745" s="312"/>
      <c r="VUC745" s="312"/>
      <c r="VUD745" s="312"/>
      <c r="VUE745" s="312"/>
      <c r="VUF745" s="312"/>
      <c r="VUG745" s="312"/>
      <c r="VUH745" s="312"/>
      <c r="VUI745" s="312"/>
      <c r="VUJ745" s="312"/>
      <c r="VUK745" s="312"/>
      <c r="VUL745" s="312"/>
      <c r="VUM745" s="312"/>
      <c r="VUN745" s="312"/>
      <c r="VUO745" s="312"/>
      <c r="VUP745" s="312"/>
      <c r="VUQ745" s="312"/>
      <c r="VUR745" s="312"/>
      <c r="VUS745" s="312"/>
      <c r="VUT745" s="312"/>
      <c r="VUU745" s="312"/>
      <c r="VUV745" s="312"/>
      <c r="VUW745" s="312"/>
      <c r="VUX745" s="312"/>
      <c r="VUY745" s="312"/>
      <c r="VUZ745" s="312"/>
      <c r="VVA745" s="312"/>
      <c r="VVB745" s="312"/>
      <c r="VVC745" s="312"/>
      <c r="VVD745" s="312"/>
      <c r="VVE745" s="312"/>
      <c r="VVF745" s="312"/>
      <c r="VVG745" s="312"/>
      <c r="VVH745" s="312"/>
      <c r="VVI745" s="312"/>
      <c r="VVJ745" s="312"/>
      <c r="VVK745" s="312"/>
      <c r="VVL745" s="312"/>
      <c r="VVM745" s="312"/>
      <c r="VVN745" s="312"/>
      <c r="VVO745" s="312"/>
      <c r="VVP745" s="312"/>
      <c r="VVQ745" s="312"/>
      <c r="VVR745" s="312"/>
      <c r="VVS745" s="312"/>
      <c r="VVT745" s="312"/>
      <c r="VVU745" s="312"/>
      <c r="VVV745" s="312"/>
      <c r="VVW745" s="312"/>
      <c r="VVX745" s="312"/>
      <c r="VVY745" s="312"/>
      <c r="VVZ745" s="312"/>
      <c r="VWA745" s="312"/>
      <c r="VWB745" s="312"/>
      <c r="VWC745" s="312"/>
      <c r="VWD745" s="312"/>
      <c r="VWE745" s="312"/>
      <c r="VWF745" s="312"/>
      <c r="VWG745" s="312"/>
      <c r="VWH745" s="312"/>
      <c r="VWI745" s="312"/>
      <c r="VWJ745" s="312"/>
      <c r="VWK745" s="312"/>
      <c r="VWL745" s="312"/>
      <c r="VWM745" s="312"/>
      <c r="VWN745" s="312"/>
      <c r="VWO745" s="312"/>
      <c r="VWP745" s="312"/>
      <c r="VWQ745" s="312"/>
      <c r="VWR745" s="312"/>
      <c r="VWS745" s="312"/>
      <c r="VWT745" s="312"/>
      <c r="VWU745" s="312"/>
      <c r="VWV745" s="312"/>
      <c r="VWW745" s="312"/>
      <c r="VWX745" s="312"/>
      <c r="VWY745" s="312"/>
      <c r="VWZ745" s="312"/>
      <c r="VXA745" s="312"/>
      <c r="VXB745" s="312"/>
      <c r="VXC745" s="312"/>
      <c r="VXD745" s="312"/>
      <c r="VXE745" s="312"/>
      <c r="VXF745" s="312"/>
      <c r="VXG745" s="312"/>
      <c r="VXH745" s="312"/>
      <c r="VXI745" s="312"/>
      <c r="VXJ745" s="312"/>
      <c r="VXK745" s="312"/>
      <c r="VXL745" s="312"/>
      <c r="VXM745" s="312"/>
      <c r="VXN745" s="312"/>
      <c r="VXO745" s="312"/>
      <c r="VXP745" s="312"/>
      <c r="VXQ745" s="312"/>
      <c r="VXR745" s="312"/>
      <c r="VXS745" s="312"/>
      <c r="VXT745" s="312"/>
      <c r="VXU745" s="312"/>
      <c r="VXV745" s="312"/>
      <c r="VXW745" s="312"/>
      <c r="VXX745" s="312"/>
      <c r="VXY745" s="312"/>
      <c r="VXZ745" s="312"/>
      <c r="VYA745" s="312"/>
      <c r="VYB745" s="312"/>
      <c r="VYC745" s="312"/>
      <c r="VYD745" s="312"/>
      <c r="VYE745" s="312"/>
      <c r="VYF745" s="312"/>
      <c r="VYG745" s="312"/>
      <c r="VYH745" s="312"/>
      <c r="VYI745" s="312"/>
      <c r="VYJ745" s="312"/>
      <c r="VYK745" s="312"/>
      <c r="VYL745" s="312"/>
      <c r="VYM745" s="312"/>
      <c r="VYN745" s="312"/>
      <c r="VYO745" s="312"/>
      <c r="VYP745" s="312"/>
      <c r="VYQ745" s="312"/>
      <c r="VYR745" s="312"/>
      <c r="VYS745" s="312"/>
      <c r="VYT745" s="312"/>
      <c r="VYU745" s="312"/>
      <c r="VYV745" s="312"/>
      <c r="VYW745" s="312"/>
      <c r="VYX745" s="312"/>
      <c r="VYY745" s="312"/>
      <c r="VYZ745" s="312"/>
      <c r="VZA745" s="312"/>
      <c r="VZB745" s="312"/>
      <c r="VZC745" s="312"/>
      <c r="VZD745" s="312"/>
      <c r="VZE745" s="312"/>
      <c r="VZF745" s="312"/>
      <c r="VZG745" s="312"/>
      <c r="VZH745" s="312"/>
      <c r="VZI745" s="312"/>
      <c r="VZJ745" s="312"/>
      <c r="VZK745" s="312"/>
      <c r="VZL745" s="312"/>
      <c r="VZM745" s="312"/>
      <c r="VZN745" s="312"/>
      <c r="VZO745" s="312"/>
      <c r="VZP745" s="312"/>
      <c r="VZQ745" s="312"/>
      <c r="VZR745" s="312"/>
      <c r="VZS745" s="312"/>
      <c r="VZT745" s="312"/>
      <c r="VZU745" s="312"/>
      <c r="VZV745" s="312"/>
      <c r="VZW745" s="312"/>
      <c r="VZX745" s="312"/>
      <c r="VZY745" s="312"/>
      <c r="VZZ745" s="312"/>
      <c r="WAA745" s="312"/>
      <c r="WAB745" s="312"/>
      <c r="WAC745" s="312"/>
      <c r="WAD745" s="312"/>
      <c r="WAE745" s="312"/>
      <c r="WAF745" s="312"/>
      <c r="WAG745" s="312"/>
      <c r="WAH745" s="312"/>
      <c r="WAI745" s="312"/>
      <c r="WAJ745" s="312"/>
      <c r="WAK745" s="312"/>
      <c r="WAL745" s="312"/>
      <c r="WAM745" s="312"/>
      <c r="WAN745" s="312"/>
      <c r="WAO745" s="312"/>
      <c r="WAP745" s="312"/>
      <c r="WAQ745" s="312"/>
      <c r="WAR745" s="312"/>
      <c r="WAS745" s="312"/>
      <c r="WAT745" s="312"/>
      <c r="WAU745" s="312"/>
      <c r="WAV745" s="312"/>
      <c r="WAW745" s="312"/>
      <c r="WAX745" s="312"/>
      <c r="WAY745" s="312"/>
      <c r="WAZ745" s="312"/>
      <c r="WBA745" s="312"/>
      <c r="WBB745" s="312"/>
      <c r="WBC745" s="312"/>
      <c r="WBD745" s="312"/>
      <c r="WBE745" s="312"/>
      <c r="WBF745" s="312"/>
      <c r="WBG745" s="312"/>
      <c r="WBH745" s="312"/>
      <c r="WBI745" s="312"/>
      <c r="WBJ745" s="312"/>
      <c r="WBK745" s="312"/>
      <c r="WBL745" s="312"/>
      <c r="WBM745" s="312"/>
      <c r="WBN745" s="312"/>
      <c r="WBO745" s="312"/>
      <c r="WBP745" s="312"/>
      <c r="WBQ745" s="312"/>
      <c r="WBR745" s="312"/>
      <c r="WBS745" s="312"/>
      <c r="WBT745" s="312"/>
      <c r="WBU745" s="312"/>
      <c r="WBV745" s="312"/>
      <c r="WBW745" s="312"/>
      <c r="WBX745" s="312"/>
      <c r="WBY745" s="312"/>
      <c r="WBZ745" s="312"/>
      <c r="WCA745" s="312"/>
      <c r="WCB745" s="312"/>
      <c r="WCC745" s="312"/>
      <c r="WCD745" s="312"/>
      <c r="WCE745" s="312"/>
      <c r="WCF745" s="312"/>
      <c r="WCG745" s="312"/>
      <c r="WCH745" s="312"/>
      <c r="WCI745" s="312"/>
      <c r="WCJ745" s="312"/>
      <c r="WCK745" s="312"/>
      <c r="WCL745" s="312"/>
      <c r="WCM745" s="312"/>
      <c r="WCN745" s="312"/>
      <c r="WCO745" s="312"/>
      <c r="WCP745" s="312"/>
      <c r="WCQ745" s="312"/>
      <c r="WCR745" s="312"/>
      <c r="WCS745" s="312"/>
      <c r="WCT745" s="312"/>
      <c r="WCU745" s="312"/>
      <c r="WCV745" s="312"/>
      <c r="WCW745" s="312"/>
      <c r="WCX745" s="312"/>
      <c r="WCY745" s="312"/>
      <c r="WCZ745" s="312"/>
      <c r="WDA745" s="312"/>
      <c r="WDB745" s="312"/>
      <c r="WDC745" s="312"/>
      <c r="WDD745" s="312"/>
      <c r="WDE745" s="312"/>
      <c r="WDF745" s="312"/>
      <c r="WDG745" s="312"/>
      <c r="WDH745" s="312"/>
      <c r="WDI745" s="312"/>
      <c r="WDJ745" s="312"/>
      <c r="WDK745" s="312"/>
      <c r="WDL745" s="312"/>
      <c r="WDM745" s="312"/>
      <c r="WDN745" s="312"/>
      <c r="WDO745" s="312"/>
      <c r="WDP745" s="312"/>
      <c r="WDQ745" s="312"/>
      <c r="WDR745" s="312"/>
      <c r="WDS745" s="312"/>
      <c r="WDT745" s="312"/>
      <c r="WDU745" s="312"/>
      <c r="WDV745" s="312"/>
      <c r="WDW745" s="312"/>
      <c r="WDX745" s="312"/>
      <c r="WDY745" s="312"/>
      <c r="WDZ745" s="312"/>
      <c r="WEA745" s="312"/>
      <c r="WEB745" s="312"/>
      <c r="WEC745" s="312"/>
      <c r="WED745" s="312"/>
      <c r="WEE745" s="312"/>
      <c r="WEF745" s="312"/>
      <c r="WEG745" s="312"/>
      <c r="WEH745" s="312"/>
      <c r="WEI745" s="312"/>
      <c r="WEJ745" s="312"/>
      <c r="WEK745" s="312"/>
      <c r="WEL745" s="312"/>
      <c r="WEM745" s="312"/>
      <c r="WEN745" s="312"/>
      <c r="WEO745" s="312"/>
      <c r="WEP745" s="312"/>
      <c r="WEQ745" s="312"/>
      <c r="WER745" s="312"/>
      <c r="WES745" s="312"/>
      <c r="WET745" s="312"/>
      <c r="WEU745" s="312"/>
      <c r="WEV745" s="312"/>
      <c r="WEW745" s="312"/>
      <c r="WEX745" s="312"/>
      <c r="WEY745" s="312"/>
      <c r="WEZ745" s="312"/>
      <c r="WFA745" s="312"/>
      <c r="WFB745" s="312"/>
      <c r="WFC745" s="312"/>
      <c r="WFD745" s="312"/>
      <c r="WFE745" s="312"/>
      <c r="WFF745" s="312"/>
      <c r="WFG745" s="312"/>
      <c r="WFH745" s="312"/>
      <c r="WFI745" s="312"/>
      <c r="WFJ745" s="312"/>
      <c r="WFK745" s="312"/>
      <c r="WFL745" s="312"/>
      <c r="WFM745" s="312"/>
      <c r="WFN745" s="312"/>
      <c r="WFO745" s="312"/>
      <c r="WFP745" s="312"/>
      <c r="WFQ745" s="312"/>
      <c r="WFR745" s="312"/>
      <c r="WFS745" s="312"/>
      <c r="WFT745" s="312"/>
      <c r="WFU745" s="312"/>
      <c r="WFV745" s="312"/>
      <c r="WFW745" s="312"/>
      <c r="WFX745" s="312"/>
      <c r="WFY745" s="312"/>
      <c r="WFZ745" s="312"/>
      <c r="WGA745" s="312"/>
      <c r="WGB745" s="312"/>
      <c r="WGC745" s="312"/>
      <c r="WGD745" s="312"/>
      <c r="WGE745" s="312"/>
      <c r="WGF745" s="312"/>
      <c r="WGG745" s="312"/>
      <c r="WGH745" s="312"/>
      <c r="WGI745" s="312"/>
      <c r="WGJ745" s="312"/>
      <c r="WGK745" s="312"/>
      <c r="WGL745" s="312"/>
      <c r="WGM745" s="312"/>
      <c r="WGN745" s="312"/>
      <c r="WGO745" s="312"/>
      <c r="WGP745" s="312"/>
      <c r="WGQ745" s="312"/>
      <c r="WGR745" s="312"/>
      <c r="WGS745" s="312"/>
      <c r="WGT745" s="312"/>
      <c r="WGU745" s="312"/>
      <c r="WGV745" s="312"/>
      <c r="WGW745" s="312"/>
      <c r="WGX745" s="312"/>
      <c r="WGY745" s="312"/>
      <c r="WGZ745" s="312"/>
      <c r="WHA745" s="312"/>
      <c r="WHB745" s="312"/>
      <c r="WHC745" s="312"/>
      <c r="WHD745" s="312"/>
      <c r="WHE745" s="312"/>
      <c r="WHF745" s="312"/>
      <c r="WHG745" s="312"/>
      <c r="WHH745" s="312"/>
      <c r="WHI745" s="312"/>
      <c r="WHJ745" s="312"/>
      <c r="WHK745" s="312"/>
      <c r="WHL745" s="312"/>
      <c r="WHM745" s="312"/>
      <c r="WHN745" s="312"/>
      <c r="WHO745" s="312"/>
      <c r="WHP745" s="312"/>
      <c r="WHQ745" s="312"/>
      <c r="WHR745" s="312"/>
      <c r="WHS745" s="312"/>
      <c r="WHT745" s="312"/>
      <c r="WHU745" s="312"/>
      <c r="WHV745" s="312"/>
      <c r="WHW745" s="312"/>
      <c r="WHX745" s="312"/>
      <c r="WHY745" s="312"/>
      <c r="WHZ745" s="312"/>
      <c r="WIA745" s="312"/>
      <c r="WIB745" s="312"/>
      <c r="WIC745" s="312"/>
      <c r="WID745" s="312"/>
      <c r="WIE745" s="312"/>
      <c r="WIF745" s="312"/>
      <c r="WIG745" s="312"/>
      <c r="WIH745" s="312"/>
      <c r="WII745" s="312"/>
      <c r="WIJ745" s="312"/>
      <c r="WIK745" s="312"/>
      <c r="WIL745" s="312"/>
      <c r="WIM745" s="312"/>
      <c r="WIN745" s="312"/>
      <c r="WIO745" s="312"/>
      <c r="WIP745" s="312"/>
      <c r="WIQ745" s="312"/>
      <c r="WIR745" s="312"/>
      <c r="WIS745" s="312"/>
      <c r="WIT745" s="312"/>
      <c r="WIU745" s="312"/>
      <c r="WIV745" s="312"/>
      <c r="WIW745" s="312"/>
      <c r="WIX745" s="312"/>
      <c r="WIY745" s="312"/>
      <c r="WIZ745" s="312"/>
      <c r="WJA745" s="312"/>
      <c r="WJB745" s="312"/>
      <c r="WJC745" s="312"/>
      <c r="WJD745" s="312"/>
      <c r="WJE745" s="312"/>
      <c r="WJF745" s="312"/>
      <c r="WJG745" s="312"/>
      <c r="WJH745" s="312"/>
      <c r="WJI745" s="312"/>
      <c r="WJJ745" s="312"/>
      <c r="WJK745" s="312"/>
      <c r="WJL745" s="312"/>
      <c r="WJM745" s="312"/>
      <c r="WJN745" s="312"/>
      <c r="WJO745" s="312"/>
      <c r="WJP745" s="312"/>
      <c r="WJQ745" s="312"/>
      <c r="WJR745" s="312"/>
      <c r="WJS745" s="312"/>
      <c r="WJT745" s="312"/>
      <c r="WJU745" s="312"/>
      <c r="WJV745" s="312"/>
      <c r="WJW745" s="312"/>
      <c r="WJX745" s="312"/>
      <c r="WJY745" s="312"/>
      <c r="WJZ745" s="312"/>
      <c r="WKA745" s="312"/>
      <c r="WKB745" s="312"/>
      <c r="WKC745" s="312"/>
      <c r="WKD745" s="312"/>
      <c r="WKE745" s="312"/>
      <c r="WKF745" s="312"/>
      <c r="WKG745" s="312"/>
      <c r="WKH745" s="312"/>
      <c r="WKI745" s="312"/>
      <c r="WKJ745" s="312"/>
      <c r="WKK745" s="312"/>
      <c r="WKL745" s="312"/>
      <c r="WKM745" s="312"/>
      <c r="WKN745" s="312"/>
      <c r="WKO745" s="312"/>
      <c r="WKP745" s="312"/>
      <c r="WKQ745" s="312"/>
      <c r="WKR745" s="312"/>
      <c r="WKS745" s="312"/>
      <c r="WKT745" s="312"/>
      <c r="WKU745" s="312"/>
      <c r="WKV745" s="312"/>
      <c r="WKW745" s="312"/>
      <c r="WKX745" s="312"/>
      <c r="WKY745" s="312"/>
      <c r="WKZ745" s="312"/>
      <c r="WLA745" s="312"/>
      <c r="WLB745" s="312"/>
      <c r="WLC745" s="312"/>
      <c r="WLD745" s="312"/>
      <c r="WLE745" s="312"/>
      <c r="WLF745" s="312"/>
      <c r="WLG745" s="312"/>
      <c r="WLH745" s="312"/>
      <c r="WLI745" s="312"/>
      <c r="WLJ745" s="312"/>
      <c r="WLK745" s="312"/>
      <c r="WLL745" s="312"/>
      <c r="WLM745" s="312"/>
      <c r="WLN745" s="312"/>
      <c r="WLO745" s="312"/>
      <c r="WLP745" s="312"/>
      <c r="WLQ745" s="312"/>
      <c r="WLR745" s="312"/>
      <c r="WLS745" s="312"/>
      <c r="WLT745" s="312"/>
      <c r="WLU745" s="312"/>
      <c r="WLV745" s="312"/>
      <c r="WLW745" s="312"/>
      <c r="WLX745" s="312"/>
      <c r="WLY745" s="312"/>
      <c r="WLZ745" s="312"/>
      <c r="WMA745" s="312"/>
      <c r="WMB745" s="312"/>
      <c r="WMC745" s="312"/>
      <c r="WMD745" s="312"/>
      <c r="WME745" s="312"/>
      <c r="WMF745" s="312"/>
      <c r="WMG745" s="312"/>
      <c r="WMH745" s="312"/>
      <c r="WMI745" s="312"/>
      <c r="WMJ745" s="312"/>
      <c r="WMK745" s="312"/>
      <c r="WML745" s="312"/>
      <c r="WMM745" s="312"/>
      <c r="WMN745" s="312"/>
      <c r="WMO745" s="312"/>
      <c r="WMP745" s="312"/>
      <c r="WMQ745" s="312"/>
      <c r="WMR745" s="312"/>
      <c r="WMS745" s="312"/>
      <c r="WMT745" s="312"/>
      <c r="WMU745" s="312"/>
      <c r="WMV745" s="312"/>
      <c r="WMW745" s="312"/>
      <c r="WMX745" s="312"/>
      <c r="WMY745" s="312"/>
      <c r="WMZ745" s="312"/>
      <c r="WNA745" s="312"/>
      <c r="WNB745" s="312"/>
      <c r="WNC745" s="312"/>
      <c r="WND745" s="312"/>
      <c r="WNE745" s="312"/>
      <c r="WNF745" s="312"/>
      <c r="WNG745" s="312"/>
      <c r="WNH745" s="312"/>
      <c r="WNI745" s="312"/>
      <c r="WNJ745" s="312"/>
      <c r="WNK745" s="312"/>
      <c r="WNL745" s="312"/>
      <c r="WNM745" s="312"/>
      <c r="WNN745" s="312"/>
      <c r="WNO745" s="312"/>
      <c r="WNP745" s="312"/>
      <c r="WNQ745" s="312"/>
      <c r="WNR745" s="312"/>
      <c r="WNS745" s="312"/>
      <c r="WNT745" s="312"/>
      <c r="WNU745" s="312"/>
      <c r="WNV745" s="312"/>
      <c r="WNW745" s="312"/>
      <c r="WNX745" s="312"/>
      <c r="WNY745" s="312"/>
      <c r="WNZ745" s="312"/>
      <c r="WOA745" s="312"/>
      <c r="WOB745" s="312"/>
      <c r="WOC745" s="312"/>
      <c r="WOD745" s="312"/>
      <c r="WOE745" s="312"/>
      <c r="WOF745" s="312"/>
      <c r="WOG745" s="312"/>
      <c r="WOH745" s="312"/>
      <c r="WOI745" s="312"/>
      <c r="WOJ745" s="312"/>
      <c r="WOK745" s="312"/>
      <c r="WOL745" s="312"/>
      <c r="WOM745" s="312"/>
      <c r="WON745" s="312"/>
      <c r="WOO745" s="312"/>
      <c r="WOP745" s="312"/>
      <c r="WOQ745" s="312"/>
      <c r="WOR745" s="312"/>
      <c r="WOS745" s="312"/>
      <c r="WOT745" s="312"/>
      <c r="WOU745" s="312"/>
      <c r="WOV745" s="312"/>
      <c r="WOW745" s="312"/>
      <c r="WOX745" s="312"/>
      <c r="WOY745" s="312"/>
      <c r="WOZ745" s="312"/>
      <c r="WPA745" s="312"/>
      <c r="WPB745" s="312"/>
      <c r="WPC745" s="312"/>
      <c r="WPD745" s="312"/>
      <c r="WPE745" s="312"/>
      <c r="WPF745" s="312"/>
      <c r="WPG745" s="312"/>
      <c r="WPH745" s="312"/>
      <c r="WPI745" s="312"/>
      <c r="WPJ745" s="312"/>
      <c r="WPK745" s="312"/>
      <c r="WPL745" s="312"/>
      <c r="WPM745" s="312"/>
      <c r="WPN745" s="312"/>
      <c r="WPO745" s="312"/>
      <c r="WPP745" s="312"/>
      <c r="WPQ745" s="312"/>
      <c r="WPR745" s="312"/>
      <c r="WPS745" s="312"/>
      <c r="WPT745" s="312"/>
      <c r="WPU745" s="312"/>
      <c r="WPV745" s="312"/>
      <c r="WPW745" s="312"/>
      <c r="WPX745" s="312"/>
      <c r="WPY745" s="312"/>
      <c r="WPZ745" s="312"/>
      <c r="WQA745" s="312"/>
      <c r="WQB745" s="312"/>
      <c r="WQC745" s="312"/>
      <c r="WQD745" s="312"/>
      <c r="WQE745" s="312"/>
      <c r="WQF745" s="312"/>
      <c r="WQG745" s="312"/>
      <c r="WQH745" s="312"/>
      <c r="WQI745" s="312"/>
      <c r="WQJ745" s="312"/>
      <c r="WQK745" s="312"/>
      <c r="WQL745" s="312"/>
      <c r="WQM745" s="312"/>
      <c r="WQN745" s="312"/>
      <c r="WQO745" s="312"/>
      <c r="WQP745" s="312"/>
      <c r="WQQ745" s="312"/>
      <c r="WQR745" s="312"/>
      <c r="WQS745" s="312"/>
      <c r="WQT745" s="312"/>
      <c r="WQU745" s="312"/>
      <c r="WQV745" s="312"/>
      <c r="WQW745" s="312"/>
      <c r="WQX745" s="312"/>
      <c r="WQY745" s="312"/>
      <c r="WQZ745" s="312"/>
      <c r="WRA745" s="312"/>
      <c r="WRB745" s="312"/>
      <c r="WRC745" s="312"/>
      <c r="WRD745" s="312"/>
      <c r="WRE745" s="312"/>
      <c r="WRF745" s="312"/>
      <c r="WRG745" s="312"/>
      <c r="WRH745" s="312"/>
      <c r="WRI745" s="312"/>
      <c r="WRJ745" s="312"/>
      <c r="WRK745" s="312"/>
      <c r="WRL745" s="312"/>
      <c r="WRM745" s="312"/>
      <c r="WRN745" s="312"/>
      <c r="WRO745" s="312"/>
      <c r="WRP745" s="312"/>
      <c r="WRQ745" s="312"/>
      <c r="WRR745" s="312"/>
      <c r="WRS745" s="312"/>
      <c r="WRT745" s="312"/>
      <c r="WRU745" s="312"/>
      <c r="WRV745" s="312"/>
      <c r="WRW745" s="312"/>
      <c r="WRX745" s="312"/>
      <c r="WRY745" s="312"/>
      <c r="WRZ745" s="312"/>
      <c r="WSA745" s="312"/>
      <c r="WSB745" s="312"/>
      <c r="WSC745" s="312"/>
      <c r="WSD745" s="312"/>
      <c r="WSE745" s="312"/>
      <c r="WSF745" s="312"/>
      <c r="WSG745" s="312"/>
      <c r="WSH745" s="312"/>
      <c r="WSI745" s="312"/>
      <c r="WSJ745" s="312"/>
      <c r="WSK745" s="312"/>
      <c r="WSL745" s="312"/>
      <c r="WSM745" s="312"/>
      <c r="WSN745" s="312"/>
      <c r="WSO745" s="312"/>
      <c r="WSP745" s="312"/>
      <c r="WSQ745" s="312"/>
      <c r="WSR745" s="312"/>
      <c r="WSS745" s="312"/>
      <c r="WST745" s="312"/>
      <c r="WSU745" s="312"/>
      <c r="WSV745" s="312"/>
      <c r="WSW745" s="312"/>
      <c r="WSX745" s="312"/>
      <c r="WSY745" s="312"/>
      <c r="WSZ745" s="312"/>
      <c r="WTA745" s="312"/>
      <c r="WTB745" s="312"/>
      <c r="WTC745" s="312"/>
      <c r="WTD745" s="312"/>
      <c r="WTE745" s="312"/>
      <c r="WTF745" s="312"/>
      <c r="WTG745" s="312"/>
      <c r="WTH745" s="312"/>
      <c r="WTI745" s="312"/>
      <c r="WTJ745" s="312"/>
      <c r="WTK745" s="312"/>
      <c r="WTL745" s="312"/>
      <c r="WTM745" s="312"/>
      <c r="WTN745" s="312"/>
      <c r="WTO745" s="312"/>
      <c r="WTP745" s="312"/>
      <c r="WTQ745" s="312"/>
      <c r="WTR745" s="312"/>
      <c r="WTS745" s="312"/>
      <c r="WTT745" s="312"/>
      <c r="WTU745" s="312"/>
      <c r="WTV745" s="312"/>
      <c r="WTW745" s="312"/>
      <c r="WTX745" s="312"/>
      <c r="WTY745" s="312"/>
      <c r="WTZ745" s="312"/>
      <c r="WUA745" s="312"/>
      <c r="WUB745" s="312"/>
      <c r="WUC745" s="312"/>
      <c r="WUD745" s="312"/>
      <c r="WUE745" s="312"/>
      <c r="WUF745" s="312"/>
      <c r="WUG745" s="312"/>
      <c r="WUH745" s="312"/>
      <c r="WUI745" s="312"/>
      <c r="WUJ745" s="312"/>
      <c r="WUK745" s="312"/>
      <c r="WUL745" s="312"/>
      <c r="WUM745" s="312"/>
      <c r="WUN745" s="312"/>
      <c r="WUO745" s="312"/>
      <c r="WUP745" s="312"/>
      <c r="WUQ745" s="312"/>
      <c r="WUR745" s="312"/>
      <c r="WUS745" s="312"/>
      <c r="WUT745" s="312"/>
      <c r="WUU745" s="312"/>
      <c r="WUV745" s="312"/>
      <c r="WUW745" s="312"/>
      <c r="WUX745" s="312"/>
      <c r="WUY745" s="312"/>
      <c r="WUZ745" s="312"/>
      <c r="WVA745" s="312"/>
      <c r="WVB745" s="312"/>
      <c r="WVC745" s="312"/>
      <c r="WVD745" s="312"/>
      <c r="WVE745" s="312"/>
      <c r="WVF745" s="312"/>
      <c r="WVG745" s="312"/>
      <c r="WVH745" s="312"/>
      <c r="WVI745" s="312"/>
      <c r="WVJ745" s="312"/>
      <c r="WVK745" s="312"/>
      <c r="WVL745" s="312"/>
      <c r="WVM745" s="312"/>
      <c r="WVN745" s="312"/>
      <c r="WVO745" s="312"/>
      <c r="WVP745" s="312"/>
      <c r="WVQ745" s="312"/>
      <c r="WVR745" s="312"/>
      <c r="WVS745" s="312"/>
      <c r="WVT745" s="312"/>
      <c r="WVU745" s="312"/>
      <c r="WVV745" s="312"/>
      <c r="WVW745" s="312"/>
      <c r="WVX745" s="312"/>
      <c r="WVY745" s="312"/>
      <c r="WVZ745" s="312"/>
      <c r="WWA745" s="312"/>
      <c r="WWB745" s="312"/>
      <c r="WWC745" s="312"/>
      <c r="WWD745" s="312"/>
      <c r="WWE745" s="312"/>
      <c r="WWF745" s="312"/>
      <c r="WWG745" s="312"/>
      <c r="WWH745" s="312"/>
      <c r="WWI745" s="312"/>
      <c r="WWJ745" s="312"/>
      <c r="WWK745" s="312"/>
      <c r="WWL745" s="312"/>
      <c r="WWM745" s="312"/>
      <c r="WWN745" s="312"/>
      <c r="WWO745" s="312"/>
      <c r="WWP745" s="312"/>
      <c r="WWQ745" s="312"/>
      <c r="WWR745" s="312"/>
      <c r="WWS745" s="312"/>
      <c r="WWT745" s="312"/>
      <c r="WWU745" s="312"/>
      <c r="WWV745" s="312"/>
      <c r="WWW745" s="312"/>
      <c r="WWX745" s="312"/>
      <c r="WWY745" s="312"/>
      <c r="WWZ745" s="312"/>
      <c r="WXA745" s="312"/>
      <c r="WXB745" s="312"/>
      <c r="WXC745" s="312"/>
      <c r="WXD745" s="312"/>
      <c r="WXE745" s="312"/>
      <c r="WXF745" s="312"/>
      <c r="WXG745" s="312"/>
      <c r="WXH745" s="312"/>
      <c r="WXI745" s="312"/>
      <c r="WXJ745" s="312"/>
      <c r="WXK745" s="312"/>
      <c r="WXL745" s="312"/>
      <c r="WXM745" s="312"/>
      <c r="WXN745" s="312"/>
      <c r="WXO745" s="312"/>
      <c r="WXP745" s="312"/>
      <c r="WXQ745" s="312"/>
      <c r="WXR745" s="312"/>
      <c r="WXS745" s="312"/>
      <c r="WXT745" s="312"/>
      <c r="WXU745" s="312"/>
      <c r="WXV745" s="312"/>
      <c r="WXW745" s="312"/>
      <c r="WXX745" s="312"/>
      <c r="WXY745" s="312"/>
      <c r="WXZ745" s="312"/>
      <c r="WYA745" s="312"/>
      <c r="WYB745" s="312"/>
      <c r="WYC745" s="312"/>
      <c r="WYD745" s="312"/>
      <c r="WYE745" s="312"/>
      <c r="WYF745" s="312"/>
      <c r="WYG745" s="312"/>
      <c r="WYH745" s="312"/>
      <c r="WYI745" s="312"/>
      <c r="WYJ745" s="312"/>
      <c r="WYK745" s="312"/>
      <c r="WYL745" s="312"/>
      <c r="WYM745" s="312"/>
      <c r="WYN745" s="312"/>
      <c r="WYO745" s="312"/>
      <c r="WYP745" s="312"/>
      <c r="WYQ745" s="312"/>
      <c r="WYR745" s="312"/>
      <c r="WYS745" s="312"/>
      <c r="WYT745" s="312"/>
      <c r="WYU745" s="312"/>
      <c r="WYV745" s="312"/>
      <c r="WYW745" s="312"/>
      <c r="WYX745" s="312"/>
      <c r="WYY745" s="312"/>
      <c r="WYZ745" s="312"/>
      <c r="WZA745" s="312"/>
      <c r="WZB745" s="312"/>
      <c r="WZC745" s="312"/>
      <c r="WZD745" s="312"/>
      <c r="WZE745" s="312"/>
      <c r="WZF745" s="312"/>
      <c r="WZG745" s="312"/>
      <c r="WZH745" s="312"/>
      <c r="WZI745" s="312"/>
      <c r="WZJ745" s="312"/>
      <c r="WZK745" s="312"/>
      <c r="WZL745" s="312"/>
      <c r="WZM745" s="312"/>
      <c r="WZN745" s="312"/>
      <c r="WZO745" s="312"/>
      <c r="WZP745" s="312"/>
      <c r="WZQ745" s="312"/>
      <c r="WZR745" s="312"/>
      <c r="WZS745" s="312"/>
      <c r="WZT745" s="312"/>
      <c r="WZU745" s="312"/>
      <c r="WZV745" s="312"/>
      <c r="WZW745" s="312"/>
      <c r="WZX745" s="312"/>
      <c r="WZY745" s="312"/>
      <c r="WZZ745" s="312"/>
      <c r="XAA745" s="312"/>
      <c r="XAB745" s="312"/>
      <c r="XAC745" s="312"/>
      <c r="XAD745" s="312"/>
      <c r="XAE745" s="312"/>
      <c r="XAF745" s="312"/>
      <c r="XAG745" s="312"/>
      <c r="XAH745" s="312"/>
      <c r="XAI745" s="312"/>
      <c r="XAJ745" s="312"/>
      <c r="XAK745" s="312"/>
      <c r="XAL745" s="312"/>
      <c r="XAM745" s="312"/>
      <c r="XAN745" s="312"/>
      <c r="XAO745" s="312"/>
      <c r="XAP745" s="312"/>
      <c r="XAQ745" s="312"/>
      <c r="XAR745" s="312"/>
      <c r="XAS745" s="312"/>
      <c r="XAT745" s="312"/>
      <c r="XAU745" s="312"/>
      <c r="XAV745" s="312"/>
      <c r="XAW745" s="312"/>
      <c r="XAX745" s="312"/>
      <c r="XAY745" s="312"/>
      <c r="XAZ745" s="312"/>
      <c r="XBA745" s="312"/>
      <c r="XBB745" s="312"/>
      <c r="XBC745" s="312"/>
      <c r="XBD745" s="312"/>
      <c r="XBE745" s="312"/>
      <c r="XBF745" s="312"/>
      <c r="XBG745" s="312"/>
      <c r="XBH745" s="312"/>
      <c r="XBI745" s="312"/>
      <c r="XBJ745" s="312"/>
      <c r="XBK745" s="312"/>
      <c r="XBL745" s="312"/>
      <c r="XBM745" s="312"/>
      <c r="XBN745" s="312"/>
      <c r="XBO745" s="312"/>
      <c r="XBP745" s="312"/>
      <c r="XBQ745" s="312"/>
      <c r="XBR745" s="312"/>
      <c r="XBS745" s="312"/>
      <c r="XBT745" s="312"/>
      <c r="XBU745" s="312"/>
      <c r="XBV745" s="312"/>
      <c r="XBW745" s="312"/>
      <c r="XBX745" s="312"/>
      <c r="XBY745" s="312"/>
      <c r="XBZ745" s="312"/>
      <c r="XCA745" s="312"/>
      <c r="XCB745" s="312"/>
      <c r="XCC745" s="312"/>
      <c r="XCD745" s="312"/>
      <c r="XCE745" s="312"/>
      <c r="XCF745" s="312"/>
      <c r="XCG745" s="312"/>
      <c r="XCH745" s="312"/>
      <c r="XCI745" s="312"/>
      <c r="XCJ745" s="312"/>
      <c r="XCK745" s="312"/>
      <c r="XCL745" s="312"/>
      <c r="XCM745" s="312"/>
      <c r="XCN745" s="312"/>
      <c r="XCO745" s="312"/>
      <c r="XCP745" s="312"/>
      <c r="XCQ745" s="312"/>
      <c r="XCR745" s="312"/>
      <c r="XCS745" s="312"/>
      <c r="XCT745" s="312"/>
      <c r="XCU745" s="312"/>
      <c r="XCV745" s="312"/>
      <c r="XCW745" s="312"/>
      <c r="XCX745" s="312"/>
      <c r="XCY745" s="312"/>
      <c r="XCZ745" s="312"/>
      <c r="XDA745" s="312"/>
      <c r="XDB745" s="312"/>
      <c r="XDC745" s="312"/>
      <c r="XDD745" s="312"/>
      <c r="XDE745" s="312"/>
      <c r="XDF745" s="312"/>
      <c r="XDG745" s="312"/>
      <c r="XDH745" s="312"/>
      <c r="XDI745" s="312"/>
      <c r="XDJ745" s="312"/>
      <c r="XDK745" s="312"/>
      <c r="XDL745" s="312"/>
      <c r="XDM745" s="312"/>
      <c r="XDN745" s="312"/>
      <c r="XDO745" s="312"/>
      <c r="XDP745" s="312"/>
      <c r="XDQ745" s="312"/>
      <c r="XDR745" s="312"/>
      <c r="XDS745" s="312"/>
      <c r="XDT745" s="312"/>
      <c r="XDU745" s="312"/>
      <c r="XDV745" s="312"/>
      <c r="XDW745" s="312"/>
      <c r="XDX745" s="312"/>
      <c r="XDY745" s="312"/>
      <c r="XDZ745" s="312"/>
      <c r="XEA745" s="312"/>
      <c r="XEB745" s="312"/>
      <c r="XEC745" s="312"/>
      <c r="XED745" s="312"/>
      <c r="XEE745" s="312"/>
      <c r="XEF745" s="312"/>
      <c r="XEG745" s="312"/>
      <c r="XEH745" s="312"/>
      <c r="XEI745" s="312"/>
      <c r="XEJ745" s="312"/>
      <c r="XEK745" s="312"/>
      <c r="XEL745" s="312"/>
      <c r="XEM745" s="312"/>
      <c r="XEN745" s="312"/>
      <c r="XEO745" s="312"/>
      <c r="XEP745" s="312"/>
      <c r="XEQ745" s="312"/>
      <c r="XER745" s="312"/>
      <c r="XES745" s="312"/>
      <c r="XET745" s="312"/>
      <c r="XEU745" s="312"/>
      <c r="XEV745" s="312"/>
      <c r="XEW745" s="312"/>
      <c r="XEX745" s="312"/>
      <c r="XEY745" s="312"/>
      <c r="XEZ745" s="312"/>
      <c r="XFA745" s="312"/>
      <c r="XFB745" s="312"/>
      <c r="XFC745" s="312"/>
    </row>
    <row r="746" spans="1:16383" ht="12.95" customHeight="1">
      <c r="A746" s="2" t="s">
        <v>585</v>
      </c>
      <c r="B746" s="56"/>
      <c r="C746" s="57" t="s">
        <v>425</v>
      </c>
      <c r="D746" s="56"/>
      <c r="E746" s="56"/>
      <c r="F746" s="56"/>
      <c r="G746" s="6"/>
      <c r="H746" s="6"/>
      <c r="I746" s="6"/>
      <c r="J746" s="6"/>
      <c r="K746" s="6"/>
      <c r="L746" s="56"/>
      <c r="M746" s="56"/>
      <c r="N746" s="56"/>
      <c r="O746" s="56"/>
      <c r="P746" s="56"/>
      <c r="Q746" s="6"/>
      <c r="R746" s="6"/>
      <c r="S746" s="6"/>
      <c r="T746" s="6"/>
      <c r="U746" s="6"/>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row>
    <row r="747" spans="1:16383" s="3" customFormat="1" ht="12.95" customHeight="1">
      <c r="B747" s="1076"/>
      <c r="C747" s="118" t="s">
        <v>177</v>
      </c>
      <c r="D747" s="1076"/>
      <c r="E747" s="1076"/>
      <c r="F747" s="1076"/>
      <c r="G747" s="386"/>
      <c r="H747" s="386"/>
      <c r="I747" s="386"/>
      <c r="J747" s="386"/>
      <c r="K747" s="386"/>
      <c r="L747" s="1076"/>
      <c r="M747" s="1076"/>
      <c r="N747" s="1076"/>
      <c r="O747" s="1076"/>
      <c r="P747" s="1076"/>
      <c r="Q747" s="386"/>
      <c r="R747" s="386"/>
      <c r="S747" s="386"/>
      <c r="T747" s="386"/>
      <c r="U747" s="386"/>
      <c r="AT747"/>
      <c r="AU747"/>
      <c r="AV747"/>
      <c r="AW747"/>
      <c r="AX747"/>
      <c r="AY747"/>
    </row>
    <row r="748" spans="1:16383" s="3" customFormat="1" ht="12.95" customHeight="1">
      <c r="B748" s="1076"/>
      <c r="C748" s="1266" t="s">
        <v>2512</v>
      </c>
      <c r="D748" s="1266"/>
      <c r="E748" s="1266"/>
      <c r="F748" s="1266"/>
      <c r="G748" s="1266"/>
      <c r="H748" s="1266"/>
      <c r="I748" s="1266"/>
      <c r="J748" s="1266"/>
      <c r="K748" s="1266"/>
      <c r="L748" s="1266"/>
      <c r="M748" s="1266"/>
      <c r="N748" s="1266"/>
      <c r="O748" s="1266"/>
      <c r="P748" s="1266"/>
      <c r="Q748" s="1266"/>
      <c r="R748" s="1266"/>
      <c r="S748" s="1266"/>
      <c r="T748" s="1266"/>
      <c r="U748" s="1266"/>
      <c r="V748" s="1266"/>
      <c r="W748" s="1266"/>
      <c r="X748" s="1266"/>
      <c r="Y748" s="1266"/>
      <c r="Z748" s="1266"/>
      <c r="AA748" s="1266"/>
      <c r="AB748" s="1266"/>
      <c r="AC748" s="1266"/>
      <c r="AD748" s="1266"/>
      <c r="AE748" s="1266"/>
      <c r="AF748" s="1266"/>
      <c r="AG748" s="1266"/>
      <c r="AH748" s="1266"/>
      <c r="AI748" s="1266"/>
      <c r="AJ748" s="1266"/>
      <c r="AK748" s="1266"/>
      <c r="AL748" s="1266"/>
      <c r="AM748" s="1266"/>
      <c r="AN748" s="1266"/>
      <c r="AO748" s="1266"/>
      <c r="AP748" s="1266"/>
      <c r="AQ748" s="1266"/>
      <c r="AR748" s="1266"/>
      <c r="AT748"/>
      <c r="AU748"/>
      <c r="AV748"/>
      <c r="AW748"/>
      <c r="AX748"/>
      <c r="AY748"/>
    </row>
    <row r="749" spans="1:16383" s="3" customFormat="1" ht="12.95" customHeight="1">
      <c r="B749" s="1076"/>
      <c r="C749" s="1266"/>
      <c r="D749" s="1266"/>
      <c r="E749" s="1266"/>
      <c r="F749" s="1266"/>
      <c r="G749" s="1266"/>
      <c r="H749" s="1266"/>
      <c r="I749" s="1266"/>
      <c r="J749" s="1266"/>
      <c r="K749" s="1266"/>
      <c r="L749" s="1266"/>
      <c r="M749" s="1266"/>
      <c r="N749" s="1266"/>
      <c r="O749" s="1266"/>
      <c r="P749" s="1266"/>
      <c r="Q749" s="1266"/>
      <c r="R749" s="1266"/>
      <c r="S749" s="1266"/>
      <c r="T749" s="1266"/>
      <c r="U749" s="1266"/>
      <c r="V749" s="1266"/>
      <c r="W749" s="1266"/>
      <c r="X749" s="1266"/>
      <c r="Y749" s="1266"/>
      <c r="Z749" s="1266"/>
      <c r="AA749" s="1266"/>
      <c r="AB749" s="1266"/>
      <c r="AC749" s="1266"/>
      <c r="AD749" s="1266"/>
      <c r="AE749" s="1266"/>
      <c r="AF749" s="1266"/>
      <c r="AG749" s="1266"/>
      <c r="AH749" s="1266"/>
      <c r="AI749" s="1266"/>
      <c r="AJ749" s="1266"/>
      <c r="AK749" s="1266"/>
      <c r="AL749" s="1266"/>
      <c r="AM749" s="1266"/>
      <c r="AN749" s="1266"/>
      <c r="AO749" s="1266"/>
      <c r="AP749" s="1266"/>
      <c r="AQ749" s="1266"/>
      <c r="AR749" s="1266"/>
      <c r="AT749"/>
      <c r="AU749"/>
      <c r="AV749"/>
      <c r="AW749"/>
      <c r="AX749"/>
      <c r="AY749"/>
    </row>
    <row r="750" spans="1:16383" s="3" customFormat="1" ht="12.95" customHeight="1">
      <c r="B750" s="1076"/>
      <c r="C750" s="1266"/>
      <c r="D750" s="1266"/>
      <c r="E750" s="1266"/>
      <c r="F750" s="1266"/>
      <c r="G750" s="1266"/>
      <c r="H750" s="1266"/>
      <c r="I750" s="1266"/>
      <c r="J750" s="1266"/>
      <c r="K750" s="1266"/>
      <c r="L750" s="1266"/>
      <c r="M750" s="1266"/>
      <c r="N750" s="1266"/>
      <c r="O750" s="1266"/>
      <c r="P750" s="1266"/>
      <c r="Q750" s="1266"/>
      <c r="R750" s="1266"/>
      <c r="S750" s="1266"/>
      <c r="T750" s="1266"/>
      <c r="U750" s="1266"/>
      <c r="V750" s="1266"/>
      <c r="W750" s="1266"/>
      <c r="X750" s="1266"/>
      <c r="Y750" s="1266"/>
      <c r="Z750" s="1266"/>
      <c r="AA750" s="1266"/>
      <c r="AB750" s="1266"/>
      <c r="AC750" s="1266"/>
      <c r="AD750" s="1266"/>
      <c r="AE750" s="1266"/>
      <c r="AF750" s="1266"/>
      <c r="AG750" s="1266"/>
      <c r="AH750" s="1266"/>
      <c r="AI750" s="1266"/>
      <c r="AJ750" s="1266"/>
      <c r="AK750" s="1266"/>
      <c r="AL750" s="1266"/>
      <c r="AM750" s="1266"/>
      <c r="AN750" s="1266"/>
      <c r="AO750" s="1266"/>
      <c r="AP750" s="1266"/>
      <c r="AQ750" s="1266"/>
      <c r="AR750" s="1266"/>
      <c r="AT750"/>
      <c r="AU750"/>
      <c r="AV750"/>
      <c r="AW750"/>
      <c r="AX750"/>
      <c r="AY750"/>
    </row>
    <row r="751" spans="1:16383" s="3" customFormat="1" ht="12.95" customHeight="1">
      <c r="B751" s="1076"/>
      <c r="C751" s="1266" t="s">
        <v>2513</v>
      </c>
      <c r="D751" s="1266"/>
      <c r="E751" s="1266"/>
      <c r="F751" s="1266"/>
      <c r="G751" s="1266"/>
      <c r="H751" s="1266"/>
      <c r="I751" s="1266"/>
      <c r="J751" s="1266"/>
      <c r="K751" s="1266"/>
      <c r="L751" s="1266"/>
      <c r="M751" s="1266"/>
      <c r="N751" s="1266"/>
      <c r="O751" s="1266"/>
      <c r="P751" s="1266"/>
      <c r="Q751" s="1266"/>
      <c r="R751" s="1266"/>
      <c r="S751" s="1266"/>
      <c r="T751" s="1266"/>
      <c r="U751" s="1266"/>
      <c r="V751" s="1266"/>
      <c r="W751" s="1266"/>
      <c r="X751" s="1266"/>
      <c r="Y751" s="1266"/>
      <c r="Z751" s="1266"/>
      <c r="AA751" s="1266"/>
      <c r="AB751" s="1266"/>
      <c r="AC751" s="1266"/>
      <c r="AD751" s="1266"/>
      <c r="AE751" s="1266"/>
      <c r="AF751" s="1266"/>
      <c r="AG751" s="1266"/>
      <c r="AH751" s="1266"/>
      <c r="AI751" s="1266"/>
      <c r="AJ751" s="1266"/>
      <c r="AK751" s="1266"/>
      <c r="AL751" s="1266"/>
      <c r="AM751" s="1266"/>
      <c r="AN751" s="1266"/>
      <c r="AO751" s="1266"/>
      <c r="AP751" s="1266"/>
      <c r="AQ751" s="1266"/>
      <c r="AR751" s="1266"/>
      <c r="AT751"/>
      <c r="AU751"/>
      <c r="AV751"/>
      <c r="AW751"/>
      <c r="AX751"/>
      <c r="AY751"/>
    </row>
    <row r="752" spans="1:16383" s="3" customFormat="1" ht="12.95" customHeight="1">
      <c r="B752" s="1076"/>
      <c r="C752" s="1266"/>
      <c r="D752" s="1266"/>
      <c r="E752" s="1266"/>
      <c r="F752" s="1266"/>
      <c r="G752" s="1266"/>
      <c r="H752" s="1266"/>
      <c r="I752" s="1266"/>
      <c r="J752" s="1266"/>
      <c r="K752" s="1266"/>
      <c r="L752" s="1266"/>
      <c r="M752" s="1266"/>
      <c r="N752" s="1266"/>
      <c r="O752" s="1266"/>
      <c r="P752" s="1266"/>
      <c r="Q752" s="1266"/>
      <c r="R752" s="1266"/>
      <c r="S752" s="1266"/>
      <c r="T752" s="1266"/>
      <c r="U752" s="1266"/>
      <c r="V752" s="1266"/>
      <c r="W752" s="1266"/>
      <c r="X752" s="1266"/>
      <c r="Y752" s="1266"/>
      <c r="Z752" s="1266"/>
      <c r="AA752" s="1266"/>
      <c r="AB752" s="1266"/>
      <c r="AC752" s="1266"/>
      <c r="AD752" s="1266"/>
      <c r="AE752" s="1266"/>
      <c r="AF752" s="1266"/>
      <c r="AG752" s="1266"/>
      <c r="AH752" s="1266"/>
      <c r="AI752" s="1266"/>
      <c r="AJ752" s="1266"/>
      <c r="AK752" s="1266"/>
      <c r="AL752" s="1266"/>
      <c r="AM752" s="1266"/>
      <c r="AN752" s="1266"/>
      <c r="AO752" s="1266"/>
      <c r="AP752" s="1266"/>
      <c r="AQ752" s="1266"/>
      <c r="AR752" s="1266"/>
      <c r="AT752"/>
      <c r="AU752"/>
      <c r="AV752"/>
      <c r="AW752"/>
      <c r="AX752"/>
      <c r="AY752"/>
    </row>
    <row r="753" spans="1:110" s="3" customFormat="1" ht="12.95" customHeight="1">
      <c r="B753" s="1076"/>
      <c r="C753" s="1266"/>
      <c r="D753" s="1266"/>
      <c r="E753" s="1266"/>
      <c r="F753" s="1266"/>
      <c r="G753" s="1266"/>
      <c r="H753" s="1266"/>
      <c r="I753" s="1266"/>
      <c r="J753" s="1266"/>
      <c r="K753" s="1266"/>
      <c r="L753" s="1266"/>
      <c r="M753" s="1266"/>
      <c r="N753" s="1266"/>
      <c r="O753" s="1266"/>
      <c r="P753" s="1266"/>
      <c r="Q753" s="1266"/>
      <c r="R753" s="1266"/>
      <c r="S753" s="1266"/>
      <c r="T753" s="1266"/>
      <c r="U753" s="1266"/>
      <c r="V753" s="1266"/>
      <c r="W753" s="1266"/>
      <c r="X753" s="1266"/>
      <c r="Y753" s="1266"/>
      <c r="Z753" s="1266"/>
      <c r="AA753" s="1266"/>
      <c r="AB753" s="1266"/>
      <c r="AC753" s="1266"/>
      <c r="AD753" s="1266"/>
      <c r="AE753" s="1266"/>
      <c r="AF753" s="1266"/>
      <c r="AG753" s="1266"/>
      <c r="AH753" s="1266"/>
      <c r="AI753" s="1266"/>
      <c r="AJ753" s="1266"/>
      <c r="AK753" s="1266"/>
      <c r="AL753" s="1266"/>
      <c r="AM753" s="1266"/>
      <c r="AN753" s="1266"/>
      <c r="AO753" s="1266"/>
      <c r="AP753" s="1266"/>
      <c r="AQ753" s="1266"/>
      <c r="AR753" s="1266"/>
      <c r="AT753"/>
      <c r="AU753"/>
      <c r="AV753"/>
      <c r="AW753"/>
      <c r="AX753"/>
      <c r="AY753"/>
    </row>
    <row r="754" spans="1:110" ht="12.95" customHeight="1">
      <c r="J754" s="1405" t="s">
        <v>390</v>
      </c>
      <c r="K754" s="1394"/>
      <c r="L754" s="1394"/>
      <c r="M754" s="1394"/>
      <c r="N754" s="1395"/>
      <c r="O754" s="1669" t="s">
        <v>286</v>
      </c>
      <c r="P754" s="1669"/>
      <c r="Q754" s="1669"/>
      <c r="R754" s="1669"/>
      <c r="S754" s="1669"/>
      <c r="T754" s="1629" t="s">
        <v>1938</v>
      </c>
      <c r="U754" s="1630"/>
      <c r="V754" s="1630"/>
      <c r="W754" s="1631"/>
      <c r="X754" s="1405" t="s">
        <v>456</v>
      </c>
      <c r="Y754" s="1394"/>
      <c r="Z754" s="1394"/>
      <c r="AA754" s="1394"/>
      <c r="AB754" s="1395"/>
      <c r="AC754" s="1405" t="s">
        <v>287</v>
      </c>
      <c r="AD754" s="1394"/>
      <c r="AE754" s="1394"/>
      <c r="AF754" s="1394"/>
      <c r="AG754" s="1395"/>
      <c r="AH754" s="119"/>
      <c r="AI754" s="116"/>
      <c r="AJ754" s="116"/>
      <c r="AK754" s="116"/>
      <c r="AL754" s="116"/>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row>
    <row r="755" spans="1:110" ht="12.95" customHeight="1">
      <c r="J755" s="1396"/>
      <c r="K755" s="1397"/>
      <c r="L755" s="1397"/>
      <c r="M755" s="1397"/>
      <c r="N755" s="1398"/>
      <c r="O755" s="1669"/>
      <c r="P755" s="1669"/>
      <c r="Q755" s="1669"/>
      <c r="R755" s="1669"/>
      <c r="S755" s="1669"/>
      <c r="T755" s="1632"/>
      <c r="U755" s="1633"/>
      <c r="V755" s="1633"/>
      <c r="W755" s="1634"/>
      <c r="X755" s="1396"/>
      <c r="Y755" s="1397"/>
      <c r="Z755" s="1397"/>
      <c r="AA755" s="1397"/>
      <c r="AB755" s="1398"/>
      <c r="AC755" s="1396"/>
      <c r="AD755" s="1397"/>
      <c r="AE755" s="1397"/>
      <c r="AF755" s="1397"/>
      <c r="AG755" s="1398"/>
      <c r="AH755" s="116"/>
      <c r="AI755" s="116"/>
      <c r="AJ755" s="116"/>
      <c r="AK755" s="116"/>
      <c r="AL755" s="116"/>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10" ht="12.95" customHeight="1">
      <c r="J756" s="1396"/>
      <c r="K756" s="1397"/>
      <c r="L756" s="1397"/>
      <c r="M756" s="1397"/>
      <c r="N756" s="1398"/>
      <c r="O756" s="1669"/>
      <c r="P756" s="1669"/>
      <c r="Q756" s="1669"/>
      <c r="R756" s="1669"/>
      <c r="S756" s="1669"/>
      <c r="T756" s="1632"/>
      <c r="U756" s="1633"/>
      <c r="V756" s="1633"/>
      <c r="W756" s="1634"/>
      <c r="X756" s="1396"/>
      <c r="Y756" s="1397"/>
      <c r="Z756" s="1397"/>
      <c r="AA756" s="1397"/>
      <c r="AB756" s="1398"/>
      <c r="AC756" s="1396"/>
      <c r="AD756" s="1397"/>
      <c r="AE756" s="1397"/>
      <c r="AF756" s="1397"/>
      <c r="AG756" s="1398"/>
      <c r="AH756" s="116"/>
      <c r="AK756" s="116"/>
      <c r="AL756" s="116"/>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row>
    <row r="757" spans="1:110" ht="12.95" customHeight="1">
      <c r="J757" s="1399"/>
      <c r="K757" s="1400"/>
      <c r="L757" s="1400"/>
      <c r="M757" s="1400"/>
      <c r="N757" s="1401"/>
      <c r="O757" s="1669"/>
      <c r="P757" s="1669"/>
      <c r="Q757" s="1669"/>
      <c r="R757" s="1669"/>
      <c r="S757" s="1669"/>
      <c r="T757" s="1723"/>
      <c r="U757" s="1724"/>
      <c r="V757" s="1724"/>
      <c r="W757" s="1725"/>
      <c r="X757" s="1399"/>
      <c r="Y757" s="1400"/>
      <c r="Z757" s="1400"/>
      <c r="AA757" s="1400"/>
      <c r="AB757" s="1401"/>
      <c r="AC757" s="1399"/>
      <c r="AD757" s="1400"/>
      <c r="AE757" s="1400"/>
      <c r="AF757" s="1400"/>
      <c r="AG757" s="1401"/>
      <c r="AH757" s="116"/>
      <c r="AI757" s="116"/>
      <c r="AJ757" s="116"/>
      <c r="AK757" s="116"/>
      <c r="AL757" s="116"/>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10" ht="12.95" customHeight="1">
      <c r="J758" s="1383" t="s">
        <v>164</v>
      </c>
      <c r="K758" s="1384"/>
      <c r="L758" s="1384"/>
      <c r="M758" s="1384"/>
      <c r="N758" s="1385"/>
      <c r="O758" s="1623">
        <v>2</v>
      </c>
      <c r="P758" s="1623"/>
      <c r="Q758" s="1623"/>
      <c r="R758" s="1623"/>
      <c r="S758" s="1623"/>
      <c r="T758" s="1567">
        <v>843</v>
      </c>
      <c r="U758" s="1568"/>
      <c r="V758" s="1568"/>
      <c r="W758" s="1569"/>
      <c r="X758" s="1564">
        <v>1536</v>
      </c>
      <c r="Y758" s="1565"/>
      <c r="Z758" s="1565"/>
      <c r="AA758" s="1565"/>
      <c r="AB758" s="1566"/>
      <c r="AC758" s="1390">
        <f>X758*O758</f>
        <v>3072</v>
      </c>
      <c r="AD758" s="1391"/>
      <c r="AE758" s="1391"/>
      <c r="AF758" s="1391"/>
      <c r="AG758" s="1392"/>
      <c r="AH758" s="1058"/>
      <c r="AI758" s="116"/>
      <c r="AJ758" s="116"/>
      <c r="AK758" s="1058"/>
      <c r="AL758" s="1058"/>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row>
    <row r="759" spans="1:110" ht="12.95" customHeight="1">
      <c r="J759" s="1383"/>
      <c r="K759" s="1384"/>
      <c r="L759" s="1384"/>
      <c r="M759" s="1384"/>
      <c r="N759" s="1385"/>
      <c r="O759" s="1623"/>
      <c r="P759" s="1623"/>
      <c r="Q759" s="1623"/>
      <c r="R759" s="1623"/>
      <c r="S759" s="1623"/>
      <c r="T759" s="1567"/>
      <c r="U759" s="1568"/>
      <c r="V759" s="1568"/>
      <c r="W759" s="1569"/>
      <c r="X759" s="1564"/>
      <c r="Y759" s="1565"/>
      <c r="Z759" s="1565"/>
      <c r="AA759" s="1565"/>
      <c r="AB759" s="1566"/>
      <c r="AC759" s="1390">
        <f>X759*O759</f>
        <v>0</v>
      </c>
      <c r="AD759" s="1391"/>
      <c r="AE759" s="1391"/>
      <c r="AF759" s="1391"/>
      <c r="AG759" s="1392"/>
      <c r="AH759" s="1058"/>
      <c r="AI759" s="1058"/>
      <c r="AJ759" s="1058"/>
      <c r="AK759" s="1058"/>
      <c r="AL759" s="1058"/>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row>
    <row r="760" spans="1:110" ht="12.95" customHeight="1">
      <c r="J760" s="1383"/>
      <c r="K760" s="1384"/>
      <c r="L760" s="1384"/>
      <c r="M760" s="1384"/>
      <c r="N760" s="1385"/>
      <c r="O760" s="1623"/>
      <c r="P760" s="1623"/>
      <c r="Q760" s="1623"/>
      <c r="R760" s="1623"/>
      <c r="S760" s="1623"/>
      <c r="T760" s="1567"/>
      <c r="U760" s="1568"/>
      <c r="V760" s="1568"/>
      <c r="W760" s="1569"/>
      <c r="X760" s="1564"/>
      <c r="Y760" s="1565"/>
      <c r="Z760" s="1565"/>
      <c r="AA760" s="1565"/>
      <c r="AB760" s="1566"/>
      <c r="AC760" s="1390">
        <f>X760*O760</f>
        <v>0</v>
      </c>
      <c r="AD760" s="1391"/>
      <c r="AE760" s="1391"/>
      <c r="AF760" s="1391"/>
      <c r="AG760" s="1392"/>
      <c r="AH760" s="1058"/>
      <c r="AI760" s="1058"/>
      <c r="AJ760" s="1058"/>
      <c r="AK760" s="1058"/>
      <c r="AL760" s="1058"/>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row>
    <row r="761" spans="1:110" ht="12.95" customHeight="1">
      <c r="J761" s="1383"/>
      <c r="K761" s="1384"/>
      <c r="L761" s="1384"/>
      <c r="M761" s="1384"/>
      <c r="N761" s="1385"/>
      <c r="O761" s="1623"/>
      <c r="P761" s="1623"/>
      <c r="Q761" s="1623"/>
      <c r="R761" s="1623"/>
      <c r="S761" s="1623"/>
      <c r="T761" s="1567"/>
      <c r="U761" s="1568"/>
      <c r="V761" s="1568"/>
      <c r="W761" s="1569"/>
      <c r="X761" s="1564"/>
      <c r="Y761" s="1565"/>
      <c r="Z761" s="1565"/>
      <c r="AA761" s="1565"/>
      <c r="AB761" s="1566"/>
      <c r="AC761" s="1390">
        <f>X761*O761</f>
        <v>0</v>
      </c>
      <c r="AD761" s="1391"/>
      <c r="AE761" s="1391"/>
      <c r="AF761" s="1391"/>
      <c r="AG761" s="1392"/>
      <c r="AH761" s="1058"/>
      <c r="AI761" s="1058"/>
      <c r="AJ761" s="1058"/>
      <c r="AK761" s="1058"/>
      <c r="AL761" s="1058"/>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row>
    <row r="762" spans="1:110" ht="12.95" customHeight="1">
      <c r="J762" s="1577" t="s">
        <v>126</v>
      </c>
      <c r="K762" s="1578"/>
      <c r="L762" s="1578"/>
      <c r="M762" s="1578"/>
      <c r="N762" s="1579"/>
      <c r="O762" s="1427">
        <f>SUM(O758:S761)</f>
        <v>2</v>
      </c>
      <c r="P762" s="1590"/>
      <c r="Q762" s="1590"/>
      <c r="R762" s="1590"/>
      <c r="S762" s="1428"/>
      <c r="X762" s="1577" t="s">
        <v>125</v>
      </c>
      <c r="Y762" s="1578"/>
      <c r="Z762" s="1578"/>
      <c r="AA762" s="1578"/>
      <c r="AB762" s="1579"/>
      <c r="AC762" s="1390">
        <f>SUM(AC758:AG761)</f>
        <v>3072</v>
      </c>
      <c r="AD762" s="1391"/>
      <c r="AE762" s="1391"/>
      <c r="AF762" s="1391"/>
      <c r="AG762" s="1392"/>
      <c r="AI762" s="1058"/>
      <c r="AJ762" s="1058"/>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row>
    <row r="763" spans="1:110" ht="12.95" customHeight="1">
      <c r="J763" s="56"/>
      <c r="K763" s="56"/>
      <c r="L763" s="56"/>
      <c r="M763" s="56"/>
      <c r="N763" s="56"/>
      <c r="O763" s="6"/>
      <c r="P763" s="6"/>
      <c r="Q763" s="6"/>
      <c r="R763" s="6"/>
      <c r="S763" s="6"/>
      <c r="T763" s="56"/>
      <c r="U763" s="56"/>
      <c r="V763" s="56"/>
      <c r="W763" s="56"/>
      <c r="X763" s="56"/>
      <c r="Y763" s="185"/>
      <c r="Z763" s="1"/>
      <c r="AA763" s="1"/>
      <c r="AB763" s="1"/>
      <c r="AC763" s="1"/>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row>
    <row r="764" spans="1:110" ht="12.95" customHeight="1">
      <c r="B764" s="56"/>
      <c r="C764" s="56"/>
      <c r="D764" s="56"/>
      <c r="E764" s="56"/>
      <c r="F764" s="56"/>
      <c r="G764" s="6"/>
      <c r="H764" s="6"/>
      <c r="I764" s="6"/>
      <c r="J764" s="1728" t="s">
        <v>678</v>
      </c>
      <c r="K764" s="1728"/>
      <c r="L764" s="56"/>
      <c r="M764" s="35" t="s">
        <v>1017</v>
      </c>
      <c r="N764" s="56"/>
      <c r="O764" s="56"/>
      <c r="P764" s="56"/>
      <c r="Q764" s="6"/>
      <c r="R764" s="6"/>
      <c r="S764" s="6"/>
      <c r="T764" s="6"/>
      <c r="U764" s="6"/>
      <c r="AV764">
        <f>SUM(AW740:AW763)</f>
        <v>0</v>
      </c>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row>
    <row r="765" spans="1:110" ht="12.95" customHeight="1">
      <c r="B765" s="56"/>
      <c r="C765" s="56"/>
      <c r="D765" s="56"/>
      <c r="E765" s="56"/>
      <c r="F765" s="56"/>
      <c r="G765" s="6"/>
      <c r="H765" s="6"/>
      <c r="I765" s="6"/>
      <c r="J765" s="6"/>
      <c r="K765" s="6"/>
      <c r="L765" s="56"/>
      <c r="M765" s="35" t="s">
        <v>2514</v>
      </c>
      <c r="N765" s="56"/>
      <c r="O765" s="56"/>
      <c r="P765" s="56"/>
      <c r="Q765" s="6"/>
      <c r="R765" s="6"/>
      <c r="S765" s="6"/>
      <c r="T765" s="6"/>
      <c r="U765" s="6"/>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10" ht="12.95" customHeight="1">
      <c r="A766" s="2" t="s">
        <v>595</v>
      </c>
      <c r="B766" s="57"/>
      <c r="C766" s="57" t="s">
        <v>288</v>
      </c>
      <c r="D766" s="56"/>
      <c r="E766" s="56"/>
      <c r="F766" s="56"/>
      <c r="G766" s="6"/>
      <c r="H766" s="6"/>
      <c r="I766" s="6"/>
      <c r="J766" s="6"/>
      <c r="K766" s="6"/>
      <c r="L766" s="56"/>
      <c r="M766" s="56"/>
      <c r="N766" s="56"/>
      <c r="O766" s="56"/>
      <c r="P766" s="56"/>
      <c r="Q766" s="6"/>
      <c r="R766" s="6"/>
      <c r="S766" s="6"/>
      <c r="T766" s="6"/>
      <c r="U766" s="6"/>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row>
    <row r="767" spans="1:110" ht="12.95" customHeight="1">
      <c r="B767" s="56"/>
      <c r="C767" s="56"/>
      <c r="D767" s="56"/>
      <c r="E767" s="56"/>
      <c r="F767" s="56"/>
      <c r="G767" s="6"/>
      <c r="H767" s="6"/>
      <c r="I767" s="6"/>
      <c r="J767" s="547"/>
      <c r="K767" s="6"/>
      <c r="L767" s="56"/>
      <c r="M767" s="56"/>
      <c r="N767" s="56"/>
      <c r="O767" s="56"/>
      <c r="P767" s="56"/>
      <c r="Q767" s="6"/>
      <c r="R767" s="6"/>
      <c r="S767" s="6"/>
      <c r="T767" s="6"/>
      <c r="U767" s="6"/>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10" ht="12.95" customHeight="1">
      <c r="J768" s="1405" t="s">
        <v>390</v>
      </c>
      <c r="K768" s="1394"/>
      <c r="L768" s="1394"/>
      <c r="M768" s="1394"/>
      <c r="N768" s="1395"/>
      <c r="O768" s="1669" t="s">
        <v>286</v>
      </c>
      <c r="P768" s="1669"/>
      <c r="Q768" s="1669"/>
      <c r="R768" s="1669"/>
      <c r="S768" s="1669"/>
      <c r="T768" s="1629" t="s">
        <v>1938</v>
      </c>
      <c r="U768" s="1630"/>
      <c r="V768" s="1630"/>
      <c r="W768" s="1631"/>
      <c r="X768" s="1405" t="s">
        <v>456</v>
      </c>
      <c r="Y768" s="1394"/>
      <c r="Z768" s="1394"/>
      <c r="AA768" s="1394"/>
      <c r="AB768" s="1395"/>
      <c r="AC768" s="1405" t="s">
        <v>287</v>
      </c>
      <c r="AD768" s="1394"/>
      <c r="AE768" s="1394"/>
      <c r="AF768" s="1394"/>
      <c r="AG768" s="1395"/>
      <c r="AH768" s="1720" t="s">
        <v>2131</v>
      </c>
      <c r="AI768" s="1721"/>
      <c r="AJ768" s="1721"/>
      <c r="AK768" s="1721"/>
      <c r="AL768" s="1721"/>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row>
    <row r="769" spans="10:110" ht="12.95" customHeight="1">
      <c r="J769" s="1396"/>
      <c r="K769" s="1397"/>
      <c r="L769" s="1397"/>
      <c r="M769" s="1397"/>
      <c r="N769" s="1398"/>
      <c r="O769" s="1669"/>
      <c r="P769" s="1669"/>
      <c r="Q769" s="1669"/>
      <c r="R769" s="1669"/>
      <c r="S769" s="1669"/>
      <c r="T769" s="1632"/>
      <c r="U769" s="1633"/>
      <c r="V769" s="1633"/>
      <c r="W769" s="1634"/>
      <c r="X769" s="1396"/>
      <c r="Y769" s="1397"/>
      <c r="Z769" s="1397"/>
      <c r="AA769" s="1397"/>
      <c r="AB769" s="1398"/>
      <c r="AC769" s="1396"/>
      <c r="AD769" s="1397"/>
      <c r="AE769" s="1397"/>
      <c r="AF769" s="1397"/>
      <c r="AG769" s="1398"/>
      <c r="AH769" s="1720"/>
      <c r="AI769" s="1721"/>
      <c r="AJ769" s="1721"/>
      <c r="AK769" s="1721"/>
      <c r="AL769" s="1721"/>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0:110" ht="12.95" customHeight="1">
      <c r="J770" s="1396"/>
      <c r="K770" s="1397"/>
      <c r="L770" s="1397"/>
      <c r="M770" s="1397"/>
      <c r="N770" s="1398"/>
      <c r="O770" s="1669"/>
      <c r="P770" s="1669"/>
      <c r="Q770" s="1669"/>
      <c r="R770" s="1669"/>
      <c r="S770" s="1669"/>
      <c r="T770" s="1632"/>
      <c r="U770" s="1633"/>
      <c r="V770" s="1633"/>
      <c r="W770" s="1634"/>
      <c r="X770" s="1396"/>
      <c r="Y770" s="1397"/>
      <c r="Z770" s="1397"/>
      <c r="AA770" s="1397"/>
      <c r="AB770" s="1398"/>
      <c r="AC770" s="1396"/>
      <c r="AD770" s="1397"/>
      <c r="AE770" s="1397"/>
      <c r="AF770" s="1397"/>
      <c r="AG770" s="1398"/>
      <c r="AH770" s="1720"/>
      <c r="AI770" s="1721"/>
      <c r="AJ770" s="1721"/>
      <c r="AK770" s="1721"/>
      <c r="AL770" s="1721"/>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0:110" ht="12.95" customHeight="1">
      <c r="J771" s="1399"/>
      <c r="K771" s="1400"/>
      <c r="L771" s="1400"/>
      <c r="M771" s="1400"/>
      <c r="N771" s="1401"/>
      <c r="O771" s="1669"/>
      <c r="P771" s="1669"/>
      <c r="Q771" s="1669"/>
      <c r="R771" s="1669"/>
      <c r="S771" s="1669"/>
      <c r="T771" s="1723"/>
      <c r="U771" s="1724"/>
      <c r="V771" s="1724"/>
      <c r="W771" s="1725"/>
      <c r="X771" s="1399"/>
      <c r="Y771" s="1400"/>
      <c r="Z771" s="1400"/>
      <c r="AA771" s="1400"/>
      <c r="AB771" s="1401"/>
      <c r="AC771" s="1399"/>
      <c r="AD771" s="1400"/>
      <c r="AE771" s="1400"/>
      <c r="AF771" s="1400"/>
      <c r="AG771" s="1401"/>
      <c r="AH771" s="1720"/>
      <c r="AI771" s="1721"/>
      <c r="AJ771" s="1721"/>
      <c r="AK771" s="1721"/>
      <c r="AL771" s="1721"/>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0:110" ht="12.95" customHeight="1">
      <c r="J772" s="1383"/>
      <c r="K772" s="1384"/>
      <c r="L772" s="1384"/>
      <c r="M772" s="1384"/>
      <c r="N772" s="1385"/>
      <c r="O772" s="1623"/>
      <c r="P772" s="1623"/>
      <c r="Q772" s="1623"/>
      <c r="R772" s="1623"/>
      <c r="S772" s="1623"/>
      <c r="T772" s="1567"/>
      <c r="U772" s="1568"/>
      <c r="V772" s="1568"/>
      <c r="W772" s="1569"/>
      <c r="X772" s="1564"/>
      <c r="Y772" s="1565"/>
      <c r="Z772" s="1565"/>
      <c r="AA772" s="1565"/>
      <c r="AB772" s="1566"/>
      <c r="AC772" s="1390">
        <f t="shared" ref="AC772:AC781" si="51">X772*O772</f>
        <v>0</v>
      </c>
      <c r="AD772" s="1391"/>
      <c r="AE772" s="1391"/>
      <c r="AF772" s="1391"/>
      <c r="AG772" s="1392"/>
      <c r="AH772" s="1624"/>
      <c r="AI772" s="1625"/>
      <c r="AJ772" s="1625"/>
      <c r="AK772" s="1625"/>
      <c r="AL772" s="162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row>
    <row r="773" spans="10:110" ht="12.95" customHeight="1">
      <c r="J773" s="1383"/>
      <c r="K773" s="1384"/>
      <c r="L773" s="1384"/>
      <c r="M773" s="1384"/>
      <c r="N773" s="1385"/>
      <c r="O773" s="1623"/>
      <c r="P773" s="1623"/>
      <c r="Q773" s="1623"/>
      <c r="R773" s="1623"/>
      <c r="S773" s="1623"/>
      <c r="T773" s="1567"/>
      <c r="U773" s="1568"/>
      <c r="V773" s="1568"/>
      <c r="W773" s="1569"/>
      <c r="X773" s="1564"/>
      <c r="Y773" s="1565"/>
      <c r="Z773" s="1565"/>
      <c r="AA773" s="1565"/>
      <c r="AB773" s="1566"/>
      <c r="AC773" s="1390">
        <f t="shared" si="51"/>
        <v>0</v>
      </c>
      <c r="AD773" s="1391"/>
      <c r="AE773" s="1391"/>
      <c r="AF773" s="1391"/>
      <c r="AG773" s="1392"/>
      <c r="AH773" s="1624"/>
      <c r="AI773" s="1625"/>
      <c r="AJ773" s="1625"/>
      <c r="AK773" s="1625"/>
      <c r="AL773" s="1625"/>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row>
    <row r="774" spans="10:110" ht="12.95" customHeight="1">
      <c r="J774" s="1383"/>
      <c r="K774" s="1384"/>
      <c r="L774" s="1384"/>
      <c r="M774" s="1384"/>
      <c r="N774" s="1385"/>
      <c r="O774" s="1623"/>
      <c r="P774" s="1623"/>
      <c r="Q774" s="1623"/>
      <c r="R774" s="1623"/>
      <c r="S774" s="1623"/>
      <c r="T774" s="1567"/>
      <c r="U774" s="1568"/>
      <c r="V774" s="1568"/>
      <c r="W774" s="1569"/>
      <c r="X774" s="1564"/>
      <c r="Y774" s="1565"/>
      <c r="Z774" s="1565"/>
      <c r="AA774" s="1565"/>
      <c r="AB774" s="1566"/>
      <c r="AC774" s="1390">
        <f t="shared" si="51"/>
        <v>0</v>
      </c>
      <c r="AD774" s="1391"/>
      <c r="AE774" s="1391"/>
      <c r="AF774" s="1391"/>
      <c r="AG774" s="1392"/>
      <c r="AH774" s="1624"/>
      <c r="AI774" s="1625"/>
      <c r="AJ774" s="1625"/>
      <c r="AK774" s="1625"/>
      <c r="AL774" s="1625"/>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row>
    <row r="775" spans="10:110" ht="12.95" customHeight="1">
      <c r="J775" s="1383"/>
      <c r="K775" s="1384"/>
      <c r="L775" s="1384"/>
      <c r="M775" s="1384"/>
      <c r="N775" s="1385"/>
      <c r="O775" s="1623"/>
      <c r="P775" s="1623"/>
      <c r="Q775" s="1623"/>
      <c r="R775" s="1623"/>
      <c r="S775" s="1623"/>
      <c r="T775" s="1567"/>
      <c r="U775" s="1568"/>
      <c r="V775" s="1568"/>
      <c r="W775" s="1569"/>
      <c r="X775" s="1564"/>
      <c r="Y775" s="1565"/>
      <c r="Z775" s="1565"/>
      <c r="AA775" s="1565"/>
      <c r="AB775" s="1566"/>
      <c r="AC775" s="1390">
        <f t="shared" si="51"/>
        <v>0</v>
      </c>
      <c r="AD775" s="1391"/>
      <c r="AE775" s="1391"/>
      <c r="AF775" s="1391"/>
      <c r="AG775" s="1392"/>
      <c r="AH775" s="1624"/>
      <c r="AI775" s="1625"/>
      <c r="AJ775" s="1625"/>
      <c r="AK775" s="1625"/>
      <c r="AL775" s="1625"/>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0:110" ht="12.95" customHeight="1">
      <c r="J776" s="1383"/>
      <c r="K776" s="1384"/>
      <c r="L776" s="1384"/>
      <c r="M776" s="1384"/>
      <c r="N776" s="1385"/>
      <c r="O776" s="1623"/>
      <c r="P776" s="1623"/>
      <c r="Q776" s="1623"/>
      <c r="R776" s="1623"/>
      <c r="S776" s="1623"/>
      <c r="T776" s="1567"/>
      <c r="U776" s="1568"/>
      <c r="V776" s="1568"/>
      <c r="W776" s="1569"/>
      <c r="X776" s="1564"/>
      <c r="Y776" s="1565"/>
      <c r="Z776" s="1565"/>
      <c r="AA776" s="1565"/>
      <c r="AB776" s="1566"/>
      <c r="AC776" s="1390">
        <f t="shared" si="51"/>
        <v>0</v>
      </c>
      <c r="AD776" s="1391"/>
      <c r="AE776" s="1391"/>
      <c r="AF776" s="1391"/>
      <c r="AG776" s="1392"/>
      <c r="AH776" s="1624"/>
      <c r="AI776" s="1625"/>
      <c r="AJ776" s="1625"/>
      <c r="AK776" s="1625"/>
      <c r="AL776" s="1625"/>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0:110" ht="12.95" customHeight="1">
      <c r="J777" s="1383"/>
      <c r="K777" s="1384"/>
      <c r="L777" s="1384"/>
      <c r="M777" s="1384"/>
      <c r="N777" s="1385"/>
      <c r="O777" s="1623"/>
      <c r="P777" s="1623"/>
      <c r="Q777" s="1623"/>
      <c r="R777" s="1623"/>
      <c r="S777" s="1623"/>
      <c r="T777" s="1567"/>
      <c r="U777" s="1568"/>
      <c r="V777" s="1568"/>
      <c r="W777" s="1569"/>
      <c r="X777" s="1564"/>
      <c r="Y777" s="1565"/>
      <c r="Z777" s="1565"/>
      <c r="AA777" s="1565"/>
      <c r="AB777" s="1566"/>
      <c r="AC777" s="1390">
        <f t="shared" si="51"/>
        <v>0</v>
      </c>
      <c r="AD777" s="1391"/>
      <c r="AE777" s="1391"/>
      <c r="AF777" s="1391"/>
      <c r="AG777" s="1392"/>
      <c r="AH777" s="1624"/>
      <c r="AI777" s="1625"/>
      <c r="AJ777" s="1625"/>
      <c r="AK777" s="1625"/>
      <c r="AL777" s="1625"/>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0:110" ht="12.95" customHeight="1">
      <c r="J778" s="1383"/>
      <c r="K778" s="1384"/>
      <c r="L778" s="1384"/>
      <c r="M778" s="1384"/>
      <c r="N778" s="1385"/>
      <c r="O778" s="1623"/>
      <c r="P778" s="1623"/>
      <c r="Q778" s="1623"/>
      <c r="R778" s="1623"/>
      <c r="S778" s="1623"/>
      <c r="T778" s="1567"/>
      <c r="U778" s="1568"/>
      <c r="V778" s="1568"/>
      <c r="W778" s="1569"/>
      <c r="X778" s="1564"/>
      <c r="Y778" s="1565"/>
      <c r="Z778" s="1565"/>
      <c r="AA778" s="1565"/>
      <c r="AB778" s="1566"/>
      <c r="AC778" s="1390">
        <f t="shared" si="51"/>
        <v>0</v>
      </c>
      <c r="AD778" s="1391"/>
      <c r="AE778" s="1391"/>
      <c r="AF778" s="1391"/>
      <c r="AG778" s="1392"/>
      <c r="AH778" s="1624"/>
      <c r="AI778" s="1625"/>
      <c r="AJ778" s="1625"/>
      <c r="AK778" s="1625"/>
      <c r="AL778" s="1625"/>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0:110" ht="12.95" customHeight="1">
      <c r="J779" s="1383"/>
      <c r="K779" s="1384"/>
      <c r="L779" s="1384"/>
      <c r="M779" s="1384"/>
      <c r="N779" s="1385"/>
      <c r="O779" s="1623"/>
      <c r="P779" s="1623"/>
      <c r="Q779" s="1623"/>
      <c r="R779" s="1623"/>
      <c r="S779" s="1623"/>
      <c r="T779" s="1567"/>
      <c r="U779" s="1568"/>
      <c r="V779" s="1568"/>
      <c r="W779" s="1569"/>
      <c r="X779" s="1564"/>
      <c r="Y779" s="1565"/>
      <c r="Z779" s="1565"/>
      <c r="AA779" s="1565"/>
      <c r="AB779" s="1566"/>
      <c r="AC779" s="1390">
        <f t="shared" si="51"/>
        <v>0</v>
      </c>
      <c r="AD779" s="1391"/>
      <c r="AE779" s="1391"/>
      <c r="AF779" s="1391"/>
      <c r="AG779" s="1392"/>
      <c r="AH779" s="1624"/>
      <c r="AI779" s="1625"/>
      <c r="AJ779" s="1625"/>
      <c r="AK779" s="1625"/>
      <c r="AL779" s="1625"/>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0:110" ht="12.95" customHeight="1">
      <c r="J780" s="1383"/>
      <c r="K780" s="1384"/>
      <c r="L780" s="1384"/>
      <c r="M780" s="1384"/>
      <c r="N780" s="1385"/>
      <c r="O780" s="1623"/>
      <c r="P780" s="1623"/>
      <c r="Q780" s="1623"/>
      <c r="R780" s="1623"/>
      <c r="S780" s="1623"/>
      <c r="T780" s="1567"/>
      <c r="U780" s="1568"/>
      <c r="V780" s="1568"/>
      <c r="W780" s="1569"/>
      <c r="X780" s="1564"/>
      <c r="Y780" s="1565"/>
      <c r="Z780" s="1565"/>
      <c r="AA780" s="1565"/>
      <c r="AB780" s="1566"/>
      <c r="AC780" s="1390">
        <f t="shared" si="51"/>
        <v>0</v>
      </c>
      <c r="AD780" s="1391"/>
      <c r="AE780" s="1391"/>
      <c r="AF780" s="1391"/>
      <c r="AG780" s="1392"/>
      <c r="AH780" s="1624"/>
      <c r="AI780" s="1625"/>
      <c r="AJ780" s="1625"/>
      <c r="AK780" s="1625"/>
      <c r="AL780" s="1625"/>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0:110" ht="12.95" customHeight="1">
      <c r="J781" s="1383"/>
      <c r="K781" s="1384"/>
      <c r="L781" s="1384"/>
      <c r="M781" s="1384"/>
      <c r="N781" s="1385"/>
      <c r="O781" s="1623"/>
      <c r="P781" s="1623"/>
      <c r="Q781" s="1623"/>
      <c r="R781" s="1623"/>
      <c r="S781" s="1623"/>
      <c r="T781" s="1567"/>
      <c r="U781" s="1568"/>
      <c r="V781" s="1568"/>
      <c r="W781" s="1569"/>
      <c r="X781" s="1564"/>
      <c r="Y781" s="1565"/>
      <c r="Z781" s="1565"/>
      <c r="AA781" s="1565"/>
      <c r="AB781" s="1566"/>
      <c r="AC781" s="1390">
        <f t="shared" si="51"/>
        <v>0</v>
      </c>
      <c r="AD781" s="1391"/>
      <c r="AE781" s="1391"/>
      <c r="AF781" s="1391"/>
      <c r="AG781" s="1392"/>
      <c r="AH781" s="1624"/>
      <c r="AI781" s="1625"/>
      <c r="AJ781" s="1625"/>
      <c r="AK781" s="1625"/>
      <c r="AL781" s="1625"/>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0:110" ht="12.95" customHeight="1">
      <c r="J782" s="1577" t="s">
        <v>126</v>
      </c>
      <c r="K782" s="1578"/>
      <c r="L782" s="1578"/>
      <c r="M782" s="1578"/>
      <c r="N782" s="1579"/>
      <c r="O782" s="1407">
        <f>SUM(O772:S781)</f>
        <v>0</v>
      </c>
      <c r="P782" s="1407"/>
      <c r="Q782" s="1407"/>
      <c r="R782" s="1407"/>
      <c r="S782" s="1407"/>
      <c r="X782" s="939" t="s">
        <v>125</v>
      </c>
      <c r="Y782" s="11"/>
      <c r="Z782" s="11"/>
      <c r="AA782" s="11"/>
      <c r="AB782" s="946"/>
      <c r="AC782" s="1390">
        <f>SUM(AC772:AG781)</f>
        <v>0</v>
      </c>
      <c r="AD782" s="1391"/>
      <c r="AE782" s="1391"/>
      <c r="AF782" s="1391"/>
      <c r="AG782" s="1392"/>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0:110" ht="12.95" customHeight="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0:110" ht="12.95" customHeight="1">
      <c r="J784" s="45"/>
      <c r="K784" s="5"/>
      <c r="L784" s="5"/>
      <c r="M784" s="5"/>
      <c r="N784" s="5"/>
      <c r="O784" s="5"/>
      <c r="P784" s="5"/>
      <c r="Q784" s="5"/>
      <c r="R784" s="5"/>
      <c r="S784" s="5"/>
      <c r="T784" s="5"/>
      <c r="U784" s="5"/>
      <c r="V784" s="5"/>
      <c r="W784" s="5"/>
      <c r="X784" s="54" t="s">
        <v>162</v>
      </c>
      <c r="Y784" s="1670">
        <f>O739+AC762+AC782</f>
        <v>215481</v>
      </c>
      <c r="Z784" s="1670"/>
      <c r="AA784" s="1670"/>
      <c r="AB784" s="1670"/>
      <c r="AC784" s="16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10" ht="12.95" customHeight="1">
      <c r="J785" s="47"/>
      <c r="K785" s="48"/>
      <c r="L785" s="48"/>
      <c r="M785" s="48"/>
      <c r="N785" s="48"/>
      <c r="O785" s="48"/>
      <c r="P785" s="48"/>
      <c r="Q785" s="48"/>
      <c r="R785" s="48"/>
      <c r="S785" s="48"/>
      <c r="T785" s="48"/>
      <c r="U785" s="48"/>
      <c r="V785" s="48"/>
      <c r="W785" s="48"/>
      <c r="X785" s="94" t="s">
        <v>163</v>
      </c>
      <c r="Y785" s="1670">
        <f>(O739+AC762+AC782)*12</f>
        <v>2585772</v>
      </c>
      <c r="Z785" s="1670"/>
      <c r="AA785" s="1670"/>
      <c r="AB785" s="1670"/>
      <c r="AC785" s="1670"/>
      <c r="AZ785" s="3"/>
      <c r="BA785" s="14" t="s">
        <v>641</v>
      </c>
      <c r="BB785" s="14"/>
      <c r="BC785" s="14"/>
      <c r="BD785" s="14"/>
      <c r="BE785" s="14"/>
      <c r="BF785" s="14"/>
      <c r="BG785" s="14"/>
      <c r="BH785" s="14"/>
      <c r="BI785" s="14"/>
      <c r="BJ785" s="14"/>
      <c r="BK785" s="14"/>
      <c r="BL785" s="14"/>
      <c r="BM785" s="14"/>
      <c r="BN785" s="1667" t="s">
        <v>478</v>
      </c>
      <c r="BO785" s="1668"/>
      <c r="BP785" s="3"/>
      <c r="BQ785" s="3"/>
      <c r="BR785" s="3"/>
      <c r="BS785" s="14" t="s">
        <v>643</v>
      </c>
      <c r="BT785" s="14"/>
      <c r="BU785" s="14"/>
      <c r="BV785" s="14"/>
      <c r="BW785" s="14"/>
      <c r="BX785" s="14"/>
      <c r="BY785" s="14"/>
      <c r="BZ785" s="14"/>
      <c r="CA785" s="14"/>
      <c r="CB785" s="1664" t="str">
        <f>T189</f>
        <v>Placer</v>
      </c>
      <c r="CC785" s="1665"/>
      <c r="CD785" s="1665"/>
      <c r="CE785" s="1665"/>
      <c r="CF785" s="1665"/>
      <c r="CG785" s="1665"/>
      <c r="CH785" s="1666"/>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10" ht="12.95" customHeight="1">
      <c r="B786" s="2"/>
      <c r="X786" s="12"/>
      <c r="Y786" s="12"/>
      <c r="Z786" s="12"/>
      <c r="AA786" s="12"/>
      <c r="AB786" s="12"/>
      <c r="AC786" s="12"/>
      <c r="AD786" s="12"/>
      <c r="AZ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10" s="14" customFormat="1" ht="12.95" customHeight="1">
      <c r="A787" s="2" t="s">
        <v>598</v>
      </c>
      <c r="B787" s="2"/>
      <c r="C787" s="2" t="s">
        <v>621</v>
      </c>
      <c r="D787"/>
      <c r="E787"/>
      <c r="F787"/>
      <c r="G787"/>
      <c r="H787"/>
      <c r="I787"/>
      <c r="J787"/>
      <c r="K787"/>
      <c r="L787"/>
      <c r="M787"/>
      <c r="N787"/>
      <c r="O787"/>
      <c r="P787"/>
      <c r="Q787"/>
      <c r="R787"/>
      <c r="S787"/>
      <c r="T787"/>
      <c r="U787"/>
      <c r="V787"/>
      <c r="W787"/>
      <c r="X787" s="12"/>
      <c r="Y787" s="12"/>
      <c r="Z787" s="12"/>
      <c r="AA787" s="12"/>
      <c r="AB787" s="12"/>
      <c r="AC787" s="12"/>
      <c r="AD787" s="12"/>
      <c r="AE787"/>
      <c r="AF787"/>
      <c r="AG787"/>
      <c r="AH787"/>
      <c r="AI787"/>
      <c r="AJ787"/>
      <c r="AK787"/>
      <c r="AL787"/>
      <c r="AM787"/>
      <c r="AN787"/>
      <c r="AO787"/>
      <c r="AP787"/>
      <c r="AQ787"/>
      <c r="AR787"/>
      <c r="AS787"/>
      <c r="AT787"/>
      <c r="AU787"/>
      <c r="AV787"/>
      <c r="AW787"/>
      <c r="AX787"/>
      <c r="AY787"/>
      <c r="AZ787" s="30"/>
      <c r="BA787" s="30"/>
      <c r="BN787" s="69" t="s">
        <v>478</v>
      </c>
      <c r="BP787" s="32"/>
      <c r="BQ787" s="32"/>
      <c r="BR787" s="32"/>
      <c r="BS787" s="32"/>
      <c r="BT787" s="32"/>
    </row>
    <row r="788" spans="1:110" s="14" customFormat="1" ht="12.95" customHeight="1">
      <c r="A788" s="2"/>
      <c r="B788" s="2"/>
      <c r="C788" s="2" t="s">
        <v>953</v>
      </c>
      <c r="D788"/>
      <c r="E788"/>
      <c r="F788"/>
      <c r="G788"/>
      <c r="H788"/>
      <c r="I788"/>
      <c r="J788"/>
      <c r="K788"/>
      <c r="L788"/>
      <c r="M788"/>
      <c r="N788"/>
      <c r="O788"/>
      <c r="P788"/>
      <c r="Q788"/>
      <c r="R788"/>
      <c r="S788"/>
      <c r="T788"/>
      <c r="U788"/>
      <c r="V788"/>
      <c r="W788"/>
      <c r="X788" s="12"/>
      <c r="Y788" s="12"/>
      <c r="Z788" s="12"/>
      <c r="AA788" s="12"/>
      <c r="AB788" s="12"/>
      <c r="AC788" s="12"/>
      <c r="AD788" s="12"/>
      <c r="AE788"/>
      <c r="AF788"/>
      <c r="AG788"/>
      <c r="AH788"/>
      <c r="AI788"/>
      <c r="AJ788"/>
      <c r="AK788"/>
      <c r="AL788"/>
      <c r="AM788"/>
      <c r="AN788"/>
      <c r="AO788"/>
      <c r="AP788"/>
      <c r="AQ788"/>
      <c r="AR788"/>
      <c r="AS788"/>
      <c r="AT788"/>
      <c r="AU788"/>
      <c r="AV788"/>
      <c r="AW788"/>
      <c r="AX788"/>
      <c r="AY788"/>
      <c r="AZ788" s="30"/>
      <c r="BA788" s="30"/>
      <c r="BN788" s="69" t="s">
        <v>477</v>
      </c>
      <c r="BO788" s="31" t="s">
        <v>2618</v>
      </c>
      <c r="BP788" s="32"/>
      <c r="BQ788" s="32"/>
      <c r="BR788" s="32"/>
      <c r="BS788" s="32"/>
      <c r="BT788" s="32"/>
      <c r="BV788" s="31" t="s">
        <v>2619</v>
      </c>
      <c r="CB788" s="70"/>
      <c r="CC788" s="70"/>
      <c r="CD788" s="70"/>
      <c r="CE788" s="70"/>
      <c r="CF788" s="70"/>
      <c r="CG788" s="70"/>
      <c r="CH788" s="70"/>
      <c r="CI788" s="70"/>
      <c r="CJ788" s="70"/>
      <c r="CK788" s="70"/>
      <c r="CL788" s="70"/>
      <c r="CM788" s="70"/>
      <c r="CN788" s="70"/>
      <c r="CO788" s="70"/>
      <c r="CP788" s="70"/>
      <c r="CQ788" s="70"/>
      <c r="CR788" s="70"/>
      <c r="CS788" s="70"/>
      <c r="CT788" s="70"/>
      <c r="CU788" s="70"/>
      <c r="CV788" s="70"/>
      <c r="CW788" s="70"/>
      <c r="CX788" s="70"/>
      <c r="CY788" s="70"/>
      <c r="CZ788" s="70"/>
      <c r="DA788" s="70"/>
      <c r="DB788" s="70"/>
      <c r="DC788" s="70"/>
      <c r="DD788" s="70"/>
      <c r="DE788" s="70"/>
      <c r="DF788" s="70"/>
    </row>
    <row r="789" spans="1:110" s="14" customFormat="1" ht="12.95" customHeight="1">
      <c r="A789"/>
      <c r="B789" s="2"/>
      <c r="C789"/>
      <c r="D789"/>
      <c r="E789"/>
      <c r="F789"/>
      <c r="G789"/>
      <c r="H789"/>
      <c r="I789"/>
      <c r="J789"/>
      <c r="K789"/>
      <c r="L789"/>
      <c r="M789"/>
      <c r="N789"/>
      <c r="O789"/>
      <c r="P789"/>
      <c r="Q789"/>
      <c r="R789"/>
      <c r="S789"/>
      <c r="T789"/>
      <c r="U789"/>
      <c r="V789"/>
      <c r="W789"/>
      <c r="X789" s="12"/>
      <c r="Y789" s="12"/>
      <c r="Z789" s="12"/>
      <c r="AA789" s="12"/>
      <c r="AB789" s="12"/>
      <c r="AC789" s="12"/>
      <c r="AD789" s="12"/>
      <c r="AE789"/>
      <c r="AF789"/>
      <c r="AG789"/>
      <c r="AH789"/>
      <c r="AI789"/>
      <c r="AJ789"/>
      <c r="AK789"/>
      <c r="AL789"/>
      <c r="AM789"/>
      <c r="AN789"/>
      <c r="AO789"/>
      <c r="AP789"/>
      <c r="AQ789"/>
      <c r="AR789"/>
      <c r="AS789"/>
      <c r="AT789"/>
      <c r="AU789"/>
      <c r="AV789"/>
      <c r="AW789"/>
      <c r="AX789"/>
      <c r="AY789"/>
      <c r="AZ789" s="30"/>
      <c r="BA789" s="30"/>
      <c r="BN789" s="69"/>
      <c r="BO789" s="31"/>
      <c r="BP789" s="32"/>
      <c r="BQ789" s="32"/>
      <c r="BR789" s="32"/>
      <c r="BS789" s="32"/>
      <c r="BT789" s="32"/>
      <c r="BV789" s="31"/>
      <c r="CB789" s="70"/>
      <c r="CC789" s="70"/>
      <c r="CD789" s="70"/>
      <c r="CE789" s="70"/>
      <c r="CF789" s="70"/>
      <c r="CG789" s="70"/>
      <c r="CH789" s="70"/>
      <c r="CI789" s="70"/>
      <c r="CJ789" s="70"/>
      <c r="CK789" s="70"/>
      <c r="CL789" s="70"/>
      <c r="CM789" s="70"/>
      <c r="CN789" s="70"/>
      <c r="CO789" s="70"/>
      <c r="CP789" s="70"/>
      <c r="CQ789" s="70"/>
      <c r="CR789" s="70"/>
      <c r="CS789" s="70"/>
      <c r="CT789" s="70"/>
      <c r="CU789" s="70"/>
      <c r="CV789" s="70"/>
      <c r="CW789" s="70"/>
      <c r="CX789" s="70"/>
      <c r="CY789" s="70"/>
      <c r="CZ789" s="70"/>
      <c r="DA789" s="70"/>
      <c r="DB789" s="70"/>
      <c r="DC789" s="70"/>
      <c r="DD789" s="70"/>
      <c r="DE789" s="70"/>
      <c r="DF789" s="70"/>
    </row>
    <row r="790" spans="1:110" s="14" customFormat="1" ht="12.95" customHeight="1">
      <c r="A790"/>
      <c r="B790"/>
      <c r="C790"/>
      <c r="D790"/>
      <c r="E790"/>
      <c r="F790"/>
      <c r="G790"/>
      <c r="H790" s="45" t="s">
        <v>358</v>
      </c>
      <c r="I790" s="5"/>
      <c r="J790" s="5"/>
      <c r="K790" s="5"/>
      <c r="L790" s="5"/>
      <c r="M790" s="5"/>
      <c r="N790" s="5"/>
      <c r="O790" s="5"/>
      <c r="P790" s="5"/>
      <c r="Q790" s="5"/>
      <c r="R790" s="5"/>
      <c r="S790" s="5"/>
      <c r="T790" s="5"/>
      <c r="U790" s="5"/>
      <c r="V790" s="5"/>
      <c r="W790" s="5"/>
      <c r="X790" s="5"/>
      <c r="Y790" s="5"/>
      <c r="Z790" s="1584">
        <v>8</v>
      </c>
      <c r="AA790" s="1585"/>
      <c r="AB790" s="1585"/>
      <c r="AC790" s="1585"/>
      <c r="AD790" s="1585"/>
      <c r="AE790" s="1586"/>
      <c r="AF790"/>
      <c r="AG790"/>
      <c r="AH790"/>
      <c r="AI790"/>
      <c r="AJ790"/>
      <c r="AK790"/>
      <c r="AL790"/>
      <c r="AM790"/>
      <c r="AN790"/>
      <c r="AO790"/>
      <c r="AP790"/>
      <c r="AQ790"/>
      <c r="AR790"/>
      <c r="AS790"/>
      <c r="AT790"/>
      <c r="AU790"/>
      <c r="AV790"/>
      <c r="AW790"/>
      <c r="AX790"/>
      <c r="AY790"/>
      <c r="BN790" s="69" t="s">
        <v>478</v>
      </c>
      <c r="BO790" s="31"/>
      <c r="BP790" s="32"/>
      <c r="BQ790" s="32"/>
      <c r="BR790" s="32"/>
      <c r="BS790" s="32"/>
      <c r="BT790" s="32"/>
      <c r="BV790" s="31"/>
      <c r="CB790" s="70"/>
      <c r="CC790" s="70"/>
      <c r="CD790" s="70"/>
      <c r="CE790" s="70"/>
      <c r="CF790" s="70"/>
      <c r="CG790" s="70"/>
      <c r="CH790" s="70"/>
      <c r="CI790" s="70"/>
      <c r="CJ790" s="70"/>
      <c r="CK790" s="70"/>
      <c r="CL790" s="70"/>
      <c r="CM790" s="70"/>
      <c r="CN790" s="70"/>
      <c r="CO790" s="70"/>
      <c r="CP790" s="70"/>
      <c r="CQ790" s="70"/>
      <c r="CR790" s="70"/>
      <c r="CS790" s="70"/>
      <c r="CT790" s="70"/>
      <c r="CU790" s="70"/>
      <c r="CV790" s="70"/>
      <c r="CW790" s="70"/>
      <c r="CX790" s="70"/>
      <c r="CY790" s="70"/>
      <c r="CZ790" s="70"/>
      <c r="DA790" s="70"/>
      <c r="DB790" s="70"/>
      <c r="DC790" s="70"/>
      <c r="DD790" s="70"/>
      <c r="DE790" s="70"/>
      <c r="DF790" s="70"/>
    </row>
    <row r="791" spans="1:110" s="14" customFormat="1" ht="12.95" customHeight="1">
      <c r="A791"/>
      <c r="B791"/>
      <c r="C791"/>
      <c r="D791"/>
      <c r="E791"/>
      <c r="F791"/>
      <c r="G791"/>
      <c r="H791" s="45" t="s">
        <v>359</v>
      </c>
      <c r="I791" s="5"/>
      <c r="J791" s="5"/>
      <c r="K791" s="5"/>
      <c r="L791" s="5"/>
      <c r="M791" s="5"/>
      <c r="N791" s="5"/>
      <c r="O791" s="5"/>
      <c r="P791" s="5"/>
      <c r="Q791" s="5"/>
      <c r="R791" s="5"/>
      <c r="S791" s="5"/>
      <c r="T791" s="5"/>
      <c r="U791" s="5"/>
      <c r="V791" s="5"/>
      <c r="W791" s="5"/>
      <c r="X791" s="5"/>
      <c r="Y791" s="5"/>
      <c r="Z791" s="1716">
        <v>20</v>
      </c>
      <c r="AA791" s="1585"/>
      <c r="AB791" s="1585"/>
      <c r="AC791" s="1585"/>
      <c r="AD791" s="1585"/>
      <c r="AE791" s="1586"/>
      <c r="AF791"/>
      <c r="AG791"/>
      <c r="AH791"/>
      <c r="AI791"/>
      <c r="AJ791"/>
      <c r="AK791"/>
      <c r="AL791"/>
      <c r="AM791"/>
      <c r="AN791"/>
      <c r="AO791"/>
      <c r="AP791"/>
      <c r="AQ791"/>
      <c r="AR791"/>
      <c r="AS791"/>
      <c r="AT791"/>
      <c r="AU791"/>
      <c r="AV791"/>
      <c r="AW791"/>
      <c r="AX791"/>
      <c r="AY791"/>
      <c r="BN791" s="69"/>
      <c r="BO791" s="31"/>
      <c r="BP791" s="32"/>
      <c r="BQ791" s="32"/>
      <c r="BR791" s="32"/>
      <c r="BS791" s="32"/>
      <c r="BT791" s="32"/>
      <c r="BV791" s="31"/>
      <c r="CB791" s="70"/>
      <c r="CC791" s="70"/>
      <c r="CD791" s="70"/>
      <c r="CE791" s="70"/>
      <c r="CF791" s="70"/>
      <c r="CG791" s="70"/>
      <c r="CH791" s="70"/>
      <c r="CI791" s="70"/>
      <c r="CJ791" s="70"/>
      <c r="CK791" s="70"/>
      <c r="CL791" s="70"/>
      <c r="CM791" s="70"/>
      <c r="CN791" s="70"/>
      <c r="CO791" s="70"/>
      <c r="CP791" s="70"/>
      <c r="CQ791" s="70"/>
      <c r="CR791" s="70"/>
      <c r="CS791" s="70"/>
      <c r="CT791" s="70"/>
      <c r="CU791" s="70"/>
      <c r="CV791" s="70"/>
      <c r="CW791" s="70"/>
      <c r="CX791" s="70"/>
      <c r="CY791" s="70"/>
      <c r="CZ791" s="70"/>
      <c r="DA791" s="70"/>
      <c r="DB791" s="70"/>
      <c r="DC791" s="70"/>
      <c r="DD791" s="70"/>
      <c r="DE791" s="70"/>
      <c r="DF791" s="70"/>
    </row>
    <row r="792" spans="1:110" s="14" customFormat="1" ht="12.95" customHeight="1">
      <c r="A792"/>
      <c r="B792"/>
      <c r="C792"/>
      <c r="D792"/>
      <c r="E792"/>
      <c r="F792"/>
      <c r="G792"/>
      <c r="H792" s="45" t="s">
        <v>35</v>
      </c>
      <c r="I792" s="5"/>
      <c r="J792" s="5"/>
      <c r="K792" s="5"/>
      <c r="L792" s="5"/>
      <c r="M792" s="5"/>
      <c r="N792" s="5"/>
      <c r="O792" s="5"/>
      <c r="P792" s="5"/>
      <c r="Q792" s="5"/>
      <c r="R792" s="5"/>
      <c r="S792" s="5"/>
      <c r="T792" s="5"/>
      <c r="U792" s="5"/>
      <c r="V792" s="5"/>
      <c r="W792" s="5"/>
      <c r="X792" s="5"/>
      <c r="Y792" s="5"/>
      <c r="Z792" s="1722">
        <v>50540</v>
      </c>
      <c r="AA792" s="1673"/>
      <c r="AB792" s="1673"/>
      <c r="AC792" s="1673"/>
      <c r="AD792" s="1673"/>
      <c r="AE792" s="1674"/>
      <c r="AF792"/>
      <c r="AG792"/>
      <c r="AH792"/>
      <c r="AI792"/>
      <c r="AJ792"/>
      <c r="AK792"/>
      <c r="AL792"/>
      <c r="AM792"/>
      <c r="AN792"/>
      <c r="AO792"/>
      <c r="AP792"/>
      <c r="AQ792"/>
      <c r="AR792"/>
      <c r="AS792"/>
      <c r="AT792"/>
      <c r="AU792"/>
      <c r="AV792"/>
      <c r="AW792"/>
      <c r="AX792"/>
      <c r="AY792"/>
      <c r="BP792" s="32"/>
      <c r="BQ792" s="32"/>
      <c r="BR792" s="32"/>
      <c r="BS792" s="32"/>
      <c r="BT792" s="32"/>
      <c r="CB792" s="70"/>
      <c r="CC792" s="70"/>
      <c r="CD792" s="70"/>
      <c r="CE792" s="70"/>
      <c r="CF792" s="70"/>
      <c r="CG792" s="70"/>
      <c r="CH792" s="70"/>
      <c r="CI792" s="70"/>
      <c r="CJ792" s="70"/>
      <c r="CK792" s="70"/>
      <c r="CL792" s="70"/>
      <c r="CM792" s="70"/>
      <c r="CN792" s="70"/>
      <c r="CO792" s="70"/>
      <c r="CP792" s="70"/>
      <c r="CQ792" s="70"/>
      <c r="CR792" s="70"/>
      <c r="CS792" s="70"/>
      <c r="CT792" s="70"/>
      <c r="CU792" s="70"/>
      <c r="CV792" s="70"/>
      <c r="CW792" s="70"/>
      <c r="CX792" s="70"/>
      <c r="CY792" s="70"/>
      <c r="CZ792" s="70"/>
      <c r="DA792" s="70"/>
      <c r="DB792" s="70"/>
      <c r="DC792" s="70"/>
      <c r="DD792" s="70"/>
      <c r="DE792" s="70"/>
      <c r="DF792" s="70"/>
    </row>
    <row r="793" spans="1:110" s="14" customFormat="1" ht="12.95" customHeight="1">
      <c r="A793"/>
      <c r="B793"/>
      <c r="C793"/>
      <c r="D793"/>
      <c r="E793"/>
      <c r="F793"/>
      <c r="G793"/>
      <c r="H793" s="45"/>
      <c r="I793" s="5"/>
      <c r="J793" s="5"/>
      <c r="K793" s="5"/>
      <c r="L793" s="5"/>
      <c r="M793" s="5"/>
      <c r="N793" s="5"/>
      <c r="O793" s="5"/>
      <c r="P793" s="5"/>
      <c r="Q793" s="5"/>
      <c r="R793" s="5"/>
      <c r="S793" s="5"/>
      <c r="T793" s="5"/>
      <c r="U793" s="5"/>
      <c r="V793" s="5"/>
      <c r="W793" s="5"/>
      <c r="X793" s="5"/>
      <c r="Y793" s="53" t="s">
        <v>160</v>
      </c>
      <c r="Z793" s="1587">
        <f>'Subsidy Contract Calculation'!J30</f>
        <v>166860</v>
      </c>
      <c r="AA793" s="1588"/>
      <c r="AB793" s="1588"/>
      <c r="AC793" s="1588"/>
      <c r="AD793" s="1588"/>
      <c r="AE793" s="1589"/>
      <c r="AF793"/>
      <c r="AG793"/>
      <c r="AH793"/>
      <c r="AI793"/>
      <c r="AJ793"/>
      <c r="AK793"/>
      <c r="AL793"/>
      <c r="AM793"/>
      <c r="AN793"/>
      <c r="AO793"/>
      <c r="AP793"/>
      <c r="AQ793"/>
      <c r="AR793"/>
      <c r="AS793"/>
      <c r="AT793"/>
      <c r="AU793"/>
      <c r="AV793"/>
      <c r="AW793"/>
      <c r="AX793"/>
      <c r="AY793"/>
      <c r="BP793" s="32"/>
      <c r="BQ793" s="32"/>
      <c r="BR793" s="32"/>
      <c r="BS793" s="32"/>
      <c r="BT793" s="32"/>
      <c r="CB793" s="70"/>
      <c r="CC793" s="70"/>
      <c r="CD793" s="70"/>
      <c r="CE793" s="70"/>
      <c r="CF793" s="70"/>
      <c r="CG793" s="70"/>
      <c r="CH793" s="70"/>
      <c r="CI793" s="70"/>
      <c r="CJ793" s="70"/>
      <c r="CK793" s="70"/>
      <c r="CL793" s="70"/>
      <c r="CM793" s="70"/>
      <c r="CN793" s="70"/>
      <c r="CO793" s="70"/>
      <c r="CP793" s="70"/>
      <c r="CQ793" s="70"/>
      <c r="CR793" s="70"/>
      <c r="CS793" s="70"/>
      <c r="CT793" s="70"/>
      <c r="CU793" s="70"/>
      <c r="CV793" s="70"/>
      <c r="CW793" s="70"/>
      <c r="CX793" s="70"/>
      <c r="CY793" s="70"/>
      <c r="CZ793" s="70"/>
      <c r="DA793" s="70"/>
      <c r="DB793" s="70"/>
      <c r="DC793" s="70"/>
      <c r="DD793" s="70"/>
      <c r="DE793" s="70"/>
      <c r="DF793" s="70"/>
    </row>
    <row r="794" spans="1:110" s="14" customFormat="1" ht="12.95" customHeight="1">
      <c r="A794"/>
      <c r="B794"/>
      <c r="C794"/>
      <c r="D794"/>
      <c r="E794"/>
      <c r="F794"/>
      <c r="G794"/>
      <c r="H794"/>
      <c r="I794"/>
      <c r="J794"/>
      <c r="K794"/>
      <c r="L794"/>
      <c r="M794"/>
      <c r="N794"/>
      <c r="O794"/>
      <c r="P794"/>
      <c r="Q794"/>
      <c r="R794"/>
      <c r="S794"/>
      <c r="T794"/>
      <c r="U794"/>
      <c r="V794"/>
      <c r="W794"/>
      <c r="X794" s="12"/>
      <c r="Y794" s="12"/>
      <c r="Z794" s="12"/>
      <c r="AA794" s="12"/>
      <c r="AB794" s="12"/>
      <c r="AC794" s="12"/>
      <c r="AD794" s="12"/>
      <c r="AE794"/>
      <c r="AF794"/>
      <c r="AG794"/>
      <c r="AH794"/>
      <c r="AI794"/>
      <c r="AJ794"/>
      <c r="AK794"/>
      <c r="AL794"/>
      <c r="AM794"/>
      <c r="AN794"/>
      <c r="AO794"/>
      <c r="AP794"/>
      <c r="AQ794"/>
      <c r="AR794"/>
      <c r="AS794"/>
      <c r="AT794"/>
      <c r="AU794"/>
      <c r="AV794"/>
      <c r="AW794"/>
      <c r="AX794"/>
      <c r="AY794"/>
      <c r="BP794" s="71" t="s">
        <v>642</v>
      </c>
      <c r="BQ794" s="72" t="s">
        <v>326</v>
      </c>
      <c r="BR794" s="72" t="s">
        <v>164</v>
      </c>
      <c r="BS794" s="72" t="s">
        <v>165</v>
      </c>
      <c r="BT794" s="72" t="s">
        <v>469</v>
      </c>
      <c r="BW794" s="71" t="s">
        <v>642</v>
      </c>
      <c r="BX794" s="72" t="s">
        <v>326</v>
      </c>
      <c r="BY794" s="72" t="s">
        <v>164</v>
      </c>
      <c r="BZ794" s="72" t="s">
        <v>165</v>
      </c>
      <c r="CA794" s="72" t="s">
        <v>469</v>
      </c>
      <c r="CB794" s="70"/>
      <c r="CC794" s="70"/>
      <c r="CD794" s="70"/>
      <c r="CE794" s="70"/>
      <c r="CF794" s="70"/>
      <c r="CG794" s="70"/>
      <c r="CH794" s="70"/>
      <c r="CI794" s="70"/>
      <c r="CJ794" s="70"/>
      <c r="CK794" s="70"/>
      <c r="CL794" s="70"/>
      <c r="CM794" s="70"/>
      <c r="CN794" s="70"/>
      <c r="CO794" s="70"/>
      <c r="CP794" s="70"/>
      <c r="CQ794" s="70"/>
      <c r="CR794" s="70"/>
      <c r="CS794" s="70"/>
      <c r="CT794" s="70"/>
      <c r="CU794" s="70"/>
      <c r="CV794" s="70"/>
      <c r="CW794" s="70"/>
      <c r="CX794" s="70"/>
      <c r="CY794" s="70"/>
      <c r="CZ794" s="70"/>
      <c r="DA794" s="70"/>
      <c r="DB794" s="70"/>
      <c r="DC794" s="70"/>
      <c r="DD794" s="70"/>
      <c r="DE794" s="70"/>
      <c r="DF794" s="70"/>
    </row>
    <row r="795" spans="1:110" s="4" customFormat="1" ht="12.95" customHeight="1">
      <c r="A795" s="2" t="s">
        <v>599</v>
      </c>
      <c r="B795" s="2"/>
      <c r="C795" s="2" t="s">
        <v>289</v>
      </c>
      <c r="D795"/>
      <c r="E795"/>
      <c r="F795"/>
      <c r="G795"/>
      <c r="H795"/>
      <c r="I795"/>
      <c r="J795"/>
      <c r="K795"/>
      <c r="L795"/>
      <c r="M795"/>
      <c r="N795"/>
      <c r="O795"/>
      <c r="P795"/>
      <c r="Q795"/>
      <c r="R795"/>
      <c r="S795"/>
      <c r="T795"/>
      <c r="U795"/>
      <c r="V795"/>
      <c r="W795"/>
      <c r="X795" s="12"/>
      <c r="Y795" s="12"/>
      <c r="Z795" s="12"/>
      <c r="AA795" s="12"/>
      <c r="AB795" s="12"/>
      <c r="AC795" s="12"/>
      <c r="AD795" s="12"/>
      <c r="AE795"/>
      <c r="AF795"/>
      <c r="AG795"/>
      <c r="AH795"/>
      <c r="AI795"/>
      <c r="AJ795"/>
      <c r="AK795"/>
      <c r="AL795"/>
      <c r="AM795"/>
      <c r="AN795"/>
      <c r="AO795"/>
      <c r="AP795"/>
      <c r="AQ795"/>
      <c r="AR795"/>
      <c r="AS795"/>
      <c r="AT795"/>
      <c r="AU795"/>
      <c r="AV795"/>
      <c r="AW795"/>
      <c r="AX795"/>
      <c r="AY795"/>
      <c r="BE795" s="14"/>
      <c r="BF795" s="14"/>
      <c r="BG795" s="14"/>
      <c r="BH795" s="14"/>
      <c r="BI795" s="14"/>
      <c r="BJ795" s="14"/>
      <c r="BK795" s="14"/>
      <c r="BL795" s="14"/>
      <c r="BM795" s="14"/>
      <c r="BN795" s="14"/>
      <c r="BO795" s="23" t="s">
        <v>645</v>
      </c>
      <c r="BP795" s="352">
        <v>473390</v>
      </c>
      <c r="BQ795" s="352">
        <v>545814</v>
      </c>
      <c r="BR795" s="352">
        <v>658400</v>
      </c>
      <c r="BS795" s="352">
        <v>842752</v>
      </c>
      <c r="BT795" s="352">
        <v>938878</v>
      </c>
      <c r="BU795" s="14"/>
      <c r="BV795" s="23" t="s">
        <v>645</v>
      </c>
      <c r="BW795" s="352">
        <v>473390</v>
      </c>
      <c r="BX795" s="352">
        <v>545814</v>
      </c>
      <c r="BY795" s="352">
        <v>658400</v>
      </c>
      <c r="BZ795" s="352">
        <v>842752</v>
      </c>
      <c r="CA795" s="352">
        <v>938878</v>
      </c>
      <c r="CB795" s="34"/>
      <c r="CC795" s="34"/>
      <c r="CD795" s="34"/>
      <c r="CE795" s="34"/>
      <c r="CF795" s="34"/>
      <c r="CG795" s="34"/>
      <c r="CH795" s="34"/>
      <c r="CI795" s="34"/>
      <c r="CJ795" s="34"/>
      <c r="CK795" s="34"/>
      <c r="CL795" s="34"/>
      <c r="CM795" s="34"/>
      <c r="CN795" s="34"/>
      <c r="CO795" s="34"/>
      <c r="CP795" s="34"/>
      <c r="CQ795" s="34"/>
      <c r="CR795" s="34"/>
      <c r="CS795" s="34"/>
      <c r="CT795" s="34"/>
      <c r="CU795" s="34"/>
      <c r="CV795" s="34"/>
      <c r="CW795" s="34"/>
      <c r="CX795" s="34"/>
      <c r="CY795" s="34"/>
      <c r="CZ795" s="34"/>
      <c r="DA795" s="34"/>
      <c r="DB795" s="34"/>
      <c r="DC795" s="34"/>
      <c r="DD795" s="34"/>
      <c r="DE795" s="34"/>
      <c r="DF795" s="34"/>
    </row>
    <row r="796" spans="1:110" s="4" customFormat="1" ht="12.95" customHeight="1">
      <c r="A796"/>
      <c r="B796"/>
      <c r="C796"/>
      <c r="D796"/>
      <c r="E796"/>
      <c r="F796"/>
      <c r="G796"/>
      <c r="H796"/>
      <c r="I796"/>
      <c r="J796"/>
      <c r="K796"/>
      <c r="L796"/>
      <c r="M796"/>
      <c r="N796"/>
      <c r="O796"/>
      <c r="P796"/>
      <c r="Q796"/>
      <c r="R796"/>
      <c r="S796"/>
      <c r="T796"/>
      <c r="U796"/>
      <c r="V796"/>
      <c r="W796"/>
      <c r="X796" s="12"/>
      <c r="Y796" s="12"/>
      <c r="Z796" s="12"/>
      <c r="AA796" s="12"/>
      <c r="AB796" s="12"/>
      <c r="AC796" s="12"/>
      <c r="AD796" s="12"/>
      <c r="AE796"/>
      <c r="AF796"/>
      <c r="AG796"/>
      <c r="AH796"/>
      <c r="AI796"/>
      <c r="AJ796"/>
      <c r="AK796"/>
      <c r="AL796"/>
      <c r="AM796"/>
      <c r="AN796"/>
      <c r="AO796"/>
      <c r="AP796"/>
      <c r="AQ796"/>
      <c r="AR796"/>
      <c r="AS796"/>
      <c r="AT796"/>
      <c r="AU796"/>
      <c r="AV796"/>
      <c r="AW796"/>
      <c r="AX796"/>
      <c r="AY796"/>
      <c r="BE796" s="14"/>
      <c r="BF796" s="14"/>
      <c r="BG796" s="14"/>
      <c r="BH796" s="14"/>
      <c r="BI796" s="14"/>
      <c r="BJ796" s="14"/>
      <c r="BK796" s="14"/>
      <c r="BL796" s="14"/>
      <c r="BM796" s="14"/>
      <c r="BN796" s="14"/>
      <c r="BO796" s="23" t="s">
        <v>646</v>
      </c>
      <c r="BP796" s="350">
        <v>352022</v>
      </c>
      <c r="BQ796" s="350">
        <v>405878</v>
      </c>
      <c r="BR796" s="350">
        <v>489600</v>
      </c>
      <c r="BS796" s="350">
        <v>626688</v>
      </c>
      <c r="BT796" s="350">
        <v>698170</v>
      </c>
      <c r="BU796" s="14"/>
      <c r="BV796" s="23" t="s">
        <v>646</v>
      </c>
      <c r="BW796" s="350">
        <v>352022</v>
      </c>
      <c r="BX796" s="350">
        <v>405878</v>
      </c>
      <c r="BY796" s="350">
        <v>489600</v>
      </c>
      <c r="BZ796" s="350">
        <v>626688</v>
      </c>
      <c r="CA796" s="350">
        <v>698170</v>
      </c>
      <c r="CB796" s="34"/>
      <c r="CC796" s="34"/>
      <c r="CD796" s="34"/>
      <c r="CE796" s="34"/>
      <c r="CF796" s="34"/>
      <c r="CG796" s="34"/>
      <c r="CH796" s="34"/>
      <c r="CI796" s="34"/>
      <c r="CJ796" s="34"/>
      <c r="CK796" s="34"/>
      <c r="CL796" s="34"/>
      <c r="CM796" s="34"/>
      <c r="CN796" s="34"/>
      <c r="CO796" s="34"/>
      <c r="CP796" s="34"/>
      <c r="CQ796" s="34"/>
      <c r="CR796" s="34"/>
      <c r="CS796" s="34"/>
      <c r="CT796" s="34"/>
      <c r="CU796" s="34"/>
      <c r="CV796" s="34"/>
      <c r="CW796" s="34"/>
      <c r="CX796" s="34"/>
      <c r="CY796" s="34"/>
      <c r="CZ796" s="34"/>
      <c r="DA796" s="34"/>
      <c r="DB796" s="34"/>
      <c r="DC796" s="34"/>
      <c r="DD796" s="34"/>
      <c r="DE796" s="34"/>
      <c r="DF796" s="34"/>
    </row>
    <row r="797" spans="1:110" s="4" customFormat="1" ht="12.95" customHeight="1">
      <c r="A797"/>
      <c r="B797"/>
      <c r="C797"/>
      <c r="D797"/>
      <c r="E797"/>
      <c r="F797"/>
      <c r="G797"/>
      <c r="H797" s="45" t="s">
        <v>36</v>
      </c>
      <c r="I797" s="5"/>
      <c r="J797" s="5"/>
      <c r="K797" s="5"/>
      <c r="L797" s="5"/>
      <c r="M797" s="5"/>
      <c r="N797" s="5"/>
      <c r="O797" s="5"/>
      <c r="P797" s="5"/>
      <c r="Q797" s="5"/>
      <c r="R797" s="5"/>
      <c r="S797" s="5"/>
      <c r="T797" s="5"/>
      <c r="U797" s="5"/>
      <c r="V797" s="5"/>
      <c r="W797" s="5"/>
      <c r="X797" s="5"/>
      <c r="Y797" s="5"/>
      <c r="Z797" s="1420">
        <v>30240</v>
      </c>
      <c r="AA797" s="1421"/>
      <c r="AB797" s="1421"/>
      <c r="AC797" s="1421"/>
      <c r="AD797" s="1421"/>
      <c r="AE797" s="1422"/>
      <c r="AF797"/>
      <c r="AG797"/>
      <c r="AH797"/>
      <c r="AI797"/>
      <c r="AJ797"/>
      <c r="AK797"/>
      <c r="AL797"/>
      <c r="AM797"/>
      <c r="AN797"/>
      <c r="AO797"/>
      <c r="AP797"/>
      <c r="AQ797"/>
      <c r="AR797"/>
      <c r="AS797"/>
      <c r="AT797"/>
      <c r="AU797"/>
      <c r="AV797"/>
      <c r="AW797"/>
      <c r="AX797"/>
      <c r="AY797"/>
      <c r="BE797" s="14"/>
      <c r="BF797" s="14"/>
      <c r="BG797" s="14"/>
      <c r="BH797" s="14"/>
      <c r="BI797" s="14"/>
      <c r="BJ797" s="14"/>
      <c r="BK797" s="14"/>
      <c r="BL797" s="14"/>
      <c r="BM797" s="14"/>
      <c r="BN797" s="14"/>
      <c r="BO797" s="23" t="s">
        <v>340</v>
      </c>
      <c r="BP797" s="352">
        <v>352022</v>
      </c>
      <c r="BQ797" s="352">
        <v>405878</v>
      </c>
      <c r="BR797" s="352">
        <v>489600</v>
      </c>
      <c r="BS797" s="352">
        <v>626688</v>
      </c>
      <c r="BT797" s="352">
        <v>698170</v>
      </c>
      <c r="BU797" s="14"/>
      <c r="BV797" s="23" t="s">
        <v>340</v>
      </c>
      <c r="BW797" s="352">
        <v>352022</v>
      </c>
      <c r="BX797" s="352">
        <v>405878</v>
      </c>
      <c r="BY797" s="352">
        <v>489600</v>
      </c>
      <c r="BZ797" s="352">
        <v>626688</v>
      </c>
      <c r="CA797" s="352">
        <v>698170</v>
      </c>
      <c r="CB797" s="34"/>
      <c r="CC797" s="34"/>
      <c r="CD797" s="34"/>
      <c r="CE797" s="34"/>
      <c r="CF797" s="34"/>
      <c r="CG797" s="34"/>
      <c r="CH797" s="34"/>
      <c r="CI797" s="34"/>
      <c r="CJ797" s="34"/>
      <c r="CK797" s="34"/>
      <c r="CL797" s="34"/>
      <c r="CM797" s="34"/>
      <c r="CN797" s="34"/>
      <c r="CO797" s="34"/>
      <c r="CP797" s="34"/>
      <c r="CQ797" s="34"/>
      <c r="CR797" s="34"/>
      <c r="CS797" s="34"/>
      <c r="CT797" s="34"/>
      <c r="CU797" s="34"/>
      <c r="CV797" s="34"/>
      <c r="CW797" s="34"/>
      <c r="CX797" s="34"/>
      <c r="CY797" s="34"/>
      <c r="CZ797" s="34"/>
      <c r="DA797" s="34"/>
      <c r="DB797" s="34"/>
      <c r="DC797" s="34"/>
      <c r="DD797" s="34"/>
      <c r="DE797" s="34"/>
      <c r="DF797" s="34"/>
    </row>
    <row r="798" spans="1:110" s="4" customFormat="1" ht="12.95" customHeight="1">
      <c r="A798"/>
      <c r="B798"/>
      <c r="C798"/>
      <c r="D798"/>
      <c r="E798"/>
      <c r="F798"/>
      <c r="G798"/>
      <c r="H798" s="45" t="s">
        <v>37</v>
      </c>
      <c r="I798" s="5"/>
      <c r="J798" s="5"/>
      <c r="K798" s="5"/>
      <c r="L798" s="5"/>
      <c r="M798" s="5"/>
      <c r="N798" s="5"/>
      <c r="O798" s="5"/>
      <c r="P798" s="5"/>
      <c r="Q798" s="5"/>
      <c r="R798" s="5"/>
      <c r="S798" s="5"/>
      <c r="T798" s="5"/>
      <c r="U798" s="5"/>
      <c r="V798" s="5"/>
      <c r="W798" s="5"/>
      <c r="X798" s="5"/>
      <c r="Y798" s="5"/>
      <c r="Z798" s="1420"/>
      <c r="AA798" s="1421"/>
      <c r="AB798" s="1421"/>
      <c r="AC798" s="1421"/>
      <c r="AD798" s="1421"/>
      <c r="AE798" s="1422"/>
      <c r="AF798"/>
      <c r="AG798"/>
      <c r="AH798"/>
      <c r="AI798"/>
      <c r="AJ798"/>
      <c r="AK798"/>
      <c r="AL798"/>
      <c r="AM798"/>
      <c r="AN798"/>
      <c r="AO798"/>
      <c r="AP798"/>
      <c r="AQ798"/>
      <c r="AR798"/>
      <c r="AS798"/>
      <c r="AT798"/>
      <c r="AU798"/>
      <c r="AV798"/>
      <c r="AW798"/>
      <c r="AX798"/>
      <c r="AY798"/>
      <c r="BE798" s="14"/>
      <c r="BF798" s="14"/>
      <c r="BG798" s="14"/>
      <c r="BH798" s="14"/>
      <c r="BI798" s="14"/>
      <c r="BJ798" s="14"/>
      <c r="BK798" s="14"/>
      <c r="BL798" s="14"/>
      <c r="BM798" s="14"/>
      <c r="BN798" s="14"/>
      <c r="BO798" s="23" t="s">
        <v>669</v>
      </c>
      <c r="BP798" s="350">
        <v>319236</v>
      </c>
      <c r="BQ798" s="350">
        <v>368076</v>
      </c>
      <c r="BR798" s="350">
        <v>444000</v>
      </c>
      <c r="BS798" s="350">
        <v>568320</v>
      </c>
      <c r="BT798" s="350">
        <v>633144</v>
      </c>
      <c r="BU798" s="14"/>
      <c r="BV798" s="23" t="s">
        <v>669</v>
      </c>
      <c r="BW798" s="350">
        <v>319236</v>
      </c>
      <c r="BX798" s="350">
        <v>368076</v>
      </c>
      <c r="BY798" s="350">
        <v>444000</v>
      </c>
      <c r="BZ798" s="350">
        <v>568320</v>
      </c>
      <c r="CA798" s="350">
        <v>633144</v>
      </c>
      <c r="CB798" s="34"/>
      <c r="CC798" s="34"/>
      <c r="CD798" s="34"/>
      <c r="CE798" s="34"/>
      <c r="CF798" s="34"/>
      <c r="CG798" s="34"/>
      <c r="CH798" s="34"/>
      <c r="CI798" s="34"/>
      <c r="CJ798" s="34"/>
      <c r="CK798" s="34"/>
      <c r="CL798" s="34"/>
      <c r="CM798" s="34"/>
      <c r="CN798" s="34"/>
      <c r="CO798" s="34"/>
      <c r="CP798" s="34"/>
      <c r="CQ798" s="34"/>
      <c r="CR798" s="34"/>
      <c r="CS798" s="34"/>
      <c r="CT798" s="34"/>
      <c r="CU798" s="34"/>
      <c r="CV798" s="34"/>
      <c r="CW798" s="34"/>
      <c r="CX798" s="34"/>
      <c r="CY798" s="34"/>
      <c r="CZ798" s="34"/>
      <c r="DA798" s="34"/>
      <c r="DB798" s="34"/>
      <c r="DC798" s="34"/>
      <c r="DD798" s="34"/>
      <c r="DE798" s="34"/>
      <c r="DF798" s="34"/>
    </row>
    <row r="799" spans="1:110" s="4" customFormat="1" ht="12.95" customHeight="1">
      <c r="A799"/>
      <c r="B799"/>
      <c r="C799"/>
      <c r="D799"/>
      <c r="E799"/>
      <c r="F799"/>
      <c r="G799"/>
      <c r="H799" s="45" t="s">
        <v>38</v>
      </c>
      <c r="I799" s="5"/>
      <c r="J799" s="5"/>
      <c r="K799" s="5"/>
      <c r="L799" s="5"/>
      <c r="M799" s="5"/>
      <c r="N799" s="5"/>
      <c r="O799" s="5"/>
      <c r="P799" s="5"/>
      <c r="Q799" s="5"/>
      <c r="R799" s="5"/>
      <c r="S799" s="5"/>
      <c r="T799" s="5"/>
      <c r="U799" s="5"/>
      <c r="V799" s="5"/>
      <c r="W799" s="5"/>
      <c r="X799" s="5"/>
      <c r="Y799" s="5"/>
      <c r="Z799" s="1420"/>
      <c r="AA799" s="1421"/>
      <c r="AB799" s="1421"/>
      <c r="AC799" s="1421"/>
      <c r="AD799" s="1421"/>
      <c r="AE799" s="1422"/>
      <c r="AF799"/>
      <c r="AG799"/>
      <c r="AH799"/>
      <c r="AI799"/>
      <c r="AJ799"/>
      <c r="AK799"/>
      <c r="AL799"/>
      <c r="AM799"/>
      <c r="AN799"/>
      <c r="AO799"/>
      <c r="AP799"/>
      <c r="AQ799"/>
      <c r="AR799"/>
      <c r="AS799"/>
      <c r="AT799"/>
      <c r="AU799"/>
      <c r="AV799"/>
      <c r="AW799"/>
      <c r="AX799"/>
      <c r="AY799"/>
      <c r="BE799" s="14"/>
      <c r="BF799" s="14"/>
      <c r="BG799" s="14"/>
      <c r="BH799" s="14"/>
      <c r="BI799" s="14"/>
      <c r="BJ799" s="14"/>
      <c r="BK799" s="14"/>
      <c r="BL799" s="14"/>
      <c r="BM799" s="14"/>
      <c r="BN799" s="14"/>
      <c r="BO799" s="23" t="s">
        <v>670</v>
      </c>
      <c r="BP799" s="352">
        <v>352022</v>
      </c>
      <c r="BQ799" s="352">
        <v>405878</v>
      </c>
      <c r="BR799" s="352">
        <v>489600</v>
      </c>
      <c r="BS799" s="352">
        <v>626688</v>
      </c>
      <c r="BT799" s="352">
        <v>698170</v>
      </c>
      <c r="BU799" s="14"/>
      <c r="BV799" s="23" t="s">
        <v>670</v>
      </c>
      <c r="BW799" s="352">
        <v>352022</v>
      </c>
      <c r="BX799" s="352">
        <v>405878</v>
      </c>
      <c r="BY799" s="352">
        <v>489600</v>
      </c>
      <c r="BZ799" s="352">
        <v>626688</v>
      </c>
      <c r="CA799" s="352">
        <v>698170</v>
      </c>
      <c r="CB799" s="34"/>
      <c r="CC799" s="34"/>
      <c r="CD799" s="34"/>
      <c r="CE799" s="34"/>
      <c r="CF799" s="34"/>
      <c r="CG799" s="34"/>
      <c r="CH799" s="34"/>
      <c r="CI799" s="34"/>
      <c r="CJ799" s="34"/>
      <c r="CK799" s="34"/>
      <c r="CL799" s="34"/>
      <c r="CM799" s="34"/>
      <c r="CN799" s="34"/>
      <c r="CO799" s="34"/>
      <c r="CP799" s="34"/>
      <c r="CQ799" s="34"/>
      <c r="CR799" s="34"/>
      <c r="CS799" s="34"/>
      <c r="CT799" s="34"/>
      <c r="CU799" s="34"/>
      <c r="CV799" s="34"/>
      <c r="CW799" s="34"/>
      <c r="CX799" s="34"/>
      <c r="CY799" s="34"/>
      <c r="CZ799" s="34"/>
      <c r="DA799" s="34"/>
      <c r="DB799" s="34"/>
      <c r="DC799" s="34"/>
      <c r="DD799" s="34"/>
      <c r="DE799" s="34"/>
      <c r="DF799" s="34"/>
    </row>
    <row r="800" spans="1:110" s="4" customFormat="1" ht="12.95" customHeight="1">
      <c r="A800"/>
      <c r="B800"/>
      <c r="C800"/>
      <c r="D800"/>
      <c r="E800"/>
      <c r="F800"/>
      <c r="G800"/>
      <c r="H800" s="45" t="s">
        <v>39</v>
      </c>
      <c r="I800" s="5"/>
      <c r="J800" s="5"/>
      <c r="K800" s="5"/>
      <c r="L800" s="5"/>
      <c r="M800" s="5"/>
      <c r="N800" s="5"/>
      <c r="O800" s="5"/>
      <c r="P800" s="1534" t="s">
        <v>335</v>
      </c>
      <c r="Q800" s="1535"/>
      <c r="R800" s="1535"/>
      <c r="S800" s="1535"/>
      <c r="T800" s="1535"/>
      <c r="U800" s="1535"/>
      <c r="V800" s="1535"/>
      <c r="W800" s="1535"/>
      <c r="X800" s="1535"/>
      <c r="Y800" s="1536"/>
      <c r="Z800" s="1420"/>
      <c r="AA800" s="1421"/>
      <c r="AB800" s="1421"/>
      <c r="AC800" s="1421"/>
      <c r="AD800" s="1421"/>
      <c r="AE800" s="1422"/>
      <c r="AF800"/>
      <c r="AG800"/>
      <c r="AH800"/>
      <c r="AI800"/>
      <c r="AJ800"/>
      <c r="AK800"/>
      <c r="AL800"/>
      <c r="AM800"/>
      <c r="AN800"/>
      <c r="AO800"/>
      <c r="AP800"/>
      <c r="AQ800"/>
      <c r="AR800"/>
      <c r="AS800"/>
      <c r="AT800"/>
      <c r="AU800"/>
      <c r="AV800"/>
      <c r="AW800"/>
      <c r="AX800"/>
      <c r="AY800"/>
      <c r="BE800" s="14"/>
      <c r="BF800" s="14"/>
      <c r="BG800" s="14"/>
      <c r="BH800" s="14"/>
      <c r="BI800" s="14"/>
      <c r="BJ800" s="14"/>
      <c r="BK800" s="14"/>
      <c r="BL800" s="14"/>
      <c r="BM800" s="14"/>
      <c r="BN800" s="14"/>
      <c r="BO800" s="23" t="s">
        <v>671</v>
      </c>
      <c r="BP800" s="350">
        <v>352022</v>
      </c>
      <c r="BQ800" s="350">
        <v>405878</v>
      </c>
      <c r="BR800" s="350">
        <v>489600</v>
      </c>
      <c r="BS800" s="350">
        <v>626688</v>
      </c>
      <c r="BT800" s="350">
        <v>698170</v>
      </c>
      <c r="BU800" s="14"/>
      <c r="BV800" s="23" t="s">
        <v>671</v>
      </c>
      <c r="BW800" s="350">
        <v>352022</v>
      </c>
      <c r="BX800" s="350">
        <v>405878</v>
      </c>
      <c r="BY800" s="350">
        <v>489600</v>
      </c>
      <c r="BZ800" s="350">
        <v>626688</v>
      </c>
      <c r="CA800" s="350">
        <v>698170</v>
      </c>
      <c r="CB800" s="34"/>
      <c r="CC800" s="34"/>
      <c r="CD800" s="34"/>
      <c r="CE800" s="34"/>
      <c r="CF800" s="34"/>
      <c r="CG800" s="34"/>
      <c r="CH800" s="34"/>
      <c r="CI800" s="34"/>
      <c r="CJ800" s="34"/>
      <c r="CK800" s="34"/>
      <c r="CL800" s="34"/>
      <c r="CM800" s="34"/>
      <c r="CN800" s="34"/>
      <c r="CO800" s="34"/>
      <c r="CP800" s="34"/>
      <c r="CQ800" s="34"/>
      <c r="CR800" s="34"/>
      <c r="CS800" s="34"/>
      <c r="CT800" s="34"/>
      <c r="CU800" s="34"/>
      <c r="CV800" s="34"/>
      <c r="CW800" s="34"/>
      <c r="CX800" s="34"/>
      <c r="CY800" s="34"/>
      <c r="CZ800" s="34"/>
      <c r="DA800" s="34"/>
      <c r="DB800" s="34"/>
      <c r="DC800" s="34"/>
      <c r="DD800" s="34"/>
      <c r="DE800" s="34"/>
      <c r="DF800" s="34"/>
    </row>
    <row r="801" spans="1:110" s="4" customFormat="1" ht="12.95" customHeight="1">
      <c r="A801"/>
      <c r="B801"/>
      <c r="C801"/>
      <c r="D801"/>
      <c r="E801"/>
      <c r="F801"/>
      <c r="G801"/>
      <c r="H801" s="45"/>
      <c r="I801" s="5"/>
      <c r="J801" s="5"/>
      <c r="K801" s="5"/>
      <c r="L801" s="5"/>
      <c r="M801" s="5"/>
      <c r="N801" s="5"/>
      <c r="O801" s="5"/>
      <c r="P801" s="5"/>
      <c r="Q801" s="5"/>
      <c r="R801" s="5"/>
      <c r="S801" s="5"/>
      <c r="T801" s="5"/>
      <c r="U801" s="5"/>
      <c r="V801" s="5"/>
      <c r="W801" s="5"/>
      <c r="X801" s="5"/>
      <c r="Y801" s="53" t="s">
        <v>161</v>
      </c>
      <c r="Z801" s="1587">
        <f>SUM(Z797:AE800)</f>
        <v>30240</v>
      </c>
      <c r="AA801" s="1588"/>
      <c r="AB801" s="1588"/>
      <c r="AC801" s="1588"/>
      <c r="AD801" s="1588"/>
      <c r="AE801" s="1589"/>
      <c r="AF801"/>
      <c r="AG801"/>
      <c r="AH801"/>
      <c r="AI801"/>
      <c r="AJ801"/>
      <c r="AK801"/>
      <c r="AL801"/>
      <c r="AM801"/>
      <c r="AN801"/>
      <c r="AO801"/>
      <c r="AP801"/>
      <c r="AQ801"/>
      <c r="AR801"/>
      <c r="AS801"/>
      <c r="AT801"/>
      <c r="AU801"/>
      <c r="AV801"/>
      <c r="AW801"/>
      <c r="AX801"/>
      <c r="AY801"/>
      <c r="BE801" s="14"/>
      <c r="BF801" s="14"/>
      <c r="BG801" s="14"/>
      <c r="BH801" s="14"/>
      <c r="BI801" s="14"/>
      <c r="BJ801" s="14"/>
      <c r="BK801" s="14"/>
      <c r="BL801" s="14"/>
      <c r="BM801" s="14"/>
      <c r="BN801" s="14"/>
      <c r="BO801" s="23" t="s">
        <v>672</v>
      </c>
      <c r="BP801" s="352">
        <v>473390</v>
      </c>
      <c r="BQ801" s="352">
        <v>545814</v>
      </c>
      <c r="BR801" s="352">
        <v>658400</v>
      </c>
      <c r="BS801" s="352">
        <v>842752</v>
      </c>
      <c r="BT801" s="352">
        <v>938878</v>
      </c>
      <c r="BU801" s="14"/>
      <c r="BV801" s="23" t="s">
        <v>672</v>
      </c>
      <c r="BW801" s="352">
        <v>473390</v>
      </c>
      <c r="BX801" s="352">
        <v>545814</v>
      </c>
      <c r="BY801" s="352">
        <v>658400</v>
      </c>
      <c r="BZ801" s="352">
        <v>842752</v>
      </c>
      <c r="CA801" s="352">
        <v>938878</v>
      </c>
      <c r="CB801" s="34"/>
      <c r="CC801" s="34"/>
      <c r="CD801" s="34"/>
      <c r="CE801" s="34"/>
      <c r="CF801" s="34"/>
      <c r="CG801" s="34"/>
      <c r="CH801" s="34"/>
      <c r="CI801" s="34"/>
      <c r="CJ801" s="34"/>
      <c r="CK801" s="34"/>
      <c r="CL801" s="34"/>
      <c r="CM801" s="34"/>
      <c r="CN801" s="34"/>
      <c r="CO801" s="34"/>
      <c r="CP801" s="34"/>
      <c r="CQ801" s="34"/>
      <c r="CR801" s="34"/>
      <c r="CS801" s="34"/>
      <c r="CT801" s="34"/>
      <c r="CU801" s="34"/>
      <c r="CV801" s="34"/>
      <c r="CW801" s="34"/>
      <c r="CX801" s="34"/>
      <c r="CY801" s="34"/>
      <c r="CZ801" s="34"/>
      <c r="DA801" s="34"/>
      <c r="DB801" s="34"/>
      <c r="DC801" s="34"/>
      <c r="DD801" s="34"/>
      <c r="DE801" s="34"/>
      <c r="DF801" s="34"/>
    </row>
    <row r="802" spans="1:110" s="4" customFormat="1" ht="12.95" customHeight="1">
      <c r="A802"/>
      <c r="B802"/>
      <c r="C802"/>
      <c r="D802"/>
      <c r="E802"/>
      <c r="F802"/>
      <c r="G802"/>
      <c r="H802" s="45"/>
      <c r="I802" s="5"/>
      <c r="J802" s="5"/>
      <c r="K802" s="5"/>
      <c r="L802" s="5"/>
      <c r="M802" s="5"/>
      <c r="N802" s="5"/>
      <c r="O802" s="5"/>
      <c r="P802" s="5"/>
      <c r="Q802" s="5"/>
      <c r="R802" s="5"/>
      <c r="S802" s="5"/>
      <c r="T802" s="5"/>
      <c r="U802" s="5"/>
      <c r="V802" s="5"/>
      <c r="W802" s="5"/>
      <c r="X802" s="5"/>
      <c r="Y802" s="53" t="s">
        <v>653</v>
      </c>
      <c r="Z802" s="1587">
        <f>Z801+Y785+Z793</f>
        <v>2782872</v>
      </c>
      <c r="AA802" s="1588"/>
      <c r="AB802" s="1588"/>
      <c r="AC802" s="1588"/>
      <c r="AD802" s="1588"/>
      <c r="AE802" s="1589"/>
      <c r="AF802"/>
      <c r="AG802"/>
      <c r="AH802"/>
      <c r="AI802"/>
      <c r="AJ802"/>
      <c r="AK802"/>
      <c r="AL802"/>
      <c r="AM802"/>
      <c r="AN802"/>
      <c r="AO802"/>
      <c r="AP802"/>
      <c r="AQ802"/>
      <c r="AR802"/>
      <c r="AS802"/>
      <c r="AT802"/>
      <c r="AU802"/>
      <c r="AV802"/>
      <c r="AW802"/>
      <c r="AX802"/>
      <c r="AY802"/>
      <c r="BF802" s="14"/>
      <c r="BG802" s="14"/>
      <c r="BH802" s="14"/>
      <c r="BI802" s="14"/>
      <c r="BJ802" s="14"/>
      <c r="BK802" s="14"/>
      <c r="BL802" s="14"/>
      <c r="BM802" s="14"/>
      <c r="BN802" s="14"/>
      <c r="BO802" s="23" t="s">
        <v>673</v>
      </c>
      <c r="BP802" s="350">
        <v>352022</v>
      </c>
      <c r="BQ802" s="350">
        <v>405878</v>
      </c>
      <c r="BR802" s="350">
        <v>489600</v>
      </c>
      <c r="BS802" s="350">
        <v>626688</v>
      </c>
      <c r="BT802" s="350">
        <v>698170</v>
      </c>
      <c r="BU802" s="14"/>
      <c r="BV802" s="23" t="s">
        <v>673</v>
      </c>
      <c r="BW802" s="350">
        <v>352022</v>
      </c>
      <c r="BX802" s="350">
        <v>405878</v>
      </c>
      <c r="BY802" s="350">
        <v>489600</v>
      </c>
      <c r="BZ802" s="350">
        <v>626688</v>
      </c>
      <c r="CA802" s="350">
        <v>698170</v>
      </c>
      <c r="CB802" s="34"/>
      <c r="CC802" s="34"/>
      <c r="CD802" s="34"/>
      <c r="CE802" s="34"/>
      <c r="CF802" s="34"/>
      <c r="CG802" s="34"/>
      <c r="CH802" s="34"/>
      <c r="CI802" s="34"/>
      <c r="CJ802" s="34"/>
      <c r="CK802" s="34"/>
      <c r="CL802" s="34"/>
      <c r="CM802" s="34"/>
      <c r="CN802" s="34"/>
      <c r="CO802" s="34"/>
      <c r="CP802" s="34"/>
      <c r="CQ802" s="34"/>
      <c r="CR802" s="34"/>
      <c r="CS802" s="34"/>
      <c r="CT802" s="34"/>
      <c r="CU802" s="34"/>
      <c r="CV802" s="34"/>
      <c r="CW802" s="34"/>
      <c r="CX802" s="34"/>
      <c r="CY802" s="34"/>
      <c r="CZ802" s="34"/>
      <c r="DA802" s="34"/>
      <c r="DB802" s="34"/>
      <c r="DC802" s="34"/>
      <c r="DD802" s="34"/>
      <c r="DE802" s="34"/>
      <c r="DF802" s="34"/>
    </row>
    <row r="803" spans="1:110" s="4" customFormat="1" ht="12.95" customHeight="1">
      <c r="A803"/>
      <c r="B803"/>
      <c r="C803"/>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30"/>
      <c r="BA803" s="30"/>
      <c r="BB803" s="14"/>
      <c r="BC803" s="14"/>
      <c r="BD803" s="14"/>
      <c r="BE803" s="14"/>
      <c r="BF803" s="14"/>
      <c r="BG803" s="14"/>
      <c r="BH803" s="14"/>
      <c r="BI803" s="14"/>
      <c r="BJ803" s="14"/>
      <c r="BK803" s="14"/>
      <c r="BL803" s="14"/>
      <c r="BM803" s="14"/>
      <c r="BN803" s="14"/>
      <c r="BO803" s="23" t="s">
        <v>674</v>
      </c>
      <c r="BP803" s="352">
        <v>331890</v>
      </c>
      <c r="BQ803" s="352">
        <v>382666</v>
      </c>
      <c r="BR803" s="352">
        <v>461600</v>
      </c>
      <c r="BS803" s="352">
        <v>590848</v>
      </c>
      <c r="BT803" s="352">
        <v>658242</v>
      </c>
      <c r="BU803" s="14"/>
      <c r="BV803" s="23" t="s">
        <v>674</v>
      </c>
      <c r="BW803" s="352">
        <v>331890</v>
      </c>
      <c r="BX803" s="352">
        <v>382666</v>
      </c>
      <c r="BY803" s="352">
        <v>461600</v>
      </c>
      <c r="BZ803" s="352">
        <v>590848</v>
      </c>
      <c r="CA803" s="352">
        <v>658242</v>
      </c>
      <c r="CB803" s="34"/>
      <c r="CC803" s="34"/>
      <c r="CD803" s="34"/>
      <c r="CE803" s="34"/>
      <c r="CF803" s="34"/>
      <c r="CG803" s="34"/>
      <c r="CH803" s="34"/>
      <c r="CI803" s="34"/>
      <c r="CJ803" s="34"/>
      <c r="CK803" s="34"/>
      <c r="CL803" s="34"/>
      <c r="CM803" s="34"/>
      <c r="CN803" s="34"/>
      <c r="CO803" s="34"/>
      <c r="CP803" s="34"/>
      <c r="CQ803" s="34"/>
      <c r="CR803" s="34"/>
      <c r="CS803" s="34"/>
      <c r="CT803" s="34"/>
      <c r="CU803" s="34"/>
      <c r="CV803" s="34"/>
      <c r="CW803" s="34"/>
      <c r="CX803" s="34"/>
      <c r="CY803" s="34"/>
      <c r="CZ803" s="34"/>
      <c r="DA803" s="34"/>
      <c r="DB803" s="34"/>
      <c r="DC803" s="34"/>
      <c r="DD803" s="34"/>
      <c r="DE803" s="34"/>
      <c r="DF803" s="34"/>
    </row>
    <row r="804" spans="1:110" s="4" customFormat="1" ht="12.95" customHeight="1">
      <c r="A804" s="2" t="s">
        <v>601</v>
      </c>
      <c r="B804" s="2"/>
      <c r="C804" s="2" t="s">
        <v>426</v>
      </c>
      <c r="D804"/>
      <c r="E804"/>
      <c r="F804"/>
      <c r="G804"/>
      <c r="H804"/>
      <c r="I804"/>
      <c r="J804"/>
      <c r="K804"/>
      <c r="L804"/>
      <c r="M804"/>
      <c r="N804"/>
      <c r="O804"/>
      <c r="P804"/>
      <c r="Q804"/>
      <c r="R804"/>
      <c r="S804"/>
      <c r="T804"/>
      <c r="U804"/>
      <c r="V804"/>
      <c r="W804" s="56"/>
      <c r="X804"/>
      <c r="Y804"/>
      <c r="Z804"/>
      <c r="AA804"/>
      <c r="AB804"/>
      <c r="AC804"/>
      <c r="AD804"/>
      <c r="AE804"/>
      <c r="AF804"/>
      <c r="AG804"/>
      <c r="AH804"/>
      <c r="AI804"/>
      <c r="AJ804"/>
      <c r="AK804"/>
      <c r="AL804"/>
      <c r="AM804"/>
      <c r="AN804"/>
      <c r="AO804"/>
      <c r="AP804"/>
      <c r="AQ804"/>
      <c r="AR804"/>
      <c r="AS804"/>
      <c r="AT804"/>
      <c r="AU804"/>
      <c r="AV804"/>
      <c r="AW804"/>
      <c r="AX804"/>
      <c r="AY804"/>
      <c r="AZ804" s="30"/>
      <c r="BA804" s="30"/>
      <c r="BB804" s="14"/>
      <c r="BC804" s="14"/>
      <c r="BD804" s="14"/>
      <c r="BE804" s="14"/>
      <c r="BF804" s="14"/>
      <c r="BG804" s="14"/>
      <c r="BH804" s="14"/>
      <c r="BI804" s="14"/>
      <c r="BJ804" s="14"/>
      <c r="BK804" s="14"/>
      <c r="BL804" s="14"/>
      <c r="BM804" s="14"/>
      <c r="BN804" s="14"/>
      <c r="BO804" s="23" t="s">
        <v>676</v>
      </c>
      <c r="BP804" s="350">
        <v>307732</v>
      </c>
      <c r="BQ804" s="350">
        <v>354812</v>
      </c>
      <c r="BR804" s="350">
        <v>428000</v>
      </c>
      <c r="BS804" s="350">
        <v>547840</v>
      </c>
      <c r="BT804" s="350">
        <v>610328</v>
      </c>
      <c r="BU804" s="14"/>
      <c r="BV804" s="23" t="s">
        <v>676</v>
      </c>
      <c r="BW804" s="350">
        <v>307732</v>
      </c>
      <c r="BX804" s="350">
        <v>354812</v>
      </c>
      <c r="BY804" s="350">
        <v>428000</v>
      </c>
      <c r="BZ804" s="350">
        <v>547840</v>
      </c>
      <c r="CA804" s="350">
        <v>610328</v>
      </c>
      <c r="CB804" s="34"/>
      <c r="CC804" s="34"/>
      <c r="CD804" s="34"/>
      <c r="CE804" s="34"/>
      <c r="CF804" s="34"/>
      <c r="CG804" s="34"/>
      <c r="CH804" s="34"/>
      <c r="CI804" s="34"/>
      <c r="CJ804" s="34"/>
      <c r="CK804" s="34"/>
      <c r="CL804" s="34"/>
      <c r="CM804" s="34"/>
      <c r="CN804" s="34"/>
      <c r="CO804" s="34"/>
      <c r="CP804" s="34"/>
      <c r="CQ804" s="34"/>
      <c r="CR804" s="34"/>
      <c r="CS804" s="34"/>
      <c r="CT804" s="34"/>
      <c r="CU804" s="34"/>
      <c r="CV804" s="34"/>
      <c r="CW804" s="34"/>
      <c r="CX804" s="34"/>
      <c r="CY804" s="34"/>
      <c r="CZ804" s="34"/>
      <c r="DA804" s="34"/>
      <c r="DB804" s="34"/>
      <c r="DC804" s="34"/>
      <c r="DD804" s="34"/>
      <c r="DE804" s="34"/>
      <c r="DF804" s="34"/>
    </row>
    <row r="805" spans="1:110" s="4" customFormat="1" ht="12.95" customHeight="1">
      <c r="A805"/>
      <c r="B805"/>
      <c r="C805" s="22" t="s">
        <v>843</v>
      </c>
      <c r="D805"/>
      <c r="E805"/>
      <c r="F805"/>
      <c r="G805"/>
      <c r="H805"/>
      <c r="I805"/>
      <c r="J805"/>
      <c r="K805"/>
      <c r="L805"/>
      <c r="M805"/>
      <c r="N805"/>
      <c r="O805"/>
      <c r="P805"/>
      <c r="Q805"/>
      <c r="R805"/>
      <c r="S805"/>
      <c r="T805"/>
      <c r="U805"/>
      <c r="V805"/>
      <c r="W805" s="56"/>
      <c r="X805"/>
      <c r="Y805"/>
      <c r="Z805"/>
      <c r="AA805"/>
      <c r="AB805"/>
      <c r="AC805"/>
      <c r="AD805"/>
      <c r="AE805"/>
      <c r="AF805"/>
      <c r="AG805"/>
      <c r="AH805"/>
      <c r="AI805"/>
      <c r="AJ805"/>
      <c r="AK805"/>
      <c r="AL805"/>
      <c r="AM805"/>
      <c r="AN805"/>
      <c r="AO805"/>
      <c r="AP805"/>
      <c r="AQ805"/>
      <c r="AR805"/>
      <c r="AS805"/>
      <c r="AT805"/>
      <c r="AU805"/>
      <c r="AV805"/>
      <c r="AW805"/>
      <c r="AX805"/>
      <c r="AY805"/>
      <c r="AZ805" s="30"/>
      <c r="BA805" s="30"/>
      <c r="BB805" s="14"/>
      <c r="BC805" s="14"/>
      <c r="BD805" s="14"/>
      <c r="BE805" s="14"/>
      <c r="BF805" s="14"/>
      <c r="BG805" s="14"/>
      <c r="BH805" s="14"/>
      <c r="BI805" s="14"/>
      <c r="BJ805" s="14"/>
      <c r="BK805" s="14"/>
      <c r="BL805" s="14"/>
      <c r="BM805" s="14"/>
      <c r="BN805" s="14"/>
      <c r="BO805" s="23" t="s">
        <v>679</v>
      </c>
      <c r="BP805" s="352">
        <v>352022</v>
      </c>
      <c r="BQ805" s="352">
        <v>405878</v>
      </c>
      <c r="BR805" s="352">
        <v>489600</v>
      </c>
      <c r="BS805" s="352">
        <v>626688</v>
      </c>
      <c r="BT805" s="352">
        <v>698170</v>
      </c>
      <c r="BU805" s="14"/>
      <c r="BV805" s="23" t="s">
        <v>679</v>
      </c>
      <c r="BW805" s="352">
        <v>352022</v>
      </c>
      <c r="BX805" s="352">
        <v>405878</v>
      </c>
      <c r="BY805" s="352">
        <v>489600</v>
      </c>
      <c r="BZ805" s="352">
        <v>626688</v>
      </c>
      <c r="CA805" s="352">
        <v>698170</v>
      </c>
      <c r="CB805" s="34"/>
      <c r="CC805" s="34"/>
      <c r="CD805" s="34"/>
      <c r="CE805" s="34"/>
      <c r="CF805" s="34"/>
      <c r="CG805" s="34"/>
      <c r="CH805" s="34"/>
      <c r="CI805" s="34"/>
      <c r="CJ805" s="34"/>
      <c r="CK805" s="34"/>
      <c r="CL805" s="34"/>
      <c r="CM805" s="34"/>
      <c r="CN805" s="34"/>
      <c r="CO805" s="34"/>
      <c r="CP805" s="34"/>
      <c r="CQ805" s="34"/>
      <c r="CR805" s="34"/>
      <c r="CS805" s="34"/>
      <c r="CT805" s="34"/>
      <c r="CU805" s="34"/>
      <c r="CV805" s="34"/>
      <c r="CW805" s="34"/>
      <c r="CX805" s="34"/>
      <c r="CY805" s="34"/>
      <c r="CZ805" s="34"/>
      <c r="DA805" s="34"/>
      <c r="DB805" s="34"/>
      <c r="DC805" s="34"/>
      <c r="DD805" s="34"/>
      <c r="DE805" s="34"/>
      <c r="DF805" s="34"/>
    </row>
    <row r="806" spans="1:110" s="4" customFormat="1" ht="12.95" customHeight="1">
      <c r="A806"/>
      <c r="B806"/>
      <c r="C806" s="28"/>
      <c r="D806"/>
      <c r="E806"/>
      <c r="F806"/>
      <c r="G806"/>
      <c r="H806"/>
      <c r="I806"/>
      <c r="J806"/>
      <c r="K806"/>
      <c r="L806"/>
      <c r="M806"/>
      <c r="N806"/>
      <c r="O806"/>
      <c r="P806"/>
      <c r="Q806"/>
      <c r="R806"/>
      <c r="S806"/>
      <c r="T806"/>
      <c r="U806"/>
      <c r="V806"/>
      <c r="W806" s="56"/>
      <c r="X806"/>
      <c r="Y806"/>
      <c r="Z806"/>
      <c r="AA806"/>
      <c r="AB806"/>
      <c r="AC806"/>
      <c r="AD806"/>
      <c r="AE806"/>
      <c r="AF806"/>
      <c r="AG806"/>
      <c r="AH806"/>
      <c r="AI806"/>
      <c r="AJ806"/>
      <c r="AK806"/>
      <c r="AL806"/>
      <c r="AM806"/>
      <c r="AN806"/>
      <c r="AO806"/>
      <c r="AP806"/>
      <c r="AQ806"/>
      <c r="AR806"/>
      <c r="AS806"/>
      <c r="AT806"/>
      <c r="AU806"/>
      <c r="AV806"/>
      <c r="AW806"/>
      <c r="AX806"/>
      <c r="AY806"/>
      <c r="AZ806" s="30"/>
      <c r="BA806" s="30"/>
      <c r="BB806" s="14"/>
      <c r="BC806" s="14"/>
      <c r="BD806" s="14"/>
      <c r="BE806" s="14"/>
      <c r="BF806" s="14"/>
      <c r="BG806" s="14"/>
      <c r="BH806" s="14"/>
      <c r="BI806" s="14"/>
      <c r="BJ806" s="14"/>
      <c r="BK806" s="14"/>
      <c r="BL806" s="14"/>
      <c r="BM806" s="14"/>
      <c r="BN806" s="14"/>
      <c r="BO806" s="23" t="s">
        <v>680</v>
      </c>
      <c r="BP806" s="350">
        <v>352022</v>
      </c>
      <c r="BQ806" s="350">
        <v>405878</v>
      </c>
      <c r="BR806" s="350">
        <v>489600</v>
      </c>
      <c r="BS806" s="350">
        <v>626688</v>
      </c>
      <c r="BT806" s="350">
        <v>698170</v>
      </c>
      <c r="BU806" s="14"/>
      <c r="BV806" s="23" t="s">
        <v>680</v>
      </c>
      <c r="BW806" s="350">
        <v>352022</v>
      </c>
      <c r="BX806" s="350">
        <v>405878</v>
      </c>
      <c r="BY806" s="350">
        <v>489600</v>
      </c>
      <c r="BZ806" s="350">
        <v>626688</v>
      </c>
      <c r="CA806" s="350">
        <v>698170</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10" s="4" customFormat="1" ht="12.95" customHeight="1">
      <c r="A807"/>
      <c r="B807"/>
      <c r="C807" s="41"/>
      <c r="D807" s="42"/>
      <c r="E807" s="42"/>
      <c r="F807" s="42"/>
      <c r="G807" s="42"/>
      <c r="H807" s="42"/>
      <c r="I807" s="42"/>
      <c r="J807" s="42"/>
      <c r="K807" s="42"/>
      <c r="L807" s="58"/>
      <c r="M807" s="1520" t="s">
        <v>127</v>
      </c>
      <c r="N807" s="1520"/>
      <c r="O807" s="1520"/>
      <c r="P807" s="1738"/>
      <c r="Q807" s="1583" t="s">
        <v>291</v>
      </c>
      <c r="R807" s="1583"/>
      <c r="S807" s="1583"/>
      <c r="T807" s="1583"/>
      <c r="U807" s="1583" t="s">
        <v>292</v>
      </c>
      <c r="V807" s="1583"/>
      <c r="W807" s="1583"/>
      <c r="X807" s="1583"/>
      <c r="Y807" s="1583" t="s">
        <v>293</v>
      </c>
      <c r="Z807" s="1583"/>
      <c r="AA807" s="1583"/>
      <c r="AB807" s="1583"/>
      <c r="AC807" s="1583" t="s">
        <v>362</v>
      </c>
      <c r="AD807" s="1583"/>
      <c r="AE807" s="1583"/>
      <c r="AF807" s="1583"/>
      <c r="AG807" s="1714" t="s">
        <v>336</v>
      </c>
      <c r="AH807" s="1714"/>
      <c r="AI807" s="1714"/>
      <c r="AJ807" s="1714"/>
      <c r="AK807"/>
      <c r="AL807" s="3"/>
      <c r="AM807" s="3"/>
      <c r="AN807" s="3"/>
      <c r="AO807" s="3"/>
      <c r="AP807" s="3"/>
      <c r="AQ807" s="3"/>
      <c r="AR807" s="3"/>
      <c r="AS807" s="3"/>
      <c r="AT807" s="3"/>
      <c r="AU807" s="3"/>
      <c r="AV807" s="3"/>
      <c r="AW807" s="3"/>
      <c r="AX807" s="3"/>
      <c r="AY807" s="3"/>
      <c r="AZ807" s="30"/>
      <c r="BA807" s="30"/>
      <c r="BB807" s="14"/>
      <c r="BC807" s="14"/>
      <c r="BD807" s="14"/>
      <c r="BE807" s="14"/>
      <c r="BF807" s="14"/>
      <c r="BG807" s="14"/>
      <c r="BH807" s="14"/>
      <c r="BI807" s="14"/>
      <c r="BJ807" s="14"/>
      <c r="BK807" s="14"/>
      <c r="BL807" s="14"/>
      <c r="BM807" s="14"/>
      <c r="BN807" s="14"/>
      <c r="BO807" s="23" t="s">
        <v>682</v>
      </c>
      <c r="BP807" s="352">
        <v>314634</v>
      </c>
      <c r="BQ807" s="352">
        <v>362770</v>
      </c>
      <c r="BR807" s="352">
        <v>437600</v>
      </c>
      <c r="BS807" s="352">
        <v>560128</v>
      </c>
      <c r="BT807" s="352">
        <v>624018</v>
      </c>
      <c r="BU807" s="14"/>
      <c r="BV807" s="23" t="s">
        <v>682</v>
      </c>
      <c r="BW807" s="352">
        <v>314634</v>
      </c>
      <c r="BX807" s="352">
        <v>362770</v>
      </c>
      <c r="BY807" s="352">
        <v>437600</v>
      </c>
      <c r="BZ807" s="352">
        <v>560128</v>
      </c>
      <c r="CA807" s="352">
        <v>624018</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10" s="4" customFormat="1" ht="12.95" customHeight="1">
      <c r="A808"/>
      <c r="B808"/>
      <c r="C808" s="47"/>
      <c r="D808" s="48"/>
      <c r="E808" s="48"/>
      <c r="F808" s="48"/>
      <c r="G808" s="48"/>
      <c r="H808" s="48"/>
      <c r="I808" s="48"/>
      <c r="J808" s="48"/>
      <c r="K808" s="48"/>
      <c r="L808" s="49"/>
      <c r="M808" s="1524"/>
      <c r="N808" s="1524"/>
      <c r="O808" s="1524"/>
      <c r="P808" s="1704"/>
      <c r="Q808" s="1583"/>
      <c r="R808" s="1583"/>
      <c r="S808" s="1583"/>
      <c r="T808" s="1583"/>
      <c r="U808" s="1583"/>
      <c r="V808" s="1583"/>
      <c r="W808" s="1583"/>
      <c r="X808" s="1583"/>
      <c r="Y808" s="1583"/>
      <c r="Z808" s="1583"/>
      <c r="AA808" s="1583"/>
      <c r="AB808" s="1583"/>
      <c r="AC808" s="1583"/>
      <c r="AD808" s="1583"/>
      <c r="AE808" s="1583"/>
      <c r="AF808" s="1583"/>
      <c r="AG808" s="1714"/>
      <c r="AH808" s="1714"/>
      <c r="AI808" s="1714"/>
      <c r="AJ808" s="1714"/>
      <c r="AK808"/>
      <c r="AL808" s="3"/>
      <c r="AM808" s="3"/>
      <c r="AN808" s="3"/>
      <c r="AO808" s="3"/>
      <c r="AP808" s="3"/>
      <c r="AQ808" s="3"/>
      <c r="AR808" s="3"/>
      <c r="AS808" s="3"/>
      <c r="AT808" s="3"/>
      <c r="AU808" s="3"/>
      <c r="AV808" s="3"/>
      <c r="AW808" s="3"/>
      <c r="AX808" s="3"/>
      <c r="AY808" s="3"/>
      <c r="AZ808" s="30"/>
      <c r="BA808" s="30"/>
      <c r="BB808" s="14"/>
      <c r="BC808" s="14"/>
      <c r="BD808" s="14"/>
      <c r="BE808" s="14"/>
      <c r="BF808" s="14"/>
      <c r="BG808" s="14"/>
      <c r="BH808" s="14"/>
      <c r="BI808" s="14"/>
      <c r="BJ808" s="14"/>
      <c r="BK808" s="14"/>
      <c r="BL808" s="14"/>
      <c r="BM808" s="14"/>
      <c r="BN808" s="14"/>
      <c r="BO808" s="23" t="s">
        <v>683</v>
      </c>
      <c r="BP808" s="350">
        <v>352022</v>
      </c>
      <c r="BQ808" s="350">
        <v>405878</v>
      </c>
      <c r="BR808" s="350">
        <v>489600</v>
      </c>
      <c r="BS808" s="350">
        <v>626688</v>
      </c>
      <c r="BT808" s="350">
        <v>698170</v>
      </c>
      <c r="BU808" s="14"/>
      <c r="BV808" s="23" t="s">
        <v>683</v>
      </c>
      <c r="BW808" s="350">
        <v>352022</v>
      </c>
      <c r="BX808" s="350">
        <v>405878</v>
      </c>
      <c r="BY808" s="350">
        <v>489600</v>
      </c>
      <c r="BZ808" s="350">
        <v>626688</v>
      </c>
      <c r="CA808" s="350">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10" s="4" customFormat="1" ht="12.95" customHeight="1">
      <c r="A809"/>
      <c r="B809"/>
      <c r="C809" s="1677" t="s">
        <v>40</v>
      </c>
      <c r="D809" s="1351"/>
      <c r="E809" s="1351"/>
      <c r="F809" s="1351"/>
      <c r="G809" s="1351"/>
      <c r="H809" s="1351"/>
      <c r="I809" s="48"/>
      <c r="J809" s="48"/>
      <c r="K809" s="48"/>
      <c r="L809" s="49"/>
      <c r="M809" s="1573"/>
      <c r="N809" s="1573"/>
      <c r="O809" s="1573"/>
      <c r="P809" s="1573"/>
      <c r="Q809" s="1573"/>
      <c r="R809" s="1573"/>
      <c r="S809" s="1573"/>
      <c r="T809" s="1573"/>
      <c r="U809" s="1573"/>
      <c r="V809" s="1573"/>
      <c r="W809" s="1573"/>
      <c r="X809" s="1573"/>
      <c r="Y809" s="1573"/>
      <c r="Z809" s="1573"/>
      <c r="AA809" s="1573"/>
      <c r="AB809" s="1573"/>
      <c r="AC809" s="1364"/>
      <c r="AD809" s="1365"/>
      <c r="AE809" s="1365"/>
      <c r="AF809" s="1366"/>
      <c r="AG809" s="1364"/>
      <c r="AH809" s="1365"/>
      <c r="AI809" s="1365"/>
      <c r="AJ809" s="1366"/>
      <c r="AK809"/>
      <c r="AL809" s="3"/>
      <c r="AM809" s="3"/>
      <c r="AN809" s="3"/>
      <c r="AO809" s="3"/>
      <c r="AP809" s="3"/>
      <c r="AQ809" s="3"/>
      <c r="AR809" s="3"/>
      <c r="AS809" s="3"/>
      <c r="AT809" s="3"/>
      <c r="AU809" s="3"/>
      <c r="AV809" s="3"/>
      <c r="AW809" s="3"/>
      <c r="AX809" s="3"/>
      <c r="AY809" s="3"/>
      <c r="AZ809" s="30"/>
      <c r="BA809" s="30"/>
      <c r="BB809" s="14"/>
      <c r="BC809" s="14"/>
      <c r="BD809" s="14"/>
      <c r="BE809" s="14"/>
      <c r="BF809" s="14"/>
      <c r="BG809" s="14"/>
      <c r="BH809" s="14"/>
      <c r="BI809" s="14"/>
      <c r="BJ809" s="14"/>
      <c r="BK809" s="14"/>
      <c r="BL809" s="14"/>
      <c r="BM809" s="14"/>
      <c r="BN809" s="14"/>
      <c r="BO809" s="23" t="s">
        <v>212</v>
      </c>
      <c r="BP809" s="352">
        <v>307732</v>
      </c>
      <c r="BQ809" s="352">
        <v>354812</v>
      </c>
      <c r="BR809" s="352">
        <v>428000</v>
      </c>
      <c r="BS809" s="352">
        <v>547840</v>
      </c>
      <c r="BT809" s="352">
        <v>610328</v>
      </c>
      <c r="BU809" s="14"/>
      <c r="BV809" s="23" t="s">
        <v>212</v>
      </c>
      <c r="BW809" s="352">
        <v>307732</v>
      </c>
      <c r="BX809" s="352">
        <v>354812</v>
      </c>
      <c r="BY809" s="352">
        <v>428000</v>
      </c>
      <c r="BZ809" s="352">
        <v>547840</v>
      </c>
      <c r="CA809" s="352">
        <v>610328</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10" s="4" customFormat="1" ht="12.95" customHeight="1">
      <c r="A810"/>
      <c r="B810"/>
      <c r="C810" s="1638" t="s">
        <v>41</v>
      </c>
      <c r="D810" s="1639"/>
      <c r="E810" s="1639"/>
      <c r="F810" s="1639"/>
      <c r="G810" s="1639"/>
      <c r="H810" s="1639"/>
      <c r="I810" s="5"/>
      <c r="J810" s="5"/>
      <c r="K810" s="5"/>
      <c r="L810" s="46"/>
      <c r="M810" s="1573"/>
      <c r="N810" s="1573"/>
      <c r="O810" s="1573"/>
      <c r="P810" s="1573"/>
      <c r="Q810" s="1573"/>
      <c r="R810" s="1573"/>
      <c r="S810" s="1573"/>
      <c r="T810" s="1573"/>
      <c r="U810" s="1573"/>
      <c r="V810" s="1573"/>
      <c r="W810" s="1573"/>
      <c r="X810" s="1573"/>
      <c r="Y810" s="1573"/>
      <c r="Z810" s="1573"/>
      <c r="AA810" s="1573"/>
      <c r="AB810" s="1573"/>
      <c r="AC810" s="1364"/>
      <c r="AD810" s="1365"/>
      <c r="AE810" s="1365"/>
      <c r="AF810" s="1366"/>
      <c r="AG810" s="1364"/>
      <c r="AH810" s="1365"/>
      <c r="AI810" s="1365"/>
      <c r="AJ810" s="1366"/>
      <c r="AK810"/>
      <c r="AL810" s="3"/>
      <c r="AM810" s="3"/>
      <c r="AN810" s="3"/>
      <c r="AO810" s="3"/>
      <c r="AP810" s="3"/>
      <c r="AQ810" s="3"/>
      <c r="AR810" s="3"/>
      <c r="AS810" s="3"/>
      <c r="AT810" s="3"/>
      <c r="AU810" s="3"/>
      <c r="AV810" s="3"/>
      <c r="AW810" s="3"/>
      <c r="AX810" s="3"/>
      <c r="AY810" s="3"/>
      <c r="AZ810" s="30"/>
      <c r="BA810" s="30"/>
      <c r="BB810" s="14"/>
      <c r="BC810" s="14"/>
      <c r="BD810" s="14"/>
      <c r="BE810" s="14"/>
      <c r="BF810" s="14"/>
      <c r="BG810" s="14"/>
      <c r="BH810" s="14"/>
      <c r="BI810" s="14"/>
      <c r="BJ810" s="14"/>
      <c r="BK810" s="14"/>
      <c r="BL810" s="14"/>
      <c r="BM810" s="14"/>
      <c r="BN810" s="14"/>
      <c r="BO810" s="23" t="s">
        <v>214</v>
      </c>
      <c r="BP810" s="350">
        <v>307732</v>
      </c>
      <c r="BQ810" s="350">
        <v>354812</v>
      </c>
      <c r="BR810" s="350">
        <v>428000</v>
      </c>
      <c r="BS810" s="350">
        <v>547840</v>
      </c>
      <c r="BT810" s="350">
        <v>610328</v>
      </c>
      <c r="BU810" s="14"/>
      <c r="BV810" s="23" t="s">
        <v>214</v>
      </c>
      <c r="BW810" s="350">
        <v>307732</v>
      </c>
      <c r="BX810" s="350">
        <v>354812</v>
      </c>
      <c r="BY810" s="350">
        <v>428000</v>
      </c>
      <c r="BZ810" s="350">
        <v>547840</v>
      </c>
      <c r="CA810" s="350">
        <v>610328</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10" s="4" customFormat="1" ht="12.95" customHeight="1">
      <c r="A811"/>
      <c r="B811"/>
      <c r="C811" s="1638" t="s">
        <v>42</v>
      </c>
      <c r="D811" s="1639"/>
      <c r="E811" s="1639"/>
      <c r="F811" s="1639"/>
      <c r="G811" s="1639"/>
      <c r="H811" s="1639"/>
      <c r="I811" s="60"/>
      <c r="J811" s="60"/>
      <c r="K811" s="60"/>
      <c r="L811" s="61"/>
      <c r="M811" s="1573"/>
      <c r="N811" s="1573"/>
      <c r="O811" s="1573"/>
      <c r="P811" s="1573"/>
      <c r="Q811" s="1573">
        <v>4</v>
      </c>
      <c r="R811" s="1573"/>
      <c r="S811" s="1573"/>
      <c r="T811" s="1573"/>
      <c r="U811" s="1573">
        <v>6</v>
      </c>
      <c r="V811" s="1573"/>
      <c r="W811" s="1573"/>
      <c r="X811" s="1573"/>
      <c r="Y811" s="1573">
        <v>8</v>
      </c>
      <c r="Z811" s="1573"/>
      <c r="AA811" s="1573"/>
      <c r="AB811" s="1573"/>
      <c r="AC811" s="1364"/>
      <c r="AD811" s="1365"/>
      <c r="AE811" s="1365"/>
      <c r="AF811" s="1366"/>
      <c r="AG811" s="1364"/>
      <c r="AH811" s="1365"/>
      <c r="AI811" s="1365"/>
      <c r="AJ811" s="1366"/>
      <c r="AK811"/>
      <c r="AL811" s="3"/>
      <c r="AM811" s="3"/>
      <c r="AN811" s="3"/>
      <c r="AO811" s="3"/>
      <c r="AP811" s="3"/>
      <c r="AQ811" s="3"/>
      <c r="AR811" s="3"/>
      <c r="AS811" s="3"/>
      <c r="AT811" s="3"/>
      <c r="AU811" s="3"/>
      <c r="AV811" s="3"/>
      <c r="AW811" s="3"/>
      <c r="AX811" s="3"/>
      <c r="AY811" s="3"/>
      <c r="AZ811" s="30"/>
      <c r="BA811" s="30"/>
      <c r="BB811" s="14"/>
      <c r="BC811" s="14"/>
      <c r="BD811" s="14"/>
      <c r="BE811" s="14"/>
      <c r="BF811" s="14"/>
      <c r="BG811" s="14"/>
      <c r="BH811" s="14"/>
      <c r="BI811" s="14"/>
      <c r="BJ811" s="14"/>
      <c r="BK811" s="14"/>
      <c r="BL811" s="14"/>
      <c r="BM811" s="14"/>
      <c r="BN811" s="14"/>
      <c r="BO811" s="23" t="s">
        <v>215</v>
      </c>
      <c r="BP811" s="352">
        <v>352022</v>
      </c>
      <c r="BQ811" s="352">
        <v>405878</v>
      </c>
      <c r="BR811" s="352">
        <v>489600</v>
      </c>
      <c r="BS811" s="352">
        <v>626688</v>
      </c>
      <c r="BT811" s="352">
        <v>698170</v>
      </c>
      <c r="BU811" s="14"/>
      <c r="BV811" s="23" t="s">
        <v>215</v>
      </c>
      <c r="BW811" s="352">
        <v>352022</v>
      </c>
      <c r="BX811" s="352">
        <v>405878</v>
      </c>
      <c r="BY811" s="352">
        <v>489600</v>
      </c>
      <c r="BZ811" s="352">
        <v>626688</v>
      </c>
      <c r="CA811" s="352">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10" s="4" customFormat="1" ht="12.95" customHeight="1">
      <c r="A812"/>
      <c r="B812"/>
      <c r="C812" s="1638" t="s">
        <v>786</v>
      </c>
      <c r="D812" s="1639"/>
      <c r="E812" s="1639"/>
      <c r="F812" s="1639"/>
      <c r="G812" s="1639"/>
      <c r="H812" s="1639"/>
      <c r="I812" s="60"/>
      <c r="J812" s="60"/>
      <c r="K812" s="60"/>
      <c r="L812" s="61"/>
      <c r="M812" s="1573"/>
      <c r="N812" s="1573"/>
      <c r="O812" s="1573"/>
      <c r="P812" s="1573"/>
      <c r="Q812" s="1573"/>
      <c r="R812" s="1573"/>
      <c r="S812" s="1573"/>
      <c r="T812" s="1573"/>
      <c r="U812" s="1573"/>
      <c r="V812" s="1573"/>
      <c r="W812" s="1573"/>
      <c r="X812" s="1573"/>
      <c r="Y812" s="1573"/>
      <c r="Z812" s="1573"/>
      <c r="AA812" s="1573"/>
      <c r="AB812" s="1573"/>
      <c r="AC812" s="1364"/>
      <c r="AD812" s="1365"/>
      <c r="AE812" s="1365"/>
      <c r="AF812" s="1366"/>
      <c r="AG812" s="1364"/>
      <c r="AH812" s="1365"/>
      <c r="AI812" s="1365"/>
      <c r="AJ812" s="1366"/>
      <c r="AK812"/>
      <c r="AL812" s="3"/>
      <c r="AM812" s="3"/>
      <c r="AN812" s="3"/>
      <c r="AO812" s="3"/>
      <c r="AP812" s="3"/>
      <c r="AQ812" s="3"/>
      <c r="AR812" s="3"/>
      <c r="AS812" s="3"/>
      <c r="AT812" s="3"/>
      <c r="AU812" s="3"/>
      <c r="AV812" s="3"/>
      <c r="AW812" s="3"/>
      <c r="AX812" s="3"/>
      <c r="AY812" s="3"/>
      <c r="AZ812" s="30"/>
      <c r="BA812" s="30"/>
      <c r="BB812" s="14"/>
      <c r="BC812" s="14"/>
      <c r="BD812" s="14"/>
      <c r="BE812" s="14"/>
      <c r="BF812" s="14"/>
      <c r="BG812" s="14"/>
      <c r="BH812" s="14"/>
      <c r="BI812" s="14"/>
      <c r="BJ812" s="14"/>
      <c r="BK812" s="14"/>
      <c r="BL812" s="14"/>
      <c r="BM812" s="14"/>
      <c r="BN812" s="14"/>
      <c r="BO812" s="23" t="s">
        <v>217</v>
      </c>
      <c r="BP812" s="350">
        <v>352022</v>
      </c>
      <c r="BQ812" s="350">
        <v>405878</v>
      </c>
      <c r="BR812" s="350">
        <v>489600</v>
      </c>
      <c r="BS812" s="350">
        <v>626688</v>
      </c>
      <c r="BT812" s="350">
        <v>698170</v>
      </c>
      <c r="BU812" s="14"/>
      <c r="BV812" s="23" t="s">
        <v>217</v>
      </c>
      <c r="BW812" s="350">
        <v>352022</v>
      </c>
      <c r="BX812" s="350">
        <v>405878</v>
      </c>
      <c r="BY812" s="350">
        <v>489600</v>
      </c>
      <c r="BZ812" s="350">
        <v>626688</v>
      </c>
      <c r="CA812" s="350">
        <v>698170</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10" s="4" customFormat="1" ht="12.95" customHeight="1">
      <c r="A813"/>
      <c r="B813"/>
      <c r="C813" s="1638" t="s">
        <v>468</v>
      </c>
      <c r="D813" s="1639"/>
      <c r="E813" s="1639"/>
      <c r="F813" s="1639"/>
      <c r="G813" s="1639"/>
      <c r="H813" s="1639"/>
      <c r="I813" s="60"/>
      <c r="J813" s="60"/>
      <c r="K813" s="60"/>
      <c r="L813" s="61"/>
      <c r="M813" s="1573"/>
      <c r="N813" s="1573"/>
      <c r="O813" s="1573"/>
      <c r="P813" s="1573"/>
      <c r="Q813" s="1573">
        <v>16</v>
      </c>
      <c r="R813" s="1573"/>
      <c r="S813" s="1573"/>
      <c r="T813" s="1573"/>
      <c r="U813" s="1573">
        <v>23</v>
      </c>
      <c r="V813" s="1573"/>
      <c r="W813" s="1573"/>
      <c r="X813" s="1573"/>
      <c r="Y813" s="1573">
        <v>29</v>
      </c>
      <c r="Z813" s="1573"/>
      <c r="AA813" s="1573"/>
      <c r="AB813" s="1573"/>
      <c r="AC813" s="1364"/>
      <c r="AD813" s="1365"/>
      <c r="AE813" s="1365"/>
      <c r="AF813" s="1366"/>
      <c r="AG813" s="1364"/>
      <c r="AH813" s="1365"/>
      <c r="AI813" s="1365"/>
      <c r="AJ813" s="1366"/>
      <c r="AK813"/>
      <c r="AL813" s="3"/>
      <c r="AM813" s="3"/>
      <c r="AN813" s="3"/>
      <c r="AO813" s="3"/>
      <c r="AP813" s="3"/>
      <c r="AQ813" s="3"/>
      <c r="AR813" s="3"/>
      <c r="AS813" s="3"/>
      <c r="AT813" s="3"/>
      <c r="AU813" s="3"/>
      <c r="AV813" s="3"/>
      <c r="AW813" s="3"/>
      <c r="AX813" s="3"/>
      <c r="AY813" s="3"/>
      <c r="AZ813" s="30"/>
      <c r="BA813" s="30"/>
      <c r="BB813" s="14"/>
      <c r="BC813" s="14"/>
      <c r="BD813" s="14"/>
      <c r="BE813" s="14"/>
      <c r="BF813" s="14"/>
      <c r="BG813" s="14"/>
      <c r="BH813" s="14"/>
      <c r="BI813" s="14"/>
      <c r="BJ813" s="14"/>
      <c r="BK813" s="14"/>
      <c r="BL813" s="14"/>
      <c r="BM813" s="14"/>
      <c r="BN813" s="14"/>
      <c r="BO813" s="23" t="s">
        <v>218</v>
      </c>
      <c r="BP813" s="352">
        <v>437727</v>
      </c>
      <c r="BQ813" s="352">
        <v>504695</v>
      </c>
      <c r="BR813" s="352">
        <v>608800</v>
      </c>
      <c r="BS813" s="352">
        <v>779264</v>
      </c>
      <c r="BT813" s="352">
        <v>868149</v>
      </c>
      <c r="BU813" s="14"/>
      <c r="BV813" s="23" t="s">
        <v>218</v>
      </c>
      <c r="BW813" s="352">
        <v>437727</v>
      </c>
      <c r="BX813" s="352">
        <v>504695</v>
      </c>
      <c r="BY813" s="352">
        <v>608800</v>
      </c>
      <c r="BZ813" s="352">
        <v>779264</v>
      </c>
      <c r="CA813" s="352">
        <v>868149</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10" s="4" customFormat="1" ht="12.95" customHeight="1">
      <c r="A814"/>
      <c r="B814"/>
      <c r="C814" s="1715" t="s">
        <v>807</v>
      </c>
      <c r="D814" s="1639"/>
      <c r="E814" s="1639"/>
      <c r="F814" s="1639"/>
      <c r="G814" s="1639"/>
      <c r="H814" s="1639"/>
      <c r="I814" s="60"/>
      <c r="J814" s="60"/>
      <c r="K814" s="60"/>
      <c r="L814" s="61"/>
      <c r="M814" s="1573"/>
      <c r="N814" s="1573"/>
      <c r="O814" s="1573"/>
      <c r="P814" s="1573"/>
      <c r="Q814" s="1573"/>
      <c r="R814" s="1573"/>
      <c r="S814" s="1573"/>
      <c r="T814" s="1573"/>
      <c r="U814" s="1573"/>
      <c r="V814" s="1573"/>
      <c r="W814" s="1573"/>
      <c r="X814" s="1573"/>
      <c r="Y814" s="1573"/>
      <c r="Z814" s="1573"/>
      <c r="AA814" s="1573"/>
      <c r="AB814" s="1573"/>
      <c r="AC814" s="1364"/>
      <c r="AD814" s="1365"/>
      <c r="AE814" s="1365"/>
      <c r="AF814" s="1366"/>
      <c r="AG814" s="1364"/>
      <c r="AH814" s="1365"/>
      <c r="AI814" s="1365"/>
      <c r="AJ814" s="1366"/>
      <c r="AK814"/>
      <c r="AL814" s="3"/>
      <c r="AM814" s="3"/>
      <c r="AN814" s="3"/>
      <c r="AO814" s="3"/>
      <c r="AP814" s="3"/>
      <c r="AQ814" s="3"/>
      <c r="AR814" s="3"/>
      <c r="AS814" s="3"/>
      <c r="AT814" s="3"/>
      <c r="AU814" s="3"/>
      <c r="AV814" s="3"/>
      <c r="AW814" s="3"/>
      <c r="AX814" s="3"/>
      <c r="AY814" s="3"/>
      <c r="AZ814" s="30"/>
      <c r="BA814" s="30"/>
      <c r="BB814" s="14"/>
      <c r="BC814" s="14"/>
      <c r="BD814" s="14"/>
      <c r="BE814" s="14"/>
      <c r="BF814" s="14"/>
      <c r="BG814" s="14"/>
      <c r="BH814" s="14"/>
      <c r="BI814" s="14"/>
      <c r="BJ814" s="14"/>
      <c r="BK814" s="14"/>
      <c r="BL814" s="14"/>
      <c r="BM814" s="14"/>
      <c r="BN814" s="14"/>
      <c r="BO814" s="23" t="s">
        <v>220</v>
      </c>
      <c r="BP814" s="350">
        <v>307732</v>
      </c>
      <c r="BQ814" s="350">
        <v>354812</v>
      </c>
      <c r="BR814" s="350">
        <v>428000</v>
      </c>
      <c r="BS814" s="350">
        <v>547840</v>
      </c>
      <c r="BT814" s="350">
        <v>610328</v>
      </c>
      <c r="BU814" s="14"/>
      <c r="BV814" s="23" t="s">
        <v>220</v>
      </c>
      <c r="BW814" s="350">
        <v>307732</v>
      </c>
      <c r="BX814" s="350">
        <v>354812</v>
      </c>
      <c r="BY814" s="350">
        <v>428000</v>
      </c>
      <c r="BZ814" s="350">
        <v>547840</v>
      </c>
      <c r="CA814" s="350">
        <v>610328</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10" s="4" customFormat="1" ht="12.95" customHeight="1">
      <c r="A815"/>
      <c r="B815"/>
      <c r="C815" s="59" t="s">
        <v>294</v>
      </c>
      <c r="D815" s="60"/>
      <c r="E815" s="60"/>
      <c r="F815" s="1534" t="s">
        <v>2707</v>
      </c>
      <c r="G815" s="1535"/>
      <c r="H815" s="1535"/>
      <c r="I815" s="1535"/>
      <c r="J815" s="1535"/>
      <c r="K815" s="1535"/>
      <c r="L815" s="1535"/>
      <c r="M815" s="1573"/>
      <c r="N815" s="1573"/>
      <c r="O815" s="1573"/>
      <c r="P815" s="1573"/>
      <c r="Q815" s="1573">
        <v>29</v>
      </c>
      <c r="R815" s="1573"/>
      <c r="S815" s="1573"/>
      <c r="T815" s="1573"/>
      <c r="U815" s="1573">
        <v>31</v>
      </c>
      <c r="V815" s="1573"/>
      <c r="W815" s="1573"/>
      <c r="X815" s="1573"/>
      <c r="Y815" s="1573">
        <v>33</v>
      </c>
      <c r="Z815" s="1573"/>
      <c r="AA815" s="1573"/>
      <c r="AB815" s="1573"/>
      <c r="AC815" s="1364"/>
      <c r="AD815" s="1365"/>
      <c r="AE815" s="1365"/>
      <c r="AF815" s="1366"/>
      <c r="AG815" s="1364"/>
      <c r="AH815" s="1365"/>
      <c r="AI815" s="1365"/>
      <c r="AJ815" s="1366"/>
      <c r="AK815"/>
      <c r="AL815" s="3"/>
      <c r="AM815" s="3"/>
      <c r="AN815" s="3"/>
      <c r="AO815" s="3"/>
      <c r="AP815" s="3"/>
      <c r="AQ815" s="3"/>
      <c r="AR815" s="3"/>
      <c r="AS815" s="3"/>
      <c r="AT815" s="3"/>
      <c r="AU815" s="3"/>
      <c r="AV815" s="3"/>
      <c r="AW815" s="3"/>
      <c r="AX815" s="3"/>
      <c r="AY815" s="3"/>
      <c r="AZ815" s="30"/>
      <c r="BA815" s="30"/>
      <c r="BB815" s="14"/>
      <c r="BC815" s="14"/>
      <c r="BD815" s="14"/>
      <c r="BE815" s="14"/>
      <c r="BF815" s="14"/>
      <c r="BG815" s="14"/>
      <c r="BH815" s="14"/>
      <c r="BI815" s="14"/>
      <c r="BJ815" s="14"/>
      <c r="BK815" s="14"/>
      <c r="BL815" s="14"/>
      <c r="BM815" s="14"/>
      <c r="BN815" s="14"/>
      <c r="BO815" s="23" t="s">
        <v>221</v>
      </c>
      <c r="BP815" s="352">
        <v>384234</v>
      </c>
      <c r="BQ815" s="352">
        <v>443018</v>
      </c>
      <c r="BR815" s="352">
        <v>534400</v>
      </c>
      <c r="BS815" s="352">
        <v>684032</v>
      </c>
      <c r="BT815" s="352">
        <v>762054</v>
      </c>
      <c r="BU815" s="14"/>
      <c r="BV815" s="23" t="s">
        <v>221</v>
      </c>
      <c r="BW815" s="352">
        <v>384234</v>
      </c>
      <c r="BX815" s="352">
        <v>443018</v>
      </c>
      <c r="BY815" s="352">
        <v>534400</v>
      </c>
      <c r="BZ815" s="352">
        <v>684032</v>
      </c>
      <c r="CA815" s="352">
        <v>762054</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10" s="4" customFormat="1" ht="12.95" customHeight="1">
      <c r="A816"/>
      <c r="B816"/>
      <c r="C816" s="1577" t="s">
        <v>125</v>
      </c>
      <c r="D816" s="1578"/>
      <c r="E816" s="1578"/>
      <c r="F816" s="1578"/>
      <c r="G816" s="1578"/>
      <c r="H816" s="1578"/>
      <c r="I816" s="1578"/>
      <c r="J816" s="1578"/>
      <c r="K816" s="1578"/>
      <c r="L816" s="1579"/>
      <c r="M816" s="1705">
        <f>SUM(M809:P815)</f>
        <v>0</v>
      </c>
      <c r="N816" s="1705"/>
      <c r="O816" s="1705"/>
      <c r="P816" s="1705"/>
      <c r="Q816" s="1705">
        <f>SUM(Q809:T815)</f>
        <v>49</v>
      </c>
      <c r="R816" s="1705"/>
      <c r="S816" s="1705"/>
      <c r="T816" s="1705"/>
      <c r="U816" s="1705">
        <f>SUM(U809:X815)</f>
        <v>60</v>
      </c>
      <c r="V816" s="1705"/>
      <c r="W816" s="1705"/>
      <c r="X816" s="1705"/>
      <c r="Y816" s="1705">
        <f>SUM(Y809:AB815)</f>
        <v>70</v>
      </c>
      <c r="Z816" s="1705"/>
      <c r="AA816" s="1705"/>
      <c r="AB816" s="1705"/>
      <c r="AC816" s="1705">
        <f>SUM(AC809:AF815)</f>
        <v>0</v>
      </c>
      <c r="AD816" s="1705"/>
      <c r="AE816" s="1705"/>
      <c r="AF816" s="1705"/>
      <c r="AG816" s="1705">
        <f>SUM(AG809:AJ815)</f>
        <v>0</v>
      </c>
      <c r="AH816" s="1705"/>
      <c r="AI816" s="1705"/>
      <c r="AJ816" s="1705"/>
      <c r="AK816"/>
      <c r="AL816" s="3"/>
      <c r="AM816" s="3"/>
      <c r="AN816" s="3"/>
      <c r="AO816" s="3"/>
      <c r="AP816" s="3"/>
      <c r="AQ816" s="3"/>
      <c r="AR816" s="3"/>
      <c r="AS816" s="3"/>
      <c r="AT816" s="3"/>
      <c r="AU816" s="3"/>
      <c r="AV816" s="3"/>
      <c r="AW816" s="3"/>
      <c r="AX816" s="3"/>
      <c r="AY816" s="3"/>
      <c r="AZ816" s="30"/>
      <c r="BA816" s="30"/>
      <c r="BB816" s="14"/>
      <c r="BC816" s="14"/>
      <c r="BD816" s="14"/>
      <c r="BE816" s="14"/>
      <c r="BF816" s="14"/>
      <c r="BG816" s="14"/>
      <c r="BH816" s="14"/>
      <c r="BI816" s="14"/>
      <c r="BJ816" s="14"/>
      <c r="BK816" s="14"/>
      <c r="BL816" s="14"/>
      <c r="BM816" s="14"/>
      <c r="BN816" s="14"/>
      <c r="BO816" s="23" t="s">
        <v>222</v>
      </c>
      <c r="BP816" s="350">
        <v>352022</v>
      </c>
      <c r="BQ816" s="350">
        <v>405878</v>
      </c>
      <c r="BR816" s="350">
        <v>489600</v>
      </c>
      <c r="BS816" s="350">
        <v>626688</v>
      </c>
      <c r="BT816" s="350">
        <v>698170</v>
      </c>
      <c r="BU816" s="14"/>
      <c r="BV816" s="23" t="s">
        <v>222</v>
      </c>
      <c r="BW816" s="350">
        <v>352022</v>
      </c>
      <c r="BX816" s="350">
        <v>405878</v>
      </c>
      <c r="BY816" s="350">
        <v>489600</v>
      </c>
      <c r="BZ816" s="350">
        <v>626688</v>
      </c>
      <c r="CA816" s="350">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10" s="4" customFormat="1" ht="12.95" customHeight="1">
      <c r="A817"/>
      <c r="B817"/>
      <c r="C817" s="57" t="s">
        <v>808</v>
      </c>
      <c r="D817" s="56"/>
      <c r="E817" s="56"/>
      <c r="F817" s="56"/>
      <c r="G817" s="56"/>
      <c r="H817" s="56"/>
      <c r="I817" s="56"/>
      <c r="J817" s="56"/>
      <c r="K817" s="56"/>
      <c r="L817" s="56"/>
      <c r="M817" s="188"/>
      <c r="N817" s="188"/>
      <c r="O817" s="188"/>
      <c r="P817" s="188"/>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c r="AL817" s="3"/>
      <c r="AM817" s="3"/>
      <c r="AN817" s="3"/>
      <c r="AO817" s="3"/>
      <c r="AP817" s="3"/>
      <c r="AQ817" s="3"/>
      <c r="AR817" s="3"/>
      <c r="AS817" s="3"/>
      <c r="AT817" s="3"/>
      <c r="AU817" s="3"/>
      <c r="AV817" s="3"/>
      <c r="AW817" s="3"/>
      <c r="AX817" s="3"/>
      <c r="AY817" s="3"/>
      <c r="AZ817" s="30"/>
      <c r="BA817" s="30"/>
      <c r="BB817" s="14"/>
      <c r="BC817" s="14"/>
      <c r="BD817" s="14"/>
      <c r="BE817" s="14"/>
      <c r="BF817" s="14"/>
      <c r="BG817" s="14"/>
      <c r="BH817" s="14"/>
      <c r="BI817" s="14"/>
      <c r="BJ817" s="14"/>
      <c r="BK817" s="14"/>
      <c r="BL817" s="14"/>
      <c r="BM817" s="14"/>
      <c r="BN817" s="14"/>
      <c r="BO817" s="23" t="s">
        <v>223</v>
      </c>
      <c r="BP817" s="352">
        <v>352022</v>
      </c>
      <c r="BQ817" s="352">
        <v>405878</v>
      </c>
      <c r="BR817" s="352">
        <v>489600</v>
      </c>
      <c r="BS817" s="352">
        <v>626688</v>
      </c>
      <c r="BT817" s="352">
        <v>698170</v>
      </c>
      <c r="BU817" s="14"/>
      <c r="BV817" s="23" t="s">
        <v>223</v>
      </c>
      <c r="BW817" s="352">
        <v>352022</v>
      </c>
      <c r="BX817" s="352">
        <v>405878</v>
      </c>
      <c r="BY817" s="352">
        <v>489600</v>
      </c>
      <c r="BZ817" s="352">
        <v>626688</v>
      </c>
      <c r="CA817" s="352">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10" s="4" customFormat="1" ht="12.95" customHeight="1">
      <c r="A818"/>
      <c r="B818"/>
      <c r="C818" s="57" t="s">
        <v>809</v>
      </c>
      <c r="D818" s="56"/>
      <c r="E818" s="56"/>
      <c r="F818" s="56"/>
      <c r="G818" s="56"/>
      <c r="H818" s="56"/>
      <c r="I818" s="56"/>
      <c r="J818" s="56"/>
      <c r="K818" s="56"/>
      <c r="L818" s="56"/>
      <c r="M818" s="188"/>
      <c r="N818" s="188"/>
      <c r="O818" s="188"/>
      <c r="P818" s="188"/>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c r="AL818" s="3"/>
      <c r="AM818" s="3"/>
      <c r="AN818" s="3"/>
      <c r="AO818" s="3"/>
      <c r="AP818" s="3"/>
      <c r="AQ818" s="3"/>
      <c r="AR818" s="3"/>
      <c r="AS818" s="3"/>
      <c r="AT818" s="3"/>
      <c r="AU818" s="3"/>
      <c r="AV818" s="3"/>
      <c r="AW818" s="3"/>
      <c r="AX818" s="3"/>
      <c r="AY818" s="3"/>
      <c r="AZ818" s="30"/>
      <c r="BA818" s="30"/>
      <c r="BB818" s="14"/>
      <c r="BC818" s="14"/>
      <c r="BD818" s="14"/>
      <c r="BE818" s="14"/>
      <c r="BF818" s="14"/>
      <c r="BG818" s="14"/>
      <c r="BH818" s="14"/>
      <c r="BI818" s="14"/>
      <c r="BJ818" s="14"/>
      <c r="BK818" s="14"/>
      <c r="BL818" s="14"/>
      <c r="BM818" s="14"/>
      <c r="BN818" s="14"/>
      <c r="BO818" s="23" t="s">
        <v>225</v>
      </c>
      <c r="BP818" s="350">
        <v>307732</v>
      </c>
      <c r="BQ818" s="350">
        <v>354812</v>
      </c>
      <c r="BR818" s="350">
        <v>428000</v>
      </c>
      <c r="BS818" s="350">
        <v>547840</v>
      </c>
      <c r="BT818" s="350">
        <v>610328</v>
      </c>
      <c r="BU818" s="14"/>
      <c r="BV818" s="23" t="s">
        <v>225</v>
      </c>
      <c r="BW818" s="350">
        <v>307732</v>
      </c>
      <c r="BX818" s="350">
        <v>354812</v>
      </c>
      <c r="BY818" s="350">
        <v>428000</v>
      </c>
      <c r="BZ818" s="350">
        <v>547840</v>
      </c>
      <c r="CA818" s="350">
        <v>610328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10" s="4" customFormat="1" ht="12.95" customHeight="1">
      <c r="A819"/>
      <c r="B819"/>
      <c r="C819" s="56"/>
      <c r="D819" s="56"/>
      <c r="E819" s="56"/>
      <c r="F819" s="56"/>
      <c r="G819" s="56"/>
      <c r="H819" s="56"/>
      <c r="I819" s="56"/>
      <c r="J819" s="56"/>
      <c r="K819" s="56"/>
      <c r="L819" s="56"/>
      <c r="M819" s="188"/>
      <c r="N819" s="188"/>
      <c r="O819" s="188"/>
      <c r="P819" s="188"/>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c r="AL819" s="3"/>
      <c r="AM819" s="3"/>
      <c r="AN819" s="3"/>
      <c r="AO819" s="3"/>
      <c r="AP819" s="3"/>
      <c r="AQ819" s="3"/>
      <c r="AR819" s="3"/>
      <c r="AS819" s="3"/>
      <c r="AT819" s="3"/>
      <c r="AU819" s="3"/>
      <c r="AV819" s="3"/>
      <c r="AW819" s="3"/>
      <c r="AX819" s="3"/>
      <c r="AY819" s="3"/>
      <c r="AZ819" s="30"/>
      <c r="BA819" s="30"/>
      <c r="BB819" s="14"/>
      <c r="BC819" s="14"/>
      <c r="BD819" s="14"/>
      <c r="BE819" s="14"/>
      <c r="BF819" s="14"/>
      <c r="BG819" s="14"/>
      <c r="BH819" s="14"/>
      <c r="BI819" s="14"/>
      <c r="BJ819" s="14"/>
      <c r="BK819" s="14"/>
      <c r="BL819" s="14"/>
      <c r="BM819" s="14"/>
      <c r="BN819" s="14"/>
      <c r="BO819" s="23" t="s">
        <v>226</v>
      </c>
      <c r="BP819" s="352">
        <v>352022</v>
      </c>
      <c r="BQ819" s="352">
        <v>405878</v>
      </c>
      <c r="BR819" s="352">
        <v>489600</v>
      </c>
      <c r="BS819" s="352">
        <v>626688</v>
      </c>
      <c r="BT819" s="352">
        <v>698170</v>
      </c>
      <c r="BU819" s="14"/>
      <c r="BV819" s="23" t="s">
        <v>226</v>
      </c>
      <c r="BW819" s="352">
        <v>352022</v>
      </c>
      <c r="BX819" s="352">
        <v>405878</v>
      </c>
      <c r="BY819" s="352">
        <v>489600</v>
      </c>
      <c r="BZ819" s="352">
        <v>626688</v>
      </c>
      <c r="CA819" s="352">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10" s="4" customFormat="1" ht="12.95" customHeight="1">
      <c r="A820"/>
      <c r="B820"/>
      <c r="C820" s="2" t="s">
        <v>80</v>
      </c>
      <c r="D820"/>
      <c r="E820"/>
      <c r="F820"/>
      <c r="G820"/>
      <c r="H820"/>
      <c r="I820"/>
      <c r="J820"/>
      <c r="K820"/>
      <c r="L820"/>
      <c r="M820"/>
      <c r="N820"/>
      <c r="O820"/>
      <c r="P820"/>
      <c r="Q820"/>
      <c r="R820" s="8"/>
      <c r="S820" s="8"/>
      <c r="T820" s="8"/>
      <c r="U820" s="8"/>
      <c r="V820" s="8"/>
      <c r="W820" s="8"/>
      <c r="X820" s="8"/>
      <c r="Y820" s="8"/>
      <c r="Z820" s="8"/>
      <c r="AA820" s="8"/>
      <c r="AB820" s="8"/>
      <c r="AC820" s="8"/>
      <c r="AD820" s="8"/>
      <c r="AE820" s="8"/>
      <c r="AF820" s="8"/>
      <c r="AG820" s="8"/>
      <c r="AH820" s="8"/>
      <c r="AI820" s="8"/>
      <c r="AJ820" s="8"/>
      <c r="AK820"/>
      <c r="AL820" s="3"/>
      <c r="AM820" s="3"/>
      <c r="AN820" s="3"/>
      <c r="AO820" s="3"/>
      <c r="AP820" s="3"/>
      <c r="AQ820" s="3"/>
      <c r="AR820" s="3"/>
      <c r="AS820" s="3"/>
      <c r="AT820" s="3"/>
      <c r="AU820" s="3"/>
      <c r="AV820" s="3"/>
      <c r="AW820" s="3"/>
      <c r="AX820" s="3"/>
      <c r="AY820" s="3"/>
      <c r="AZ820" s="30"/>
      <c r="BA820" s="30"/>
      <c r="BB820" s="14"/>
      <c r="BC820" s="14"/>
      <c r="BD820" s="14"/>
      <c r="BE820" s="14"/>
      <c r="BF820" s="14"/>
      <c r="BG820" s="14"/>
      <c r="BH820" s="14"/>
      <c r="BI820" s="14"/>
      <c r="BJ820" s="14"/>
      <c r="BK820" s="14"/>
      <c r="BL820" s="14"/>
      <c r="BM820" s="14"/>
      <c r="BN820" s="14"/>
      <c r="BO820" s="23" t="s">
        <v>227</v>
      </c>
      <c r="BP820" s="350">
        <v>352022</v>
      </c>
      <c r="BQ820" s="350">
        <v>405878</v>
      </c>
      <c r="BR820" s="350">
        <v>489600</v>
      </c>
      <c r="BS820" s="350">
        <v>626688</v>
      </c>
      <c r="BT820" s="350">
        <v>698170</v>
      </c>
      <c r="BU820" s="14"/>
      <c r="BV820" s="23" t="s">
        <v>227</v>
      </c>
      <c r="BW820" s="350">
        <v>352022</v>
      </c>
      <c r="BX820" s="350">
        <v>405878</v>
      </c>
      <c r="BY820" s="350">
        <v>489600</v>
      </c>
      <c r="BZ820" s="350">
        <v>626688</v>
      </c>
      <c r="CA820" s="350">
        <v>698170</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10" s="4" customFormat="1" ht="12.95" customHeight="1">
      <c r="A821"/>
      <c r="B821"/>
      <c r="C821" s="1689" t="s">
        <v>2708</v>
      </c>
      <c r="D821" s="1690"/>
      <c r="E821" s="1690"/>
      <c r="F821" s="1690"/>
      <c r="G821" s="1690"/>
      <c r="H821" s="1690"/>
      <c r="I821" s="1690"/>
      <c r="J821" s="1690"/>
      <c r="K821" s="1690"/>
      <c r="L821" s="1690"/>
      <c r="M821" s="1690"/>
      <c r="N821" s="1690"/>
      <c r="O821" s="1690"/>
      <c r="P821" s="1690"/>
      <c r="Q821" s="1690"/>
      <c r="R821" s="1690"/>
      <c r="S821" s="1690"/>
      <c r="T821" s="1690"/>
      <c r="U821" s="1690"/>
      <c r="V821" s="1690"/>
      <c r="W821" s="1690"/>
      <c r="X821" s="1690"/>
      <c r="Y821" s="1690"/>
      <c r="Z821" s="1690"/>
      <c r="AA821" s="1690"/>
      <c r="AB821" s="1690"/>
      <c r="AC821" s="1690"/>
      <c r="AD821" s="1690"/>
      <c r="AE821" s="1690"/>
      <c r="AF821" s="1690"/>
      <c r="AG821" s="1690"/>
      <c r="AH821" s="1690"/>
      <c r="AI821" s="1690"/>
      <c r="AJ821" s="1691"/>
      <c r="AK821"/>
      <c r="AL821" s="3"/>
      <c r="AM821" s="3"/>
      <c r="AN821" s="3"/>
      <c r="AO821" s="3"/>
      <c r="AP821" s="3"/>
      <c r="AQ821" s="3"/>
      <c r="AR821" s="3"/>
      <c r="AS821" s="3"/>
      <c r="AT821" s="3"/>
      <c r="AU821" s="3"/>
      <c r="AV821" s="3"/>
      <c r="AW821" s="3"/>
      <c r="AX821" s="3"/>
      <c r="AY821" s="3"/>
      <c r="AZ821" s="30"/>
      <c r="BA821" s="30"/>
      <c r="BB821" s="14"/>
      <c r="BC821" s="14"/>
      <c r="BD821" s="14"/>
      <c r="BE821" s="14"/>
      <c r="BF821" s="14"/>
      <c r="BG821" s="14"/>
      <c r="BH821" s="14"/>
      <c r="BI821" s="14"/>
      <c r="BJ821" s="14"/>
      <c r="BK821" s="14"/>
      <c r="BL821" s="14"/>
      <c r="BM821" s="14"/>
      <c r="BN821" s="14"/>
      <c r="BO821" s="23" t="s">
        <v>229</v>
      </c>
      <c r="BP821" s="352">
        <v>387110</v>
      </c>
      <c r="BQ821" s="352">
        <v>446334</v>
      </c>
      <c r="BR821" s="352">
        <v>538400</v>
      </c>
      <c r="BS821" s="352">
        <v>689152</v>
      </c>
      <c r="BT821" s="352">
        <v>767758</v>
      </c>
      <c r="BU821" s="14"/>
      <c r="BV821" s="23" t="s">
        <v>229</v>
      </c>
      <c r="BW821" s="352">
        <v>387110</v>
      </c>
      <c r="BX821" s="352">
        <v>446334</v>
      </c>
      <c r="BY821" s="352">
        <v>538400</v>
      </c>
      <c r="BZ821" s="352">
        <v>689152</v>
      </c>
      <c r="CA821" s="352">
        <v>767758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10" s="4" customFormat="1" ht="12.95" customHeight="1">
      <c r="A822"/>
      <c r="C822" s="3" t="s">
        <v>1298</v>
      </c>
      <c r="AK822"/>
      <c r="AL822" s="3"/>
      <c r="AM822" s="3"/>
      <c r="AN822" s="3"/>
      <c r="AO822" s="3"/>
      <c r="AP822" s="3"/>
      <c r="AQ822" s="3"/>
      <c r="AR822" s="3"/>
      <c r="AS822" s="3"/>
      <c r="AT822" s="3"/>
      <c r="AU822" s="3"/>
      <c r="AV822" s="3"/>
      <c r="AW822" s="3"/>
      <c r="AX822" s="3"/>
      <c r="AY822" s="3"/>
      <c r="AZ822" s="30"/>
      <c r="BA822" s="30"/>
      <c r="BB822" s="14"/>
      <c r="BC822" s="14"/>
      <c r="BD822" s="14"/>
      <c r="BE822" s="14"/>
      <c r="BF822" s="14"/>
      <c r="BG822" s="14"/>
      <c r="BH822" s="14"/>
      <c r="BI822" s="14"/>
      <c r="BJ822" s="14"/>
      <c r="BK822" s="14"/>
      <c r="BL822" s="14"/>
      <c r="BM822" s="14"/>
      <c r="BN822" s="14"/>
      <c r="BO822" s="23" t="s">
        <v>231</v>
      </c>
      <c r="BP822" s="350">
        <v>384234</v>
      </c>
      <c r="BQ822" s="350">
        <v>443018</v>
      </c>
      <c r="BR822" s="350">
        <v>534400</v>
      </c>
      <c r="BS822" s="350">
        <v>684032</v>
      </c>
      <c r="BT822" s="350">
        <v>762054</v>
      </c>
      <c r="BU822" s="14"/>
      <c r="BV822" s="23" t="s">
        <v>231</v>
      </c>
      <c r="BW822" s="350">
        <v>384234</v>
      </c>
      <c r="BX822" s="350">
        <v>443018</v>
      </c>
      <c r="BY822" s="350">
        <v>534400</v>
      </c>
      <c r="BZ822" s="350">
        <v>684032</v>
      </c>
      <c r="CA822" s="350">
        <v>762054</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10" s="14" customFormat="1" ht="12.95" customHeight="1">
      <c r="A823"/>
      <c r="B823"/>
      <c r="C823" s="2"/>
      <c r="D823"/>
      <c r="E823"/>
      <c r="F823"/>
      <c r="G823"/>
      <c r="H823"/>
      <c r="I823"/>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s="30"/>
      <c r="BA823" s="30"/>
      <c r="BO823" s="23" t="s">
        <v>232</v>
      </c>
      <c r="BP823" s="352">
        <v>352022</v>
      </c>
      <c r="BQ823" s="352">
        <v>405878</v>
      </c>
      <c r="BR823" s="352">
        <v>489600</v>
      </c>
      <c r="BS823" s="352">
        <v>626688</v>
      </c>
      <c r="BT823" s="352">
        <v>698170</v>
      </c>
      <c r="BV823" s="23" t="s">
        <v>232</v>
      </c>
      <c r="BW823" s="352">
        <v>352022</v>
      </c>
      <c r="BX823" s="352">
        <v>405878</v>
      </c>
      <c r="BY823" s="352">
        <v>489600</v>
      </c>
      <c r="BZ823" s="352">
        <v>626688</v>
      </c>
      <c r="CA823" s="352">
        <v>698170</v>
      </c>
      <c r="CB823" s="70"/>
      <c r="CC823" s="70"/>
      <c r="CD823" s="70"/>
      <c r="CE823" s="70"/>
      <c r="CF823" s="70"/>
      <c r="CG823" s="70"/>
      <c r="CH823" s="70"/>
      <c r="CI823" s="70"/>
      <c r="CJ823" s="70"/>
      <c r="CK823" s="70"/>
      <c r="CL823" s="70"/>
      <c r="CM823" s="70"/>
      <c r="CN823" s="70"/>
      <c r="CO823" s="70"/>
      <c r="CP823" s="70"/>
      <c r="CQ823" s="70"/>
      <c r="CR823" s="70"/>
      <c r="CS823" s="70"/>
      <c r="CT823" s="70"/>
      <c r="CU823" s="70"/>
      <c r="CV823" s="70"/>
      <c r="CW823" s="70"/>
      <c r="CX823" s="70"/>
      <c r="CY823" s="70"/>
      <c r="CZ823" s="70"/>
      <c r="DA823" s="70"/>
      <c r="DB823" s="70"/>
      <c r="DC823" s="70"/>
      <c r="DD823" s="70"/>
      <c r="DE823" s="70"/>
      <c r="DF823" s="70"/>
    </row>
    <row r="824" spans="1:110" s="14" customFormat="1" ht="12.95" customHeight="1">
      <c r="A824" s="2" t="s">
        <v>476</v>
      </c>
      <c r="B824"/>
      <c r="C824" s="2" t="s">
        <v>784</v>
      </c>
      <c r="D824"/>
      <c r="E824"/>
      <c r="F824"/>
      <c r="G824"/>
      <c r="H824"/>
      <c r="I824"/>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s="30"/>
      <c r="BA824" s="30"/>
      <c r="BO824" s="23" t="s">
        <v>233</v>
      </c>
      <c r="BP824" s="350">
        <v>396888</v>
      </c>
      <c r="BQ824" s="350">
        <v>457608</v>
      </c>
      <c r="BR824" s="350">
        <v>552000</v>
      </c>
      <c r="BS824" s="350">
        <v>706560</v>
      </c>
      <c r="BT824" s="350">
        <v>787152</v>
      </c>
      <c r="BV824" s="23" t="s">
        <v>233</v>
      </c>
      <c r="BW824" s="350">
        <v>396888</v>
      </c>
      <c r="BX824" s="350">
        <v>457608</v>
      </c>
      <c r="BY824" s="350">
        <v>552000</v>
      </c>
      <c r="BZ824" s="350">
        <v>706560</v>
      </c>
      <c r="CA824" s="350">
        <v>787152</v>
      </c>
      <c r="CB824" s="70"/>
      <c r="CC824" s="70"/>
      <c r="CD824" s="70"/>
      <c r="CE824" s="70"/>
      <c r="CF824" s="70"/>
      <c r="CG824" s="70"/>
      <c r="CH824" s="70"/>
      <c r="CI824" s="70"/>
      <c r="CJ824" s="70"/>
      <c r="CK824" s="70"/>
      <c r="CL824" s="70"/>
      <c r="CM824" s="70"/>
      <c r="CN824" s="70"/>
      <c r="CO824" s="70"/>
      <c r="CP824" s="70"/>
      <c r="CQ824" s="70"/>
      <c r="CR824" s="70"/>
      <c r="CS824" s="70"/>
      <c r="CT824" s="70"/>
      <c r="CU824" s="70"/>
      <c r="CV824" s="70"/>
      <c r="CW824" s="70"/>
      <c r="CX824" s="70"/>
      <c r="CY824" s="70"/>
      <c r="CZ824" s="70"/>
      <c r="DA824" s="70"/>
      <c r="DB824" s="70"/>
      <c r="DC824" s="70"/>
      <c r="DD824" s="70"/>
      <c r="DE824" s="70"/>
      <c r="DF824" s="70"/>
    </row>
    <row r="825" spans="1:110" s="14" customFormat="1" ht="12.95" customHeight="1">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s="30"/>
      <c r="BA825" s="30"/>
      <c r="BO825" s="23" t="s">
        <v>234</v>
      </c>
      <c r="BP825" s="352">
        <v>331890</v>
      </c>
      <c r="BQ825" s="352">
        <v>382666</v>
      </c>
      <c r="BR825" s="352">
        <v>461600</v>
      </c>
      <c r="BS825" s="352">
        <v>590848</v>
      </c>
      <c r="BT825" s="352">
        <v>658242</v>
      </c>
      <c r="BV825" s="23" t="s">
        <v>234</v>
      </c>
      <c r="BW825" s="352">
        <v>331890</v>
      </c>
      <c r="BX825" s="352">
        <v>382666</v>
      </c>
      <c r="BY825" s="352">
        <v>461600</v>
      </c>
      <c r="BZ825" s="352">
        <v>590848</v>
      </c>
      <c r="CA825" s="352">
        <v>658242</v>
      </c>
      <c r="CB825" s="70"/>
      <c r="CC825" s="70"/>
      <c r="CD825" s="70"/>
      <c r="CE825" s="70"/>
      <c r="CF825" s="70"/>
      <c r="CG825" s="70"/>
      <c r="CH825" s="70"/>
      <c r="CI825" s="70"/>
      <c r="CJ825" s="70"/>
      <c r="CK825" s="70"/>
      <c r="CL825" s="70"/>
      <c r="CM825" s="70"/>
      <c r="CN825" s="70"/>
      <c r="CO825" s="70"/>
      <c r="CP825" s="70"/>
      <c r="CQ825" s="70"/>
      <c r="CR825" s="70"/>
      <c r="CS825" s="70"/>
      <c r="CT825" s="70"/>
      <c r="CU825" s="70"/>
      <c r="CV825" s="70"/>
      <c r="CW825" s="70"/>
      <c r="CX825" s="70"/>
      <c r="CY825" s="70"/>
      <c r="CZ825" s="70"/>
      <c r="DA825" s="70"/>
      <c r="DB825" s="70"/>
      <c r="DC825" s="70"/>
      <c r="DD825" s="70"/>
      <c r="DE825" s="70"/>
      <c r="DF825" s="70"/>
    </row>
    <row r="826" spans="1:110" s="14" customFormat="1" ht="12.95" customHeight="1">
      <c r="A826"/>
      <c r="B826"/>
      <c r="C826" s="2" t="s">
        <v>344</v>
      </c>
      <c r="D826"/>
      <c r="E826"/>
      <c r="F826"/>
      <c r="G826"/>
      <c r="H826"/>
      <c r="I826"/>
      <c r="J826" s="45" t="s">
        <v>357</v>
      </c>
      <c r="K826" s="5"/>
      <c r="L826" s="5"/>
      <c r="M826" s="5"/>
      <c r="N826" s="5"/>
      <c r="O826" s="5"/>
      <c r="P826" s="5"/>
      <c r="Q826" s="5"/>
      <c r="R826" s="5"/>
      <c r="S826" s="5"/>
      <c r="T826" s="5"/>
      <c r="U826" s="5"/>
      <c r="V826" s="46"/>
      <c r="W826" s="1423">
        <v>2520</v>
      </c>
      <c r="X826" s="1423"/>
      <c r="Y826" s="1423"/>
      <c r="Z826" s="1423"/>
      <c r="AA826" s="1423"/>
      <c r="AB826" s="1423"/>
      <c r="AC826" s="1423"/>
      <c r="AD826"/>
      <c r="AE826"/>
      <c r="AF826"/>
      <c r="AG826"/>
      <c r="AH826"/>
      <c r="AI826"/>
      <c r="AJ826"/>
      <c r="AK826"/>
      <c r="AL826"/>
      <c r="AM826"/>
      <c r="AN826"/>
      <c r="AO826"/>
      <c r="AP826"/>
      <c r="AQ826"/>
      <c r="AR826"/>
      <c r="AS826"/>
      <c r="AT826"/>
      <c r="AU826"/>
      <c r="AV826"/>
      <c r="AW826"/>
      <c r="AX826"/>
      <c r="AY826"/>
      <c r="AZ826" s="30"/>
      <c r="BA826" s="30"/>
      <c r="BO826" s="23" t="s">
        <v>236</v>
      </c>
      <c r="BP826" s="350">
        <v>352022</v>
      </c>
      <c r="BQ826" s="350">
        <v>405878</v>
      </c>
      <c r="BR826" s="350">
        <v>489600</v>
      </c>
      <c r="BS826" s="350">
        <v>626688</v>
      </c>
      <c r="BT826" s="350">
        <v>698170</v>
      </c>
      <c r="BV826" s="23" t="s">
        <v>236</v>
      </c>
      <c r="BW826" s="350">
        <v>352022</v>
      </c>
      <c r="BX826" s="350">
        <v>405878</v>
      </c>
      <c r="BY826" s="350">
        <v>489600</v>
      </c>
      <c r="BZ826" s="350">
        <v>626688</v>
      </c>
      <c r="CA826" s="350">
        <v>698170</v>
      </c>
      <c r="CB826" s="70"/>
      <c r="CC826" s="70"/>
      <c r="CD826" s="70"/>
      <c r="CE826" s="70"/>
      <c r="CF826" s="70"/>
      <c r="CG826" s="70"/>
      <c r="CH826" s="70"/>
      <c r="CI826" s="70"/>
      <c r="CJ826" s="70"/>
      <c r="CK826" s="70"/>
      <c r="CL826" s="70"/>
      <c r="CM826" s="70"/>
      <c r="CN826" s="70"/>
      <c r="CO826" s="70"/>
      <c r="CP826" s="70"/>
      <c r="CQ826" s="70"/>
      <c r="CR826" s="70"/>
      <c r="CS826" s="70"/>
      <c r="CT826" s="70"/>
      <c r="CU826" s="70"/>
      <c r="CV826" s="70"/>
      <c r="CW826" s="70"/>
      <c r="CX826" s="70"/>
      <c r="CY826" s="70"/>
      <c r="CZ826" s="70"/>
      <c r="DA826" s="70"/>
      <c r="DB826" s="70"/>
      <c r="DC826" s="70"/>
      <c r="DD826" s="70"/>
      <c r="DE826" s="70"/>
      <c r="DF826" s="70"/>
    </row>
    <row r="827" spans="1:110" s="14" customFormat="1" ht="12.95" customHeight="1">
      <c r="A827"/>
      <c r="B827"/>
      <c r="C827"/>
      <c r="D827"/>
      <c r="E827"/>
      <c r="F827"/>
      <c r="G827"/>
      <c r="H827"/>
      <c r="I827"/>
      <c r="J827" s="45" t="s">
        <v>356</v>
      </c>
      <c r="K827" s="5"/>
      <c r="L827" s="5"/>
      <c r="M827" s="5"/>
      <c r="N827" s="5"/>
      <c r="O827" s="5"/>
      <c r="P827" s="5"/>
      <c r="Q827" s="5"/>
      <c r="R827" s="5"/>
      <c r="S827" s="5"/>
      <c r="T827" s="5"/>
      <c r="U827" s="5"/>
      <c r="V827" s="46"/>
      <c r="W827" s="1423"/>
      <c r="X827" s="1423"/>
      <c r="Y827" s="1423"/>
      <c r="Z827" s="1423"/>
      <c r="AA827" s="1423"/>
      <c r="AB827" s="1423"/>
      <c r="AC827" s="1423"/>
      <c r="AD827"/>
      <c r="AE827"/>
      <c r="AF827"/>
      <c r="AG827"/>
      <c r="AH827"/>
      <c r="AI827"/>
      <c r="AJ827"/>
      <c r="AK827"/>
      <c r="AL827"/>
      <c r="AM827"/>
      <c r="AN827"/>
      <c r="AO827"/>
      <c r="AP827"/>
      <c r="AQ827"/>
      <c r="AR827"/>
      <c r="AS827"/>
      <c r="AT827"/>
      <c r="AU827"/>
      <c r="AV827"/>
      <c r="AW827"/>
      <c r="AX827"/>
      <c r="AY827"/>
      <c r="BO827" s="23" t="s">
        <v>237</v>
      </c>
      <c r="BP827" s="352">
        <v>314634</v>
      </c>
      <c r="BQ827" s="352">
        <v>362770</v>
      </c>
      <c r="BR827" s="352">
        <v>437600</v>
      </c>
      <c r="BS827" s="352">
        <v>560128</v>
      </c>
      <c r="BT827" s="352">
        <v>624018</v>
      </c>
      <c r="BV827" s="23" t="s">
        <v>237</v>
      </c>
      <c r="BW827" s="352">
        <v>314634</v>
      </c>
      <c r="BX827" s="352">
        <v>362770</v>
      </c>
      <c r="BY827" s="352">
        <v>437600</v>
      </c>
      <c r="BZ827" s="352">
        <v>560128</v>
      </c>
      <c r="CA827" s="352">
        <v>624018</v>
      </c>
      <c r="CB827" s="70"/>
      <c r="CC827" s="70"/>
      <c r="CD827" s="70"/>
      <c r="CE827" s="70"/>
      <c r="CF827" s="70"/>
      <c r="CG827" s="70"/>
      <c r="CH827" s="70"/>
      <c r="CI827" s="70"/>
      <c r="CJ827" s="70"/>
      <c r="CK827" s="70"/>
      <c r="CL827" s="70"/>
      <c r="CM827" s="70"/>
      <c r="CN827" s="70"/>
      <c r="CO827" s="70"/>
      <c r="CP827" s="70"/>
      <c r="CQ827" s="70"/>
      <c r="CR827" s="70"/>
      <c r="CS827" s="70"/>
      <c r="CT827" s="70"/>
      <c r="CU827" s="70"/>
      <c r="CV827" s="70"/>
      <c r="CW827" s="70"/>
      <c r="CX827" s="70"/>
      <c r="CY827" s="70"/>
      <c r="CZ827" s="70"/>
      <c r="DA827" s="70"/>
      <c r="DB827" s="70"/>
      <c r="DC827" s="70"/>
      <c r="DD827" s="70"/>
      <c r="DE827" s="70"/>
      <c r="DF827" s="70"/>
    </row>
    <row r="828" spans="1:110" s="14" customFormat="1" ht="12.95" customHeight="1">
      <c r="A828"/>
      <c r="B828"/>
      <c r="C828"/>
      <c r="D828"/>
      <c r="E828"/>
      <c r="F828"/>
      <c r="G828"/>
      <c r="H828"/>
      <c r="I828"/>
      <c r="J828" s="45" t="s">
        <v>355</v>
      </c>
      <c r="K828" s="5"/>
      <c r="L828" s="5"/>
      <c r="M828" s="5"/>
      <c r="N828" s="5"/>
      <c r="O828" s="5"/>
      <c r="P828" s="5"/>
      <c r="Q828" s="5"/>
      <c r="R828" s="5"/>
      <c r="S828" s="5"/>
      <c r="T828" s="5"/>
      <c r="U828" s="5"/>
      <c r="V828" s="46"/>
      <c r="W828" s="1423">
        <v>10000</v>
      </c>
      <c r="X828" s="1423"/>
      <c r="Y828" s="1423"/>
      <c r="Z828" s="1423"/>
      <c r="AA828" s="1423"/>
      <c r="AB828" s="1423"/>
      <c r="AC828" s="1423"/>
      <c r="AD828"/>
      <c r="AE828"/>
      <c r="AF828"/>
      <c r="AG828"/>
      <c r="AH828"/>
      <c r="AI828"/>
      <c r="AJ828"/>
      <c r="AK828"/>
      <c r="AL828"/>
      <c r="AM828"/>
      <c r="AN828"/>
      <c r="AO828"/>
      <c r="AP828"/>
      <c r="AQ828"/>
      <c r="AR828"/>
      <c r="AS828"/>
      <c r="AT828"/>
      <c r="AU828"/>
      <c r="AV828"/>
      <c r="AW828"/>
      <c r="AX828"/>
      <c r="AY828"/>
      <c r="BO828" s="23" t="s">
        <v>644</v>
      </c>
      <c r="BP828" s="350">
        <v>331890</v>
      </c>
      <c r="BQ828" s="350">
        <v>382666</v>
      </c>
      <c r="BR828" s="350">
        <v>461600</v>
      </c>
      <c r="BS828" s="350">
        <v>590848</v>
      </c>
      <c r="BT828" s="350">
        <v>658242</v>
      </c>
      <c r="BV828" s="23" t="s">
        <v>644</v>
      </c>
      <c r="BW828" s="350">
        <v>331890</v>
      </c>
      <c r="BX828" s="350">
        <v>382666</v>
      </c>
      <c r="BY828" s="350">
        <v>461600</v>
      </c>
      <c r="BZ828" s="350">
        <v>590848</v>
      </c>
      <c r="CA828" s="350">
        <v>658242</v>
      </c>
      <c r="CB828" s="70"/>
      <c r="CC828" s="70"/>
      <c r="CD828" s="70"/>
      <c r="CE828" s="70"/>
      <c r="CF828" s="70"/>
      <c r="CG828" s="70"/>
      <c r="CH828" s="70"/>
      <c r="CI828" s="70"/>
      <c r="CJ828" s="70"/>
      <c r="CK828" s="70"/>
      <c r="CL828" s="70"/>
      <c r="CM828" s="70"/>
      <c r="CN828" s="70"/>
      <c r="CO828" s="70"/>
      <c r="CP828" s="70"/>
      <c r="CQ828" s="70"/>
      <c r="CR828" s="70"/>
      <c r="CS828" s="70"/>
      <c r="CT828" s="70"/>
      <c r="CU828" s="70"/>
      <c r="CV828" s="70"/>
      <c r="CW828" s="70"/>
      <c r="CX828" s="70"/>
      <c r="CY828" s="70"/>
      <c r="CZ828" s="70"/>
      <c r="DA828" s="70"/>
      <c r="DB828" s="70"/>
      <c r="DC828" s="70"/>
      <c r="DD828" s="70"/>
      <c r="DE828" s="70"/>
      <c r="DF828" s="70"/>
    </row>
    <row r="829" spans="1:110" s="14" customFormat="1" ht="12.95" customHeight="1">
      <c r="A829"/>
      <c r="B829"/>
      <c r="C829"/>
      <c r="D829"/>
      <c r="E829"/>
      <c r="F829"/>
      <c r="G829"/>
      <c r="H829"/>
      <c r="I829"/>
      <c r="J829" s="45" t="s">
        <v>354</v>
      </c>
      <c r="K829" s="5"/>
      <c r="L829" s="5"/>
      <c r="M829" s="5"/>
      <c r="N829" s="5"/>
      <c r="O829" s="5"/>
      <c r="P829" s="5"/>
      <c r="Q829" s="5"/>
      <c r="R829" s="5"/>
      <c r="S829" s="5"/>
      <c r="T829" s="5"/>
      <c r="U829" s="5"/>
      <c r="V829" s="46"/>
      <c r="W829" s="1423">
        <v>6305</v>
      </c>
      <c r="X829" s="1423"/>
      <c r="Y829" s="1423"/>
      <c r="Z829" s="1423"/>
      <c r="AA829" s="1423"/>
      <c r="AB829" s="1423"/>
      <c r="AC829" s="1423"/>
      <c r="AD829"/>
      <c r="AE829"/>
      <c r="AF829"/>
      <c r="AG829"/>
      <c r="AH829"/>
      <c r="AI829"/>
      <c r="AJ829"/>
      <c r="AK829"/>
      <c r="AL829"/>
      <c r="AM829"/>
      <c r="AN829"/>
      <c r="AO829"/>
      <c r="AP829"/>
      <c r="AQ829"/>
      <c r="AR829"/>
      <c r="AS829"/>
      <c r="AT829"/>
      <c r="AU829"/>
      <c r="AV829"/>
      <c r="AW829"/>
      <c r="AX829"/>
      <c r="AY829"/>
      <c r="BO829" s="23" t="s">
        <v>698</v>
      </c>
      <c r="BP829" s="352">
        <v>352022</v>
      </c>
      <c r="BQ829" s="352">
        <v>405878</v>
      </c>
      <c r="BR829" s="352">
        <v>489600</v>
      </c>
      <c r="BS829" s="352">
        <v>626688</v>
      </c>
      <c r="BT829" s="352">
        <v>698170</v>
      </c>
      <c r="BV829" s="23" t="s">
        <v>698</v>
      </c>
      <c r="BW829" s="352">
        <v>352022</v>
      </c>
      <c r="BX829" s="352">
        <v>405878</v>
      </c>
      <c r="BY829" s="352">
        <v>489600</v>
      </c>
      <c r="BZ829" s="352">
        <v>626688</v>
      </c>
      <c r="CA829" s="352">
        <v>698170</v>
      </c>
      <c r="CB829" s="70"/>
      <c r="CC829" s="70"/>
      <c r="CD829" s="70"/>
      <c r="CE829" s="70"/>
      <c r="CF829" s="70"/>
      <c r="CG829" s="70"/>
      <c r="CH829" s="70"/>
      <c r="CI829" s="70"/>
      <c r="CJ829" s="70"/>
      <c r="CK829" s="70"/>
      <c r="CL829" s="70"/>
      <c r="CM829" s="70"/>
      <c r="CN829" s="70"/>
      <c r="CO829" s="70"/>
      <c r="CP829" s="70"/>
      <c r="CQ829" s="70"/>
      <c r="CR829" s="70"/>
      <c r="CS829" s="70"/>
      <c r="CT829" s="70"/>
      <c r="CU829" s="70"/>
      <c r="CV829" s="70"/>
      <c r="CW829" s="70"/>
      <c r="CX829" s="70"/>
      <c r="CY829" s="70"/>
      <c r="CZ829" s="70"/>
      <c r="DA829" s="70"/>
      <c r="DB829" s="70"/>
      <c r="DC829" s="70"/>
      <c r="DD829" s="70"/>
      <c r="DE829" s="70"/>
      <c r="DF829" s="70"/>
    </row>
    <row r="830" spans="1:110" s="14" customFormat="1" ht="12.95" customHeight="1">
      <c r="A830"/>
      <c r="B830"/>
      <c r="C830"/>
      <c r="D830"/>
      <c r="E830"/>
      <c r="F830"/>
      <c r="G830"/>
      <c r="H830"/>
      <c r="I830"/>
      <c r="J830" s="45" t="s">
        <v>170</v>
      </c>
      <c r="K830" s="5"/>
      <c r="L830" s="5"/>
      <c r="M830" s="1534" t="s">
        <v>2720</v>
      </c>
      <c r="N830" s="1535"/>
      <c r="O830" s="1535"/>
      <c r="P830" s="1535"/>
      <c r="Q830" s="1535"/>
      <c r="R830" s="1535"/>
      <c r="S830" s="1535"/>
      <c r="T830" s="1535"/>
      <c r="U830" s="1535"/>
      <c r="V830" s="1536"/>
      <c r="W830" s="1423">
        <v>46200</v>
      </c>
      <c r="X830" s="1423"/>
      <c r="Y830" s="1423"/>
      <c r="Z830" s="1423"/>
      <c r="AA830" s="1423"/>
      <c r="AB830" s="1423"/>
      <c r="AC830" s="1423"/>
      <c r="AD830"/>
      <c r="AE830"/>
      <c r="AF830"/>
      <c r="AG830"/>
      <c r="AH830"/>
      <c r="AI830"/>
      <c r="AJ830"/>
      <c r="AK830"/>
      <c r="AL830"/>
      <c r="AM830"/>
      <c r="AN830"/>
      <c r="AO830"/>
      <c r="AP830"/>
      <c r="AQ830"/>
      <c r="AR830"/>
      <c r="AS830"/>
      <c r="AT830"/>
      <c r="AU830"/>
      <c r="AV830"/>
      <c r="AW830"/>
      <c r="AX830"/>
      <c r="AY830"/>
      <c r="BI830" s="1636">
        <f>ROUNDDOWN(BC918*2,2)</f>
        <v>0</v>
      </c>
      <c r="BJ830" s="1636"/>
      <c r="BK830" s="1636"/>
      <c r="BL830" s="1636"/>
      <c r="BO830" s="23" t="s">
        <v>699</v>
      </c>
      <c r="BP830" s="350">
        <v>314634</v>
      </c>
      <c r="BQ830" s="350">
        <v>362770</v>
      </c>
      <c r="BR830" s="350">
        <v>437600</v>
      </c>
      <c r="BS830" s="350">
        <v>560128</v>
      </c>
      <c r="BT830" s="350">
        <v>624018</v>
      </c>
      <c r="BV830" s="23" t="s">
        <v>699</v>
      </c>
      <c r="BW830" s="350">
        <v>314634</v>
      </c>
      <c r="BX830" s="350">
        <v>362770</v>
      </c>
      <c r="BY830" s="350">
        <v>437600</v>
      </c>
      <c r="BZ830" s="350">
        <v>560128</v>
      </c>
      <c r="CA830" s="350">
        <v>624018</v>
      </c>
      <c r="CB830" s="70"/>
      <c r="CC830" s="70"/>
      <c r="CD830" s="70"/>
      <c r="CE830" s="70"/>
      <c r="CF830" s="70"/>
      <c r="CG830" s="70"/>
      <c r="CH830" s="70"/>
      <c r="CI830" s="70"/>
      <c r="CJ830" s="70"/>
      <c r="CK830" s="70"/>
      <c r="CL830" s="70"/>
      <c r="CM830" s="70"/>
      <c r="CN830" s="70"/>
      <c r="CO830" s="70"/>
      <c r="CP830" s="70"/>
      <c r="CQ830" s="70"/>
      <c r="CR830" s="70"/>
      <c r="CS830" s="70"/>
      <c r="CT830" s="70"/>
      <c r="CU830" s="70"/>
      <c r="CV830" s="70"/>
      <c r="CW830" s="70"/>
      <c r="CX830" s="70"/>
      <c r="CY830" s="70"/>
      <c r="CZ830" s="70"/>
      <c r="DA830" s="70"/>
      <c r="DB830" s="70"/>
      <c r="DC830" s="70"/>
      <c r="DD830" s="70"/>
      <c r="DE830" s="70"/>
      <c r="DF830" s="70"/>
    </row>
    <row r="831" spans="1:110" s="14" customFormat="1" ht="12.95" customHeight="1">
      <c r="A831"/>
      <c r="B831"/>
      <c r="C831"/>
      <c r="D831"/>
      <c r="E831"/>
      <c r="F831"/>
      <c r="G831"/>
      <c r="H831"/>
      <c r="I831"/>
      <c r="J831" s="45"/>
      <c r="K831" s="5"/>
      <c r="L831" s="5"/>
      <c r="M831" s="5"/>
      <c r="N831" s="5"/>
      <c r="O831" s="5"/>
      <c r="P831" s="5"/>
      <c r="Q831" s="5"/>
      <c r="R831" s="5"/>
      <c r="S831" s="5"/>
      <c r="T831" s="5"/>
      <c r="U831" s="5"/>
      <c r="V831" s="54" t="s">
        <v>343</v>
      </c>
      <c r="W831" s="1587">
        <f>SUM(W826:AC830)</f>
        <v>65025</v>
      </c>
      <c r="X831" s="1588"/>
      <c r="Y831" s="1588"/>
      <c r="Z831" s="1588"/>
      <c r="AA831" s="1588"/>
      <c r="AB831" s="1588"/>
      <c r="AC831" s="1589"/>
      <c r="AD831"/>
      <c r="AE831"/>
      <c r="AF831"/>
      <c r="AG831"/>
      <c r="AH831"/>
      <c r="AI831"/>
      <c r="AJ831"/>
      <c r="AK831"/>
      <c r="AL831"/>
      <c r="AM831"/>
      <c r="AN831"/>
      <c r="AO831"/>
      <c r="AP831"/>
      <c r="AQ831"/>
      <c r="AR831"/>
      <c r="AS831"/>
      <c r="AT831"/>
      <c r="AU831"/>
      <c r="AV831"/>
      <c r="AW831"/>
      <c r="AX831"/>
      <c r="AY831"/>
      <c r="AZ831" s="30"/>
      <c r="BA831" s="30"/>
      <c r="BO831" s="23" t="s">
        <v>700</v>
      </c>
      <c r="BP831" s="352">
        <v>353173</v>
      </c>
      <c r="BQ831" s="352">
        <v>407205</v>
      </c>
      <c r="BR831" s="352">
        <v>491200</v>
      </c>
      <c r="BS831" s="352">
        <v>628736</v>
      </c>
      <c r="BT831" s="352">
        <v>700451</v>
      </c>
      <c r="BV831" s="23" t="s">
        <v>700</v>
      </c>
      <c r="BW831" s="352">
        <v>353173</v>
      </c>
      <c r="BX831" s="352">
        <v>407205</v>
      </c>
      <c r="BY831" s="352">
        <v>491200</v>
      </c>
      <c r="BZ831" s="352">
        <v>628736</v>
      </c>
      <c r="CA831" s="352">
        <v>700451</v>
      </c>
      <c r="CB831" s="70"/>
      <c r="CC831" s="70"/>
      <c r="CD831" s="70"/>
      <c r="CE831" s="70"/>
      <c r="CF831" s="70"/>
      <c r="CG831" s="70"/>
      <c r="CH831" s="70"/>
      <c r="CI831" s="70"/>
      <c r="CJ831" s="70"/>
      <c r="CK831" s="70"/>
      <c r="CL831" s="70"/>
      <c r="CM831" s="70"/>
      <c r="CN831" s="70"/>
      <c r="CO831" s="70"/>
      <c r="CP831" s="70"/>
      <c r="CQ831" s="70"/>
      <c r="CR831" s="70"/>
      <c r="CS831" s="70"/>
      <c r="CT831" s="70"/>
      <c r="CU831" s="70"/>
      <c r="CV831" s="70"/>
      <c r="CW831" s="70"/>
      <c r="CX831" s="70"/>
      <c r="CY831" s="70"/>
      <c r="CZ831" s="70"/>
      <c r="DA831" s="70"/>
      <c r="DB831" s="70"/>
      <c r="DC831" s="70"/>
      <c r="DD831" s="70"/>
      <c r="DE831" s="70"/>
      <c r="DF831" s="70"/>
    </row>
    <row r="832" spans="1:110" s="14" customFormat="1" ht="12.95" customHeight="1">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s="30">
        <f>IF(AJ994&gt;1,0.025,0)</f>
        <v>2.5000000000000001E-2</v>
      </c>
      <c r="BA832" s="30"/>
      <c r="BO832" s="23" t="s">
        <v>701</v>
      </c>
      <c r="BP832" s="350">
        <v>689665</v>
      </c>
      <c r="BQ832" s="350">
        <v>795177</v>
      </c>
      <c r="BR832" s="350">
        <v>959200</v>
      </c>
      <c r="BS832" s="350">
        <v>1227776</v>
      </c>
      <c r="BT832" s="350">
        <v>1367819</v>
      </c>
      <c r="BV832" s="23" t="s">
        <v>701</v>
      </c>
      <c r="BW832" s="350">
        <v>689665</v>
      </c>
      <c r="BX832" s="350">
        <v>795177</v>
      </c>
      <c r="BY832" s="350">
        <v>959200</v>
      </c>
      <c r="BZ832" s="350">
        <v>1227776</v>
      </c>
      <c r="CA832" s="350">
        <v>1367819</v>
      </c>
      <c r="CB832" s="70"/>
      <c r="CC832" s="70"/>
      <c r="CD832" s="70"/>
      <c r="CE832" s="70"/>
      <c r="CF832" s="70"/>
      <c r="CG832" s="70"/>
      <c r="CH832" s="70"/>
      <c r="CI832" s="70"/>
      <c r="CJ832" s="70"/>
      <c r="CK832" s="70"/>
      <c r="CL832" s="70"/>
      <c r="CM832" s="70"/>
      <c r="CN832" s="70"/>
      <c r="CO832" s="70"/>
      <c r="CP832" s="70"/>
      <c r="CQ832" s="70"/>
      <c r="CR832" s="70"/>
      <c r="CS832" s="70"/>
      <c r="CT832" s="70"/>
      <c r="CU832" s="70"/>
      <c r="CV832" s="70"/>
      <c r="CW832" s="70"/>
      <c r="CX832" s="70"/>
      <c r="CY832" s="70"/>
      <c r="CZ832" s="70"/>
      <c r="DA832" s="70"/>
      <c r="DB832" s="70"/>
      <c r="DC832" s="70"/>
      <c r="DD832" s="70"/>
      <c r="DE832" s="70"/>
      <c r="DF832" s="70"/>
    </row>
    <row r="833" spans="1:110" s="14" customFormat="1" ht="12.95" customHeight="1">
      <c r="A833"/>
      <c r="B833"/>
      <c r="C833" s="2" t="s">
        <v>345</v>
      </c>
      <c r="D833"/>
      <c r="E833"/>
      <c r="F833"/>
      <c r="G833"/>
      <c r="H833"/>
      <c r="I833"/>
      <c r="J833" s="1577" t="s">
        <v>346</v>
      </c>
      <c r="K833" s="1578"/>
      <c r="L833" s="1578"/>
      <c r="M833" s="1578"/>
      <c r="N833" s="1578"/>
      <c r="O833" s="1578"/>
      <c r="P833" s="1578"/>
      <c r="Q833" s="1578"/>
      <c r="R833" s="1578"/>
      <c r="S833" s="1578"/>
      <c r="T833" s="1578"/>
      <c r="U833" s="1578"/>
      <c r="V833" s="1579"/>
      <c r="W833" s="1420">
        <v>105749</v>
      </c>
      <c r="X833" s="1421"/>
      <c r="Y833" s="1421"/>
      <c r="Z833" s="1421"/>
      <c r="AA833" s="1421"/>
      <c r="AB833" s="1421"/>
      <c r="AC833" s="1422"/>
      <c r="AD833" s="568"/>
      <c r="AE833"/>
      <c r="AF833"/>
      <c r="AG833"/>
      <c r="AH833"/>
      <c r="AI833"/>
      <c r="AJ833"/>
      <c r="AK833"/>
      <c r="AL833"/>
      <c r="AM833"/>
      <c r="AN833"/>
      <c r="AO833"/>
      <c r="AP833"/>
      <c r="AQ833"/>
      <c r="AR833"/>
      <c r="AS833"/>
      <c r="AT833"/>
      <c r="AU833"/>
      <c r="AV833"/>
      <c r="AW833"/>
      <c r="AX833"/>
      <c r="AY833"/>
      <c r="AZ833" s="30"/>
      <c r="BA833" s="30"/>
      <c r="BO833" s="23" t="s">
        <v>243</v>
      </c>
      <c r="BP833" s="352">
        <v>307732</v>
      </c>
      <c r="BQ833" s="352">
        <v>354812</v>
      </c>
      <c r="BR833" s="352">
        <v>428000</v>
      </c>
      <c r="BS833" s="352">
        <v>547840</v>
      </c>
      <c r="BT833" s="352">
        <v>610328</v>
      </c>
      <c r="BV833" s="23" t="s">
        <v>243</v>
      </c>
      <c r="BW833" s="352">
        <v>307732</v>
      </c>
      <c r="BX833" s="352">
        <v>354812</v>
      </c>
      <c r="BY833" s="352">
        <v>428000</v>
      </c>
      <c r="BZ833" s="352">
        <v>547840</v>
      </c>
      <c r="CA833" s="352">
        <v>610328</v>
      </c>
      <c r="CB833" s="70"/>
      <c r="CC833" s="70"/>
      <c r="CD833" s="70"/>
      <c r="CE833" s="70"/>
      <c r="CF833" s="70"/>
      <c r="CG833" s="70"/>
      <c r="CH833" s="70"/>
      <c r="CI833" s="70"/>
      <c r="CJ833" s="70"/>
      <c r="CK833" s="70"/>
      <c r="CL833" s="70"/>
      <c r="CM833" s="70"/>
      <c r="CN833" s="70"/>
      <c r="CO833" s="70"/>
      <c r="CP833" s="70"/>
      <c r="CQ833" s="70"/>
      <c r="CR833" s="70"/>
      <c r="CS833" s="70"/>
      <c r="CT833" s="70"/>
      <c r="CU833" s="70"/>
      <c r="CV833" s="70"/>
      <c r="CW833" s="70"/>
      <c r="CX833" s="70"/>
      <c r="CY833" s="70"/>
      <c r="CZ833" s="70"/>
      <c r="DA833" s="70"/>
      <c r="DB833" s="70"/>
      <c r="DC833" s="70"/>
      <c r="DD833" s="70"/>
      <c r="DE833" s="70"/>
      <c r="DF833" s="70"/>
    </row>
    <row r="834" spans="1:110" s="14" customFormat="1" ht="12.95" customHeight="1">
      <c r="A834"/>
      <c r="B834"/>
      <c r="C834"/>
      <c r="D834"/>
      <c r="E834"/>
      <c r="F834"/>
      <c r="G834"/>
      <c r="H834"/>
      <c r="I834"/>
      <c r="J834"/>
      <c r="K834"/>
      <c r="L834"/>
      <c r="M834"/>
      <c r="N834"/>
      <c r="O834"/>
      <c r="P834"/>
      <c r="Q834"/>
      <c r="R834"/>
      <c r="S834"/>
      <c r="T834"/>
      <c r="U834"/>
      <c r="V834"/>
      <c r="W834"/>
      <c r="X834"/>
      <c r="Y834"/>
      <c r="Z834"/>
      <c r="AA834"/>
      <c r="AB834"/>
      <c r="AC834"/>
      <c r="AD834" s="568"/>
      <c r="AE834"/>
      <c r="AF834"/>
      <c r="AG834"/>
      <c r="AH834"/>
      <c r="AI834"/>
      <c r="AJ834"/>
      <c r="AK834"/>
      <c r="AL834"/>
      <c r="AM834"/>
      <c r="AN834"/>
      <c r="AO834"/>
      <c r="AP834"/>
      <c r="AQ834"/>
      <c r="AR834"/>
      <c r="AS834"/>
      <c r="AT834"/>
      <c r="AU834"/>
      <c r="AV834"/>
      <c r="AW834"/>
      <c r="AX834"/>
      <c r="AY834"/>
      <c r="AZ834" s="30"/>
      <c r="BA834" s="30"/>
      <c r="BO834" s="23" t="s">
        <v>244</v>
      </c>
      <c r="BP834" s="350">
        <v>387110</v>
      </c>
      <c r="BQ834" s="350">
        <v>446334</v>
      </c>
      <c r="BR834" s="350">
        <v>538400</v>
      </c>
      <c r="BS834" s="350">
        <v>689152</v>
      </c>
      <c r="BT834" s="350">
        <v>767758</v>
      </c>
      <c r="BV834" s="23" t="s">
        <v>244</v>
      </c>
      <c r="BW834" s="350">
        <v>387110</v>
      </c>
      <c r="BX834" s="350">
        <v>446334</v>
      </c>
      <c r="BY834" s="350">
        <v>538400</v>
      </c>
      <c r="BZ834" s="350">
        <v>689152</v>
      </c>
      <c r="CA834" s="350">
        <v>767758</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row>
    <row r="835" spans="1:110" s="14" customFormat="1" ht="12.95" customHeight="1">
      <c r="A835"/>
      <c r="B835"/>
      <c r="C835" s="2" t="s">
        <v>570</v>
      </c>
      <c r="D835"/>
      <c r="E835"/>
      <c r="F835"/>
      <c r="G835"/>
      <c r="H835"/>
      <c r="I835"/>
      <c r="J835" s="45" t="s">
        <v>353</v>
      </c>
      <c r="K835" s="5"/>
      <c r="L835" s="5"/>
      <c r="M835" s="5"/>
      <c r="N835" s="5"/>
      <c r="O835" s="5"/>
      <c r="P835" s="5"/>
      <c r="Q835" s="5"/>
      <c r="R835" s="5"/>
      <c r="S835" s="5"/>
      <c r="T835" s="5"/>
      <c r="U835" s="5"/>
      <c r="V835" s="46"/>
      <c r="W835" s="1698"/>
      <c r="X835" s="1698"/>
      <c r="Y835" s="1698"/>
      <c r="Z835" s="1698"/>
      <c r="AA835" s="1698"/>
      <c r="AB835" s="1698"/>
      <c r="AC835" s="1698"/>
      <c r="AD835"/>
      <c r="AE835"/>
      <c r="AF835"/>
      <c r="AG835"/>
      <c r="AH835"/>
      <c r="AI835"/>
      <c r="AJ835"/>
      <c r="AK835"/>
      <c r="AL835"/>
      <c r="AM835"/>
      <c r="AN835"/>
      <c r="AO835"/>
      <c r="AP835"/>
      <c r="AQ835"/>
      <c r="AR835"/>
      <c r="AS835"/>
      <c r="AT835"/>
      <c r="AU835"/>
      <c r="AV835"/>
      <c r="AW835"/>
      <c r="AX835"/>
      <c r="AY835"/>
      <c r="AZ835" s="30">
        <f>IF(AJ994&gt;1,0.05,0)</f>
        <v>0.05</v>
      </c>
      <c r="BA835" s="30"/>
      <c r="BO835" s="23" t="s">
        <v>245</v>
      </c>
      <c r="BP835" s="351">
        <v>532060</v>
      </c>
      <c r="BQ835" s="351">
        <v>613460</v>
      </c>
      <c r="BR835" s="352">
        <v>740000</v>
      </c>
      <c r="BS835" s="351">
        <v>947200</v>
      </c>
      <c r="BT835" s="351">
        <v>1055240</v>
      </c>
      <c r="BV835" s="23" t="s">
        <v>245</v>
      </c>
      <c r="BW835" s="351">
        <v>532060</v>
      </c>
      <c r="BX835" s="351">
        <v>613460</v>
      </c>
      <c r="BY835" s="351">
        <v>740000</v>
      </c>
      <c r="BZ835" s="351">
        <v>947200</v>
      </c>
      <c r="CA835" s="351">
        <v>1055240</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row>
    <row r="836" spans="1:110" s="14" customFormat="1" ht="12.95" customHeight="1">
      <c r="A836"/>
      <c r="B836"/>
      <c r="C836"/>
      <c r="D836"/>
      <c r="E836"/>
      <c r="F836"/>
      <c r="G836"/>
      <c r="H836"/>
      <c r="I836"/>
      <c r="J836" s="45" t="s">
        <v>352</v>
      </c>
      <c r="K836" s="5"/>
      <c r="L836" s="5"/>
      <c r="M836" s="5"/>
      <c r="N836" s="5"/>
      <c r="O836" s="5"/>
      <c r="P836" s="5"/>
      <c r="Q836" s="5"/>
      <c r="R836" s="5"/>
      <c r="S836" s="5"/>
      <c r="T836" s="5"/>
      <c r="U836" s="5"/>
      <c r="V836" s="46"/>
      <c r="W836" s="1698"/>
      <c r="X836" s="1698"/>
      <c r="Y836" s="1698"/>
      <c r="Z836" s="1698"/>
      <c r="AA836" s="1698"/>
      <c r="AB836" s="1698"/>
      <c r="AC836" s="1698"/>
      <c r="AD836"/>
      <c r="AE836"/>
      <c r="AF836"/>
      <c r="AG836"/>
      <c r="AH836"/>
      <c r="AI836"/>
      <c r="AJ836"/>
      <c r="AK836"/>
      <c r="AL836"/>
      <c r="AM836"/>
      <c r="AN836"/>
      <c r="AO836"/>
      <c r="AP836"/>
      <c r="AQ836"/>
      <c r="AR836"/>
      <c r="AS836"/>
      <c r="AT836"/>
      <c r="AU836"/>
      <c r="AV836"/>
      <c r="AW836"/>
      <c r="AX836"/>
      <c r="AY836"/>
      <c r="AZ836" s="30"/>
      <c r="BA836" s="30"/>
      <c r="BO836" s="23" t="s">
        <v>707</v>
      </c>
      <c r="BP836" s="350">
        <v>387110</v>
      </c>
      <c r="BQ836" s="350">
        <v>446334</v>
      </c>
      <c r="BR836" s="350">
        <v>538400</v>
      </c>
      <c r="BS836" s="350">
        <v>689152</v>
      </c>
      <c r="BT836" s="350">
        <v>767758</v>
      </c>
      <c r="BV836" s="23" t="s">
        <v>707</v>
      </c>
      <c r="BW836" s="350">
        <v>387110</v>
      </c>
      <c r="BX836" s="350">
        <v>446334</v>
      </c>
      <c r="BY836" s="350">
        <v>538400</v>
      </c>
      <c r="BZ836" s="350">
        <v>689152</v>
      </c>
      <c r="CA836" s="350">
        <v>767758</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row>
    <row r="837" spans="1:110" s="14" customFormat="1" ht="12.95" customHeight="1">
      <c r="A837"/>
      <c r="B837"/>
      <c r="C837"/>
      <c r="D837"/>
      <c r="E837"/>
      <c r="F837"/>
      <c r="G837"/>
      <c r="H837"/>
      <c r="I837"/>
      <c r="J837" s="45" t="s">
        <v>468</v>
      </c>
      <c r="K837" s="5"/>
      <c r="L837" s="5"/>
      <c r="M837" s="5"/>
      <c r="N837" s="5"/>
      <c r="O837" s="5"/>
      <c r="P837" s="5"/>
      <c r="Q837" s="5"/>
      <c r="R837" s="5"/>
      <c r="S837" s="5"/>
      <c r="T837" s="5"/>
      <c r="U837" s="5"/>
      <c r="V837" s="46"/>
      <c r="W837" s="1698">
        <v>172200</v>
      </c>
      <c r="X837" s="1698"/>
      <c r="Y837" s="1698"/>
      <c r="Z837" s="1698"/>
      <c r="AA837" s="1698"/>
      <c r="AB837" s="1698"/>
      <c r="AC837" s="1698"/>
      <c r="AD837"/>
      <c r="AE837"/>
      <c r="AF837"/>
      <c r="AG837"/>
      <c r="AH837"/>
      <c r="AI837"/>
      <c r="AJ837"/>
      <c r="AK837"/>
      <c r="AL837"/>
      <c r="AM837"/>
      <c r="AN837"/>
      <c r="AO837"/>
      <c r="AP837"/>
      <c r="AQ837"/>
      <c r="AR837"/>
      <c r="AS837"/>
      <c r="AT837"/>
      <c r="AU837"/>
      <c r="AV837"/>
      <c r="AW837"/>
      <c r="AX837"/>
      <c r="AY837"/>
      <c r="AZ837" s="30"/>
      <c r="BA837" s="30"/>
      <c r="BG837" s="1646"/>
      <c r="BH837" s="1646"/>
      <c r="BI837" s="1646"/>
      <c r="BJ837" s="1646"/>
      <c r="BK837" s="1646"/>
      <c r="BL837" s="1646"/>
      <c r="BO837" s="23" t="s">
        <v>708</v>
      </c>
      <c r="BP837" s="351">
        <v>532060</v>
      </c>
      <c r="BQ837" s="351">
        <v>613460</v>
      </c>
      <c r="BR837" s="351">
        <v>740000</v>
      </c>
      <c r="BS837" s="351">
        <v>947200</v>
      </c>
      <c r="BT837" s="351">
        <v>1055240</v>
      </c>
      <c r="BV837" s="23" t="s">
        <v>708</v>
      </c>
      <c r="BW837" s="351">
        <v>532060</v>
      </c>
      <c r="BX837" s="351">
        <v>613460</v>
      </c>
      <c r="BY837" s="351">
        <v>740000</v>
      </c>
      <c r="BZ837" s="351">
        <v>947200</v>
      </c>
      <c r="CA837" s="351">
        <v>1055240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row>
    <row r="838" spans="1:110" s="14" customFormat="1" ht="12.95" customHeight="1">
      <c r="A838"/>
      <c r="B838"/>
      <c r="C838"/>
      <c r="D838"/>
      <c r="E838"/>
      <c r="F838"/>
      <c r="G838"/>
      <c r="H838"/>
      <c r="I838"/>
      <c r="J838" s="62" t="s">
        <v>629</v>
      </c>
      <c r="K838" s="5"/>
      <c r="L838" s="5"/>
      <c r="M838" s="5"/>
      <c r="N838" s="5"/>
      <c r="O838" s="5"/>
      <c r="P838" s="5"/>
      <c r="Q838" s="5"/>
      <c r="R838" s="5"/>
      <c r="S838" s="5"/>
      <c r="T838" s="5"/>
      <c r="U838" s="5"/>
      <c r="V838" s="46"/>
      <c r="W838" s="1698"/>
      <c r="X838" s="1698"/>
      <c r="Y838" s="1698"/>
      <c r="Z838" s="1698"/>
      <c r="AA838" s="1698"/>
      <c r="AB838" s="1698"/>
      <c r="AC838" s="1698"/>
      <c r="AD838"/>
      <c r="AE838"/>
      <c r="AF838"/>
      <c r="AG838"/>
      <c r="AH838"/>
      <c r="AI838"/>
      <c r="AJ838"/>
      <c r="AK838"/>
      <c r="AL838"/>
      <c r="AM838"/>
      <c r="AN838"/>
      <c r="AO838"/>
      <c r="AP838"/>
      <c r="AQ838"/>
      <c r="AR838"/>
      <c r="AS838"/>
      <c r="AT838"/>
      <c r="AU838"/>
      <c r="AV838"/>
      <c r="AW838"/>
      <c r="AX838"/>
      <c r="AY838"/>
      <c r="AZ838" s="30"/>
      <c r="BA838" s="30"/>
      <c r="BG838" s="89"/>
      <c r="BH838" s="89"/>
      <c r="BI838" s="89"/>
      <c r="BJ838" s="89"/>
      <c r="BK838" s="89"/>
      <c r="BL838" s="89"/>
      <c r="BO838" s="23" t="s">
        <v>709</v>
      </c>
      <c r="BP838" s="350">
        <v>387110</v>
      </c>
      <c r="BQ838" s="350">
        <v>446334</v>
      </c>
      <c r="BR838" s="350">
        <v>538400</v>
      </c>
      <c r="BS838" s="350">
        <v>689152</v>
      </c>
      <c r="BT838" s="350">
        <v>767758</v>
      </c>
      <c r="BV838" s="23" t="s">
        <v>709</v>
      </c>
      <c r="BW838" s="350">
        <v>387110</v>
      </c>
      <c r="BX838" s="350">
        <v>446334</v>
      </c>
      <c r="BY838" s="350">
        <v>538400</v>
      </c>
      <c r="BZ838" s="350">
        <v>689152</v>
      </c>
      <c r="CA838" s="350">
        <v>767758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row>
    <row r="839" spans="1:110" s="14" customFormat="1" ht="12.95" customHeight="1">
      <c r="A839"/>
      <c r="B839"/>
      <c r="C839"/>
      <c r="D839"/>
      <c r="E839"/>
      <c r="F839"/>
      <c r="G839"/>
      <c r="H839"/>
      <c r="I839"/>
      <c r="J839" s="63"/>
      <c r="K839" s="48"/>
      <c r="L839" s="48"/>
      <c r="M839" s="48"/>
      <c r="N839" s="48"/>
      <c r="O839" s="48"/>
      <c r="P839" s="48"/>
      <c r="Q839" s="48"/>
      <c r="R839" s="48"/>
      <c r="S839" s="48"/>
      <c r="T839" s="48"/>
      <c r="U839" s="48"/>
      <c r="V839" s="54" t="s">
        <v>273</v>
      </c>
      <c r="W839" s="1713">
        <f>SUM(W835:AC838)</f>
        <v>172200</v>
      </c>
      <c r="X839" s="1713"/>
      <c r="Y839" s="1713"/>
      <c r="Z839" s="1713"/>
      <c r="AA839" s="1713"/>
      <c r="AB839" s="1713"/>
      <c r="AC839" s="1713"/>
      <c r="AD839"/>
      <c r="AE839"/>
      <c r="AF839"/>
      <c r="AG839"/>
      <c r="AH839"/>
      <c r="AI839"/>
      <c r="AJ839"/>
      <c r="AK839"/>
      <c r="AL839"/>
      <c r="AM839"/>
      <c r="AN839"/>
      <c r="AO839"/>
      <c r="AP839"/>
      <c r="AQ839"/>
      <c r="AR839"/>
      <c r="AS839"/>
      <c r="AT839"/>
      <c r="AU839"/>
      <c r="AV839"/>
      <c r="AW839"/>
      <c r="AX839"/>
      <c r="AY839"/>
      <c r="AZ839" s="30"/>
      <c r="BA839" s="30"/>
      <c r="BG839" s="89"/>
      <c r="BH839" s="89"/>
      <c r="BI839" s="89"/>
      <c r="BJ839" s="89"/>
      <c r="BK839" s="89"/>
      <c r="BL839" s="89"/>
      <c r="BO839" s="23" t="s">
        <v>710</v>
      </c>
      <c r="BP839" s="352">
        <v>319236</v>
      </c>
      <c r="BQ839" s="352">
        <v>368076</v>
      </c>
      <c r="BR839" s="352">
        <v>444000</v>
      </c>
      <c r="BS839" s="352">
        <v>568320</v>
      </c>
      <c r="BT839" s="352">
        <v>633144</v>
      </c>
      <c r="BV839" s="23" t="s">
        <v>710</v>
      </c>
      <c r="BW839" s="352">
        <v>319236</v>
      </c>
      <c r="BX839" s="352">
        <v>368076</v>
      </c>
      <c r="BY839" s="352">
        <v>444000</v>
      </c>
      <c r="BZ839" s="352">
        <v>568320</v>
      </c>
      <c r="CA839" s="352">
        <v>633144</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row>
    <row r="840" spans="1:110" s="14" customFormat="1" ht="12.95" customHeight="1">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s="1709">
        <f>SUM(AZ807:AZ835)</f>
        <v>7.5000000000000011E-2</v>
      </c>
      <c r="BA840" s="1709"/>
      <c r="BO840" s="23" t="s">
        <v>711</v>
      </c>
      <c r="BP840" s="350">
        <v>352022</v>
      </c>
      <c r="BQ840" s="350">
        <v>405878</v>
      </c>
      <c r="BR840" s="350">
        <v>489600</v>
      </c>
      <c r="BS840" s="350">
        <v>626688</v>
      </c>
      <c r="BT840" s="350">
        <v>698170</v>
      </c>
      <c r="BV840" s="23" t="s">
        <v>711</v>
      </c>
      <c r="BW840" s="350">
        <v>352022</v>
      </c>
      <c r="BX840" s="350">
        <v>405878</v>
      </c>
      <c r="BY840" s="350">
        <v>489600</v>
      </c>
      <c r="BZ840" s="350">
        <v>626688</v>
      </c>
      <c r="CA840" s="350">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row>
    <row r="841" spans="1:110" s="14" customFormat="1" ht="12.95" customHeight="1">
      <c r="A841"/>
      <c r="B841"/>
      <c r="C841" s="2" t="s">
        <v>347</v>
      </c>
      <c r="D841"/>
      <c r="E841"/>
      <c r="F841"/>
      <c r="G841"/>
      <c r="H841"/>
      <c r="I841"/>
      <c r="J841" s="45" t="s">
        <v>628</v>
      </c>
      <c r="K841" s="5"/>
      <c r="L841" s="5"/>
      <c r="M841" s="5"/>
      <c r="N841" s="5"/>
      <c r="O841" s="5"/>
      <c r="P841" s="5"/>
      <c r="Q841" s="5"/>
      <c r="R841" s="5"/>
      <c r="S841" s="5"/>
      <c r="T841" s="5"/>
      <c r="U841" s="5"/>
      <c r="V841" s="46"/>
      <c r="W841" s="1643">
        <v>175264</v>
      </c>
      <c r="X841" s="1644"/>
      <c r="Y841" s="1644"/>
      <c r="Z841" s="1644"/>
      <c r="AA841" s="1644"/>
      <c r="AB841" s="1644"/>
      <c r="AC841" s="1645"/>
      <c r="AD841" s="563"/>
      <c r="AE841"/>
      <c r="AF841"/>
      <c r="AG841"/>
      <c r="AH841"/>
      <c r="AI841"/>
      <c r="AJ841"/>
      <c r="AK841"/>
      <c r="AL841"/>
      <c r="AM841"/>
      <c r="AN841"/>
      <c r="AO841"/>
      <c r="AP841"/>
      <c r="AQ841"/>
      <c r="AR841"/>
      <c r="AS841"/>
      <c r="AT841"/>
      <c r="AU841"/>
      <c r="AV841"/>
      <c r="AW841"/>
      <c r="AX841"/>
      <c r="AY841"/>
      <c r="AZ841" s="30"/>
      <c r="BA841" s="30"/>
      <c r="BO841" s="23" t="s">
        <v>712</v>
      </c>
      <c r="BP841" s="352">
        <v>352022</v>
      </c>
      <c r="BQ841" s="352">
        <v>405878</v>
      </c>
      <c r="BR841" s="352">
        <v>489600</v>
      </c>
      <c r="BS841" s="352">
        <v>626688</v>
      </c>
      <c r="BT841" s="352">
        <v>698170</v>
      </c>
      <c r="BV841" s="23" t="s">
        <v>712</v>
      </c>
      <c r="BW841" s="352">
        <v>352022</v>
      </c>
      <c r="BX841" s="352">
        <v>405878</v>
      </c>
      <c r="BY841" s="352">
        <v>489600</v>
      </c>
      <c r="BZ841" s="352">
        <v>626688</v>
      </c>
      <c r="CA841" s="352">
        <v>698170</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row>
    <row r="842" spans="1:110" s="14" customFormat="1" ht="12.95" customHeight="1">
      <c r="A842"/>
      <c r="B842"/>
      <c r="C842" s="2" t="s">
        <v>348</v>
      </c>
      <c r="D842"/>
      <c r="E842"/>
      <c r="F842"/>
      <c r="G842"/>
      <c r="H842"/>
      <c r="I842"/>
      <c r="J842" s="121" t="s">
        <v>1835</v>
      </c>
      <c r="K842" s="5"/>
      <c r="L842" s="5"/>
      <c r="M842" s="5"/>
      <c r="N842" s="5"/>
      <c r="O842" s="5"/>
      <c r="P842" s="5"/>
      <c r="Q842" s="5"/>
      <c r="R842" s="5"/>
      <c r="S842" s="5"/>
      <c r="T842" s="1696">
        <v>4.5</v>
      </c>
      <c r="U842" s="1658"/>
      <c r="V842" s="1697"/>
      <c r="W842" s="910"/>
      <c r="X842" s="911"/>
      <c r="Y842" s="911"/>
      <c r="Z842" s="911"/>
      <c r="AA842" s="911"/>
      <c r="AB842" s="911"/>
      <c r="AC842" s="912"/>
      <c r="AD842" s="563"/>
      <c r="AE842"/>
      <c r="AF842"/>
      <c r="AG842"/>
      <c r="AH842"/>
      <c r="AI842"/>
      <c r="AJ842"/>
      <c r="AK842"/>
      <c r="AL842"/>
      <c r="AM842"/>
      <c r="AN842"/>
      <c r="AO842"/>
      <c r="AP842"/>
      <c r="AQ842"/>
      <c r="AR842"/>
      <c r="AS842"/>
      <c r="AT842"/>
      <c r="AU842"/>
      <c r="AV842"/>
      <c r="AW842"/>
      <c r="AX842"/>
      <c r="AY842"/>
      <c r="AZ842" s="30"/>
      <c r="BA842" s="30"/>
      <c r="BO842" s="23" t="s">
        <v>713</v>
      </c>
      <c r="BP842" s="350">
        <v>384234</v>
      </c>
      <c r="BQ842" s="350">
        <v>443018</v>
      </c>
      <c r="BR842" s="350">
        <v>534400</v>
      </c>
      <c r="BS842" s="350">
        <v>684032</v>
      </c>
      <c r="BT842" s="350">
        <v>762054</v>
      </c>
      <c r="BV842" s="23" t="s">
        <v>713</v>
      </c>
      <c r="BW842" s="350">
        <v>384234</v>
      </c>
      <c r="BX842" s="350">
        <v>443018</v>
      </c>
      <c r="BY842" s="350">
        <v>534400</v>
      </c>
      <c r="BZ842" s="350">
        <v>684032</v>
      </c>
      <c r="CA842" s="350">
        <v>762054</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row>
    <row r="843" spans="1:110" ht="12.95" customHeight="1">
      <c r="C843" s="2"/>
      <c r="J843" s="45" t="s">
        <v>627</v>
      </c>
      <c r="K843" s="5"/>
      <c r="L843" s="5"/>
      <c r="M843" s="5"/>
      <c r="N843" s="5"/>
      <c r="O843" s="5"/>
      <c r="P843" s="5"/>
      <c r="Q843" s="5"/>
      <c r="R843" s="5"/>
      <c r="S843" s="5"/>
      <c r="T843" s="5"/>
      <c r="U843" s="5"/>
      <c r="V843" s="46"/>
      <c r="W843" s="1643">
        <v>125240</v>
      </c>
      <c r="X843" s="1644"/>
      <c r="Y843" s="1644"/>
      <c r="Z843" s="1644"/>
      <c r="AA843" s="1644"/>
      <c r="AB843" s="1644"/>
      <c r="AC843" s="1645"/>
      <c r="AD843" s="568"/>
      <c r="AZ843" s="34"/>
      <c r="BA843" s="34"/>
      <c r="BB843" s="34"/>
      <c r="BC843" s="34"/>
      <c r="BD843" s="34"/>
      <c r="BE843" s="34"/>
      <c r="BF843" s="34"/>
      <c r="BG843" s="34"/>
      <c r="BH843" s="34"/>
      <c r="BI843" s="34"/>
      <c r="BJ843" s="34"/>
      <c r="BK843" s="34"/>
      <c r="BL843" s="34"/>
      <c r="BM843" s="34"/>
      <c r="BN843" s="34"/>
      <c r="BO843" s="23" t="s">
        <v>110</v>
      </c>
      <c r="BP843" s="352">
        <v>384234</v>
      </c>
      <c r="BQ843" s="352">
        <v>443018</v>
      </c>
      <c r="BR843" s="352">
        <v>534400</v>
      </c>
      <c r="BS843" s="352">
        <v>684032</v>
      </c>
      <c r="BT843" s="352">
        <v>762054</v>
      </c>
      <c r="BU843" s="14"/>
      <c r="BV843" s="23" t="s">
        <v>110</v>
      </c>
      <c r="BW843" s="352">
        <v>384234</v>
      </c>
      <c r="BX843" s="352">
        <v>443018</v>
      </c>
      <c r="BY843" s="352">
        <v>534400</v>
      </c>
      <c r="BZ843" s="352">
        <v>684032</v>
      </c>
      <c r="CA843" s="352">
        <v>762054</v>
      </c>
      <c r="CB843" s="34"/>
      <c r="CC843" s="34"/>
      <c r="CD843" s="34"/>
      <c r="CE843" s="34"/>
      <c r="CF843" s="34"/>
      <c r="CG843" s="34"/>
      <c r="CH843" s="34"/>
      <c r="CI843" s="34"/>
      <c r="CJ843" s="34"/>
      <c r="CK843" s="34"/>
      <c r="CL843" s="34"/>
      <c r="CM843" s="34"/>
      <c r="CN843" s="34"/>
      <c r="CO843" s="34"/>
      <c r="CP843" s="34"/>
      <c r="CQ843" s="34"/>
      <c r="CR843" s="34"/>
      <c r="CS843" s="34"/>
      <c r="CT843" s="34"/>
      <c r="CU843" s="34"/>
      <c r="CV843" s="34"/>
      <c r="CW843" s="34"/>
      <c r="CX843" s="34"/>
      <c r="CY843" s="34"/>
      <c r="CZ843" s="34"/>
      <c r="DA843" s="34"/>
      <c r="DB843" s="34"/>
      <c r="DC843" s="34"/>
      <c r="DD843" s="34"/>
      <c r="DE843" s="34"/>
      <c r="DF843" s="34"/>
    </row>
    <row r="844" spans="1:110" ht="12.95" customHeight="1">
      <c r="C844" s="2"/>
      <c r="J844" s="121" t="s">
        <v>1836</v>
      </c>
      <c r="K844" s="5"/>
      <c r="L844" s="5"/>
      <c r="M844" s="5"/>
      <c r="N844" s="5"/>
      <c r="O844" s="5"/>
      <c r="P844" s="5"/>
      <c r="Q844" s="5"/>
      <c r="R844" s="5"/>
      <c r="S844" s="5"/>
      <c r="T844" s="1696"/>
      <c r="U844" s="1658"/>
      <c r="V844" s="1697"/>
      <c r="W844" s="910"/>
      <c r="X844" s="911"/>
      <c r="Y844" s="911"/>
      <c r="Z844" s="911"/>
      <c r="AA844" s="911"/>
      <c r="AB844" s="911"/>
      <c r="AC844" s="912"/>
      <c r="AD844" s="568"/>
      <c r="AZ844" s="34"/>
      <c r="BA844" s="34"/>
      <c r="BB844" s="34"/>
      <c r="BC844" s="34"/>
      <c r="BD844" s="34"/>
      <c r="BE844" s="34"/>
      <c r="BF844" s="34"/>
      <c r="BG844" s="34"/>
      <c r="BH844" s="34"/>
      <c r="BI844" s="34"/>
      <c r="BJ844" s="34"/>
      <c r="BK844" s="34"/>
      <c r="BL844" s="34"/>
      <c r="BM844" s="34"/>
      <c r="BN844" s="34"/>
      <c r="BO844" s="23" t="s">
        <v>111</v>
      </c>
      <c r="BP844" s="350">
        <v>307732</v>
      </c>
      <c r="BQ844" s="350">
        <v>354812</v>
      </c>
      <c r="BR844" s="350">
        <v>428000</v>
      </c>
      <c r="BS844" s="350">
        <v>547840</v>
      </c>
      <c r="BT844" s="350">
        <v>610328</v>
      </c>
      <c r="BU844" s="14"/>
      <c r="BV844" s="23" t="s">
        <v>111</v>
      </c>
      <c r="BW844" s="350">
        <v>307732</v>
      </c>
      <c r="BX844" s="350">
        <v>354812</v>
      </c>
      <c r="BY844" s="350">
        <v>428000</v>
      </c>
      <c r="BZ844" s="350">
        <v>547840</v>
      </c>
      <c r="CA844" s="350">
        <v>610328</v>
      </c>
      <c r="CB844" s="34"/>
      <c r="CC844" s="34"/>
      <c r="CD844" s="34"/>
      <c r="CE844" s="34"/>
      <c r="CF844" s="34"/>
      <c r="CG844" s="34"/>
      <c r="CH844" s="34"/>
      <c r="CI844" s="34"/>
      <c r="CJ844" s="34"/>
      <c r="CK844" s="34"/>
      <c r="CL844" s="34"/>
      <c r="CM844" s="34"/>
      <c r="CN844" s="34"/>
      <c r="CO844" s="34"/>
      <c r="CP844" s="34"/>
      <c r="CQ844" s="34"/>
      <c r="CR844" s="34"/>
      <c r="CS844" s="34"/>
      <c r="CT844" s="34"/>
      <c r="CU844" s="34"/>
      <c r="CV844" s="34"/>
      <c r="CW844" s="34"/>
      <c r="CX844" s="34"/>
      <c r="CY844" s="34"/>
      <c r="CZ844" s="34"/>
      <c r="DA844" s="34"/>
      <c r="DB844" s="34"/>
      <c r="DC844" s="34"/>
      <c r="DD844" s="34"/>
      <c r="DE844" s="34"/>
      <c r="DF844" s="34"/>
    </row>
    <row r="845" spans="1:110" ht="12.95" customHeight="1">
      <c r="J845" s="45" t="s">
        <v>170</v>
      </c>
      <c r="K845" s="5"/>
      <c r="L845" s="5"/>
      <c r="M845" s="1534" t="s">
        <v>2719</v>
      </c>
      <c r="N845" s="1535"/>
      <c r="O845" s="1535"/>
      <c r="P845" s="1535"/>
      <c r="Q845" s="1535"/>
      <c r="R845" s="1535"/>
      <c r="S845" s="1535"/>
      <c r="T845" s="1535"/>
      <c r="U845" s="1535"/>
      <c r="V845" s="1536"/>
      <c r="W845" s="1643">
        <v>12480</v>
      </c>
      <c r="X845" s="1644"/>
      <c r="Y845" s="1644"/>
      <c r="Z845" s="1644"/>
      <c r="AA845" s="1644"/>
      <c r="AB845" s="1644"/>
      <c r="AC845" s="1645"/>
      <c r="AD845" s="563"/>
      <c r="AZ845" s="34"/>
      <c r="BA845" s="34"/>
      <c r="BB845" s="34"/>
      <c r="BC845" s="34"/>
      <c r="BD845" s="34"/>
      <c r="BE845" s="34"/>
      <c r="BF845" s="34"/>
      <c r="BG845" s="34"/>
      <c r="BH845" s="34"/>
      <c r="BI845" s="34"/>
      <c r="BJ845" s="34"/>
      <c r="BK845" s="34"/>
      <c r="BL845" s="34"/>
      <c r="BM845" s="34"/>
      <c r="BN845" s="34"/>
      <c r="BO845" s="23" t="s">
        <v>45</v>
      </c>
      <c r="BP845" s="352">
        <v>331890</v>
      </c>
      <c r="BQ845" s="352">
        <v>382666</v>
      </c>
      <c r="BR845" s="352">
        <v>461600</v>
      </c>
      <c r="BS845" s="352">
        <v>590848</v>
      </c>
      <c r="BT845" s="352">
        <v>658242</v>
      </c>
      <c r="BU845" s="14"/>
      <c r="BV845" s="23" t="s">
        <v>45</v>
      </c>
      <c r="BW845" s="352">
        <v>331890</v>
      </c>
      <c r="BX845" s="352">
        <v>382666</v>
      </c>
      <c r="BY845" s="352">
        <v>461600</v>
      </c>
      <c r="BZ845" s="352">
        <v>590848</v>
      </c>
      <c r="CA845" s="352">
        <v>658242</v>
      </c>
      <c r="CB845" s="34"/>
      <c r="CC845" s="34"/>
      <c r="CD845" s="34"/>
      <c r="CE845" s="34"/>
      <c r="CF845" s="34"/>
      <c r="CG845" s="34"/>
      <c r="CH845" s="34"/>
      <c r="CI845" s="34"/>
      <c r="CJ845" s="34"/>
      <c r="CK845" s="34"/>
      <c r="CL845" s="34"/>
      <c r="CM845" s="34"/>
      <c r="CN845" s="34"/>
      <c r="CO845" s="34"/>
      <c r="CP845" s="34"/>
      <c r="CQ845" s="34"/>
      <c r="CR845" s="34"/>
      <c r="CS845" s="34"/>
      <c r="CT845" s="34"/>
      <c r="CU845" s="34"/>
      <c r="CV845" s="34"/>
      <c r="CW845" s="34"/>
      <c r="CX845" s="34"/>
      <c r="CY845" s="34"/>
      <c r="CZ845" s="34"/>
      <c r="DA845" s="34"/>
      <c r="DB845" s="34"/>
      <c r="DC845" s="34"/>
      <c r="DD845" s="34"/>
      <c r="DE845" s="34"/>
      <c r="DF845" s="34"/>
    </row>
    <row r="846" spans="1:110" ht="12.95" customHeight="1">
      <c r="J846" s="45"/>
      <c r="K846" s="5"/>
      <c r="L846" s="5"/>
      <c r="M846" s="5"/>
      <c r="N846" s="5"/>
      <c r="O846" s="5"/>
      <c r="P846" s="5"/>
      <c r="Q846" s="5"/>
      <c r="R846" s="5"/>
      <c r="S846" s="5"/>
      <c r="T846" s="5"/>
      <c r="U846" s="5"/>
      <c r="V846" s="54" t="s">
        <v>274</v>
      </c>
      <c r="W846" s="1710">
        <f>SUM(W841:AC845)</f>
        <v>312984</v>
      </c>
      <c r="X846" s="1711"/>
      <c r="Y846" s="1711"/>
      <c r="Z846" s="1711"/>
      <c r="AA846" s="1711"/>
      <c r="AB846" s="1711"/>
      <c r="AC846" s="1712"/>
      <c r="AD846" s="568"/>
      <c r="AZ846" s="34"/>
      <c r="BA846" s="34"/>
      <c r="BB846" s="34"/>
      <c r="BC846" s="34"/>
      <c r="BD846" s="34"/>
      <c r="BE846" s="34"/>
      <c r="BF846" s="34"/>
      <c r="BG846" s="34"/>
      <c r="BH846" s="34"/>
      <c r="BI846" s="34"/>
      <c r="BJ846" s="34"/>
      <c r="BK846" s="34"/>
      <c r="BL846" s="34"/>
      <c r="BM846" s="34"/>
      <c r="BN846" s="34"/>
      <c r="BO846" s="23" t="s">
        <v>46</v>
      </c>
      <c r="BP846" s="350">
        <v>352022</v>
      </c>
      <c r="BQ846" s="350">
        <v>405878</v>
      </c>
      <c r="BR846" s="350">
        <v>489600</v>
      </c>
      <c r="BS846" s="350">
        <v>626688</v>
      </c>
      <c r="BT846" s="350">
        <v>698170</v>
      </c>
      <c r="BU846" s="14"/>
      <c r="BV846" s="23" t="s">
        <v>46</v>
      </c>
      <c r="BW846" s="350">
        <v>352022</v>
      </c>
      <c r="BX846" s="350">
        <v>405878</v>
      </c>
      <c r="BY846" s="350">
        <v>489600</v>
      </c>
      <c r="BZ846" s="350">
        <v>626688</v>
      </c>
      <c r="CA846" s="350">
        <v>698170</v>
      </c>
      <c r="CB846" s="34"/>
      <c r="CC846" s="34"/>
      <c r="CD846" s="34"/>
      <c r="CE846" s="34"/>
      <c r="CF846" s="34"/>
      <c r="CG846" s="34"/>
      <c r="CH846" s="34"/>
      <c r="CI846" s="34"/>
      <c r="CJ846" s="34"/>
      <c r="CK846" s="34"/>
      <c r="CL846" s="34"/>
      <c r="CM846" s="34"/>
      <c r="CN846" s="34"/>
      <c r="CO846" s="34"/>
      <c r="CP846" s="34"/>
      <c r="CQ846" s="34"/>
      <c r="CR846" s="34"/>
      <c r="CS846" s="34"/>
      <c r="CT846" s="34"/>
      <c r="CU846" s="34"/>
      <c r="CV846" s="34"/>
      <c r="CW846" s="34"/>
      <c r="CX846" s="34"/>
      <c r="CY846" s="34"/>
      <c r="CZ846" s="34"/>
      <c r="DA846" s="34"/>
      <c r="DB846" s="34"/>
      <c r="DC846" s="34"/>
      <c r="DD846" s="34"/>
      <c r="DE846" s="34"/>
      <c r="DF846" s="34"/>
    </row>
    <row r="847" spans="1:110" ht="12.95" customHeight="1">
      <c r="J847" s="45"/>
      <c r="K847" s="5"/>
      <c r="L847" s="5"/>
      <c r="M847" s="5"/>
      <c r="N847" s="5"/>
      <c r="O847" s="5"/>
      <c r="P847" s="5"/>
      <c r="Q847" s="5"/>
      <c r="R847" s="5"/>
      <c r="S847" s="5"/>
      <c r="T847" s="5"/>
      <c r="U847" s="5"/>
      <c r="V847" s="54" t="s">
        <v>275</v>
      </c>
      <c r="W847" s="1643">
        <v>67200</v>
      </c>
      <c r="X847" s="1644"/>
      <c r="Y847" s="1644"/>
      <c r="Z847" s="1644"/>
      <c r="AA847" s="1644"/>
      <c r="AB847" s="1644"/>
      <c r="AC847" s="1645"/>
      <c r="AZ847" s="34"/>
      <c r="BA847" s="34"/>
      <c r="BB847" s="34"/>
      <c r="BC847" s="34"/>
      <c r="BD847" s="34"/>
      <c r="BE847" s="34"/>
      <c r="BF847" s="34"/>
      <c r="BG847" s="34"/>
      <c r="BH847" s="34"/>
      <c r="BI847" s="34"/>
      <c r="BJ847" s="34"/>
      <c r="BK847" s="34"/>
      <c r="BL847" s="34"/>
      <c r="BM847" s="34"/>
      <c r="BN847" s="34"/>
      <c r="BO847" s="23" t="s">
        <v>47</v>
      </c>
      <c r="BP847" s="352">
        <v>352022</v>
      </c>
      <c r="BQ847" s="352">
        <v>405878</v>
      </c>
      <c r="BR847" s="352">
        <v>489600</v>
      </c>
      <c r="BS847" s="352">
        <v>626688</v>
      </c>
      <c r="BT847" s="352">
        <v>698170</v>
      </c>
      <c r="BU847" s="14"/>
      <c r="BV847" s="23" t="s">
        <v>47</v>
      </c>
      <c r="BW847" s="352">
        <v>352022</v>
      </c>
      <c r="BX847" s="352">
        <v>405878</v>
      </c>
      <c r="BY847" s="352">
        <v>489600</v>
      </c>
      <c r="BZ847" s="352">
        <v>626688</v>
      </c>
      <c r="CA847" s="352">
        <v>698170</v>
      </c>
      <c r="CB847" s="34"/>
      <c r="CC847" s="34"/>
      <c r="CD847" s="34"/>
      <c r="CE847" s="34"/>
      <c r="CF847" s="34"/>
      <c r="CG847" s="34"/>
      <c r="CH847" s="34"/>
      <c r="CI847" s="34"/>
      <c r="CJ847" s="34"/>
      <c r="CK847" s="34"/>
      <c r="CL847" s="34"/>
      <c r="CM847" s="34"/>
      <c r="CN847" s="34"/>
      <c r="CO847" s="34"/>
      <c r="CP847" s="34"/>
      <c r="CQ847" s="34"/>
      <c r="CR847" s="34"/>
      <c r="CS847" s="34"/>
      <c r="CT847" s="34"/>
      <c r="CU847" s="34"/>
      <c r="CV847" s="34"/>
      <c r="CW847" s="34"/>
      <c r="CX847" s="34"/>
      <c r="CY847" s="34"/>
      <c r="CZ847" s="34"/>
      <c r="DA847" s="34"/>
      <c r="DB847" s="34"/>
      <c r="DC847" s="34"/>
      <c r="DD847" s="34"/>
      <c r="DE847" s="34"/>
      <c r="DF847" s="34"/>
    </row>
    <row r="848" spans="1:110" ht="12.95" customHeight="1">
      <c r="J848" s="547"/>
      <c r="AZ848" s="34"/>
      <c r="BA848" s="34"/>
      <c r="BB848" s="34"/>
      <c r="BC848" s="34"/>
      <c r="BD848" s="34"/>
      <c r="BE848" s="34"/>
      <c r="BF848" s="34"/>
      <c r="BG848" s="34"/>
      <c r="BH848" s="34"/>
      <c r="BI848" s="34"/>
      <c r="BJ848" s="34"/>
      <c r="BK848" s="34"/>
      <c r="BL848" s="34"/>
      <c r="BM848" s="34"/>
      <c r="BN848" s="34"/>
      <c r="BO848" s="23" t="s">
        <v>48</v>
      </c>
      <c r="BP848" s="350">
        <v>307732</v>
      </c>
      <c r="BQ848" s="350">
        <v>354812</v>
      </c>
      <c r="BR848" s="350">
        <v>428000</v>
      </c>
      <c r="BS848" s="350">
        <v>547840</v>
      </c>
      <c r="BT848" s="350">
        <v>610328</v>
      </c>
      <c r="BU848" s="14"/>
      <c r="BV848" s="23" t="s">
        <v>48</v>
      </c>
      <c r="BW848" s="350">
        <v>307732</v>
      </c>
      <c r="BX848" s="350">
        <v>354812</v>
      </c>
      <c r="BY848" s="350">
        <v>428000</v>
      </c>
      <c r="BZ848" s="350">
        <v>547840</v>
      </c>
      <c r="CA848" s="350">
        <v>610328</v>
      </c>
      <c r="CB848" s="34"/>
      <c r="CC848" s="34"/>
      <c r="CD848" s="34"/>
      <c r="CE848" s="34"/>
      <c r="CF848" s="34"/>
      <c r="CG848" s="34"/>
      <c r="CH848" s="34"/>
      <c r="CI848" s="34"/>
      <c r="CJ848" s="34"/>
      <c r="CK848" s="34"/>
      <c r="CL848" s="34"/>
      <c r="CM848" s="34"/>
      <c r="CN848" s="34"/>
      <c r="CO848" s="34"/>
      <c r="CP848" s="34"/>
      <c r="CQ848" s="34"/>
      <c r="CR848" s="34"/>
      <c r="CS848" s="34"/>
      <c r="CT848" s="34"/>
      <c r="CU848" s="34"/>
      <c r="CV848" s="34"/>
      <c r="CW848" s="34"/>
      <c r="CX848" s="34"/>
      <c r="CY848" s="34"/>
      <c r="CZ848" s="34"/>
      <c r="DA848" s="34"/>
      <c r="DB848" s="34"/>
      <c r="DC848" s="34"/>
      <c r="DD848" s="34"/>
      <c r="DE848" s="34"/>
      <c r="DF848" s="34"/>
    </row>
    <row r="849" spans="3:110" ht="12.95" customHeight="1">
      <c r="C849" s="2" t="s">
        <v>391</v>
      </c>
      <c r="J849" s="45" t="s">
        <v>626</v>
      </c>
      <c r="K849" s="5"/>
      <c r="L849" s="5"/>
      <c r="M849" s="5"/>
      <c r="N849" s="5"/>
      <c r="O849" s="5"/>
      <c r="P849" s="5"/>
      <c r="Q849" s="5"/>
      <c r="R849" s="5"/>
      <c r="S849" s="5"/>
      <c r="T849" s="5"/>
      <c r="U849" s="5"/>
      <c r="V849" s="46"/>
      <c r="W849" s="1423">
        <v>10080</v>
      </c>
      <c r="X849" s="1423"/>
      <c r="Y849" s="1423"/>
      <c r="Z849" s="1423"/>
      <c r="AA849" s="1423"/>
      <c r="AB849" s="1423"/>
      <c r="AC849" s="1423"/>
      <c r="AZ849" s="34"/>
      <c r="BA849" s="34"/>
      <c r="BB849" s="34"/>
      <c r="BC849" s="34"/>
      <c r="BD849" s="34"/>
      <c r="BE849" s="34"/>
      <c r="BF849" s="34"/>
      <c r="BG849" s="34"/>
      <c r="BH849" s="34"/>
      <c r="BI849" s="34"/>
      <c r="BJ849" s="34"/>
      <c r="BK849" s="34"/>
      <c r="BL849" s="34"/>
      <c r="BM849" s="34"/>
      <c r="BN849" s="34"/>
      <c r="BO849" s="23" t="s">
        <v>130</v>
      </c>
      <c r="BP849" s="352">
        <v>352022</v>
      </c>
      <c r="BQ849" s="352">
        <v>405878</v>
      </c>
      <c r="BR849" s="352">
        <v>489600</v>
      </c>
      <c r="BS849" s="352">
        <v>626688</v>
      </c>
      <c r="BT849" s="352">
        <v>698170</v>
      </c>
      <c r="BU849" s="14"/>
      <c r="BV849" s="23" t="s">
        <v>130</v>
      </c>
      <c r="BW849" s="352">
        <v>352022</v>
      </c>
      <c r="BX849" s="352">
        <v>405878</v>
      </c>
      <c r="BY849" s="352">
        <v>489600</v>
      </c>
      <c r="BZ849" s="352">
        <v>626688</v>
      </c>
      <c r="CA849" s="352">
        <v>698170</v>
      </c>
      <c r="CB849" s="34"/>
      <c r="CC849" s="34"/>
      <c r="CD849" s="34"/>
      <c r="CE849" s="34"/>
      <c r="CF849" s="34"/>
      <c r="CG849" s="34"/>
      <c r="CH849" s="34"/>
      <c r="CI849" s="34"/>
      <c r="CJ849" s="34"/>
      <c r="CK849" s="34"/>
      <c r="CL849" s="34"/>
      <c r="CM849" s="34"/>
      <c r="CN849" s="34"/>
      <c r="CO849" s="34"/>
      <c r="CP849" s="34"/>
      <c r="CQ849" s="34"/>
      <c r="CR849" s="34"/>
      <c r="CS849" s="34"/>
      <c r="CT849" s="34"/>
      <c r="CU849" s="34"/>
      <c r="CV849" s="34"/>
      <c r="CW849" s="34"/>
      <c r="CX849" s="34"/>
      <c r="CY849" s="34"/>
      <c r="CZ849" s="34"/>
      <c r="DA849" s="34"/>
      <c r="DB849" s="34"/>
      <c r="DC849" s="34"/>
      <c r="DD849" s="34"/>
      <c r="DE849" s="34"/>
      <c r="DF849" s="34"/>
    </row>
    <row r="850" spans="3:110" ht="12.95" customHeight="1">
      <c r="J850" s="45" t="s">
        <v>531</v>
      </c>
      <c r="K850" s="5"/>
      <c r="L850" s="5"/>
      <c r="M850" s="5"/>
      <c r="N850" s="5"/>
      <c r="O850" s="5"/>
      <c r="P850" s="5"/>
      <c r="Q850" s="5"/>
      <c r="R850" s="5"/>
      <c r="S850" s="5"/>
      <c r="T850" s="5"/>
      <c r="U850" s="5"/>
      <c r="V850" s="46"/>
      <c r="W850" s="1423">
        <v>50400</v>
      </c>
      <c r="X850" s="1423"/>
      <c r="Y850" s="1423"/>
      <c r="Z850" s="1423"/>
      <c r="AA850" s="1423"/>
      <c r="AB850" s="1423"/>
      <c r="AC850" s="1423"/>
      <c r="AZ850" s="34"/>
      <c r="BA850" s="34"/>
      <c r="BB850" s="34"/>
      <c r="BC850" s="34"/>
      <c r="BD850" s="34"/>
      <c r="BE850" s="34"/>
      <c r="BF850" s="34"/>
      <c r="BG850" s="34"/>
      <c r="BH850" s="34"/>
      <c r="BI850" s="34"/>
      <c r="BJ850" s="34"/>
      <c r="BK850" s="34"/>
      <c r="BL850" s="34"/>
      <c r="BM850" s="34"/>
      <c r="BN850" s="34"/>
      <c r="BO850" s="23" t="s">
        <v>49</v>
      </c>
      <c r="BP850" s="350">
        <v>387110</v>
      </c>
      <c r="BQ850" s="350">
        <v>446334</v>
      </c>
      <c r="BR850" s="350">
        <v>538400</v>
      </c>
      <c r="BS850" s="350">
        <v>689152</v>
      </c>
      <c r="BT850" s="350">
        <v>767758</v>
      </c>
      <c r="BU850" s="14"/>
      <c r="BV850" s="23" t="s">
        <v>49</v>
      </c>
      <c r="BW850" s="350">
        <v>387110</v>
      </c>
      <c r="BX850" s="350">
        <v>446334</v>
      </c>
      <c r="BY850" s="350">
        <v>538400</v>
      </c>
      <c r="BZ850" s="350">
        <v>689152</v>
      </c>
      <c r="CA850" s="350">
        <v>767758</v>
      </c>
      <c r="CB850" s="34"/>
      <c r="CC850" s="34"/>
      <c r="CD850" s="34"/>
      <c r="CE850" s="34"/>
      <c r="CF850" s="34"/>
      <c r="CG850" s="34"/>
      <c r="CH850" s="34"/>
      <c r="CI850" s="34"/>
      <c r="CJ850" s="34"/>
      <c r="CK850" s="34"/>
      <c r="CL850" s="34"/>
      <c r="CM850" s="34"/>
      <c r="CN850" s="34"/>
      <c r="CO850" s="34"/>
      <c r="CP850" s="34"/>
      <c r="CQ850" s="34"/>
      <c r="CR850" s="34"/>
      <c r="CS850" s="34"/>
      <c r="CT850" s="34"/>
      <c r="CU850" s="34"/>
      <c r="CV850" s="34"/>
      <c r="CW850" s="34"/>
      <c r="CX850" s="34"/>
      <c r="CY850" s="34"/>
      <c r="CZ850" s="34"/>
      <c r="DA850" s="34"/>
      <c r="DB850" s="34"/>
      <c r="DC850" s="34"/>
      <c r="DD850" s="34"/>
      <c r="DE850" s="34"/>
      <c r="DF850" s="34"/>
    </row>
    <row r="851" spans="3:110" ht="12.95" customHeight="1">
      <c r="J851" s="45" t="s">
        <v>530</v>
      </c>
      <c r="K851" s="5"/>
      <c r="L851" s="5"/>
      <c r="M851" s="5"/>
      <c r="N851" s="5"/>
      <c r="O851" s="5"/>
      <c r="P851" s="5"/>
      <c r="Q851" s="5"/>
      <c r="R851" s="5"/>
      <c r="S851" s="5"/>
      <c r="T851" s="5"/>
      <c r="U851" s="5"/>
      <c r="V851" s="46"/>
      <c r="W851" s="1423"/>
      <c r="X851" s="1423"/>
      <c r="Y851" s="1423"/>
      <c r="Z851" s="1423"/>
      <c r="AA851" s="1423"/>
      <c r="AB851" s="1423"/>
      <c r="AC851" s="1423"/>
      <c r="AZ851" s="34"/>
      <c r="BA851" s="34"/>
      <c r="BB851" s="34"/>
      <c r="BC851" s="34"/>
      <c r="BD851" s="34"/>
      <c r="BE851" s="34"/>
      <c r="BF851" s="34"/>
      <c r="BG851" s="34"/>
      <c r="BH851" s="34"/>
      <c r="BI851" s="34"/>
      <c r="BJ851" s="34"/>
      <c r="BK851" s="34"/>
      <c r="BL851" s="34"/>
      <c r="BM851" s="34"/>
      <c r="BN851" s="34"/>
      <c r="BO851" s="23" t="s">
        <v>50</v>
      </c>
      <c r="BP851" s="352">
        <v>331890</v>
      </c>
      <c r="BQ851" s="352">
        <v>382666</v>
      </c>
      <c r="BR851" s="352">
        <v>461600</v>
      </c>
      <c r="BS851" s="352">
        <v>590848</v>
      </c>
      <c r="BT851" s="352">
        <v>658242</v>
      </c>
      <c r="BU851" s="14"/>
      <c r="BV851" s="23" t="s">
        <v>50</v>
      </c>
      <c r="BW851" s="352">
        <v>331890</v>
      </c>
      <c r="BX851" s="352">
        <v>382666</v>
      </c>
      <c r="BY851" s="352">
        <v>461600</v>
      </c>
      <c r="BZ851" s="352">
        <v>590848</v>
      </c>
      <c r="CA851" s="352">
        <v>658242</v>
      </c>
      <c r="CB851" s="34"/>
      <c r="CC851" s="34"/>
      <c r="CD851" s="34"/>
      <c r="CE851" s="34"/>
      <c r="CF851" s="34"/>
      <c r="CG851" s="34"/>
      <c r="CH851" s="34"/>
      <c r="CI851" s="34"/>
      <c r="CJ851" s="34"/>
      <c r="CK851" s="34"/>
      <c r="CL851" s="34"/>
      <c r="CM851" s="34"/>
      <c r="CN851" s="34"/>
      <c r="CO851" s="34"/>
      <c r="CP851" s="34"/>
      <c r="CQ851" s="34"/>
      <c r="CR851" s="34"/>
      <c r="CS851" s="34"/>
      <c r="CT851" s="34"/>
      <c r="CU851" s="34"/>
      <c r="CV851" s="34"/>
      <c r="CW851" s="34"/>
      <c r="CX851" s="34"/>
      <c r="CY851" s="34"/>
      <c r="CZ851" s="34"/>
      <c r="DA851" s="34"/>
      <c r="DB851" s="34"/>
      <c r="DC851" s="34"/>
      <c r="DD851" s="34"/>
      <c r="DE851" s="34"/>
      <c r="DF851" s="34"/>
    </row>
    <row r="852" spans="3:110" ht="12.95" customHeight="1">
      <c r="J852" s="45" t="s">
        <v>529</v>
      </c>
      <c r="K852" s="5"/>
      <c r="L852" s="5"/>
      <c r="M852" s="5"/>
      <c r="N852" s="5"/>
      <c r="O852" s="5"/>
      <c r="P852" s="5"/>
      <c r="Q852" s="5"/>
      <c r="R852" s="5"/>
      <c r="S852" s="5"/>
      <c r="T852" s="5"/>
      <c r="U852" s="5"/>
      <c r="V852" s="46"/>
      <c r="W852" s="1423"/>
      <c r="X852" s="1423"/>
      <c r="Y852" s="1423"/>
      <c r="Z852" s="1423"/>
      <c r="AA852" s="1423"/>
      <c r="AB852" s="1423"/>
      <c r="AC852" s="1423"/>
      <c r="AZ852" s="34"/>
      <c r="BA852" s="34"/>
      <c r="BB852" s="34"/>
      <c r="BC852" s="34"/>
      <c r="BD852" s="34"/>
      <c r="BE852" s="34"/>
      <c r="BF852" s="34"/>
      <c r="BG852" s="34"/>
      <c r="BH852" s="34"/>
      <c r="BI852" s="34"/>
      <c r="BJ852" s="34"/>
      <c r="BK852" s="34"/>
      <c r="BL852" s="34"/>
      <c r="BM852" s="34"/>
      <c r="BN852" s="34"/>
      <c r="BO852" s="23" t="s">
        <v>327</v>
      </c>
      <c r="BP852" s="350">
        <v>331890</v>
      </c>
      <c r="BQ852" s="350">
        <v>382666</v>
      </c>
      <c r="BR852" s="350">
        <v>461600</v>
      </c>
      <c r="BS852" s="350">
        <v>590848</v>
      </c>
      <c r="BT852" s="350">
        <v>658242</v>
      </c>
      <c r="BU852" s="14"/>
      <c r="BV852" s="23" t="s">
        <v>327</v>
      </c>
      <c r="BW852" s="350">
        <v>331890</v>
      </c>
      <c r="BX852" s="350">
        <v>382666</v>
      </c>
      <c r="BY852" s="350">
        <v>461600</v>
      </c>
      <c r="BZ852" s="350">
        <v>590848</v>
      </c>
      <c r="CA852" s="350">
        <v>658242</v>
      </c>
      <c r="CB852" s="34"/>
      <c r="CC852" s="34"/>
      <c r="CD852" s="34"/>
      <c r="CE852" s="34"/>
      <c r="CF852" s="34"/>
      <c r="CG852" s="34"/>
      <c r="CH852" s="34"/>
      <c r="CI852" s="34"/>
      <c r="CJ852" s="34"/>
      <c r="CK852" s="34"/>
      <c r="CL852" s="34"/>
      <c r="CM852" s="34"/>
      <c r="CN852" s="34"/>
      <c r="CO852" s="34"/>
      <c r="CP852" s="34"/>
      <c r="CQ852" s="34"/>
      <c r="CR852" s="34"/>
      <c r="CS852" s="34"/>
      <c r="CT852" s="34"/>
      <c r="CU852" s="34"/>
      <c r="CV852" s="34"/>
      <c r="CW852" s="34"/>
      <c r="CX852" s="34"/>
      <c r="CY852" s="34"/>
      <c r="CZ852" s="34"/>
      <c r="DA852" s="34"/>
      <c r="DB852" s="34"/>
      <c r="DC852" s="34"/>
      <c r="DD852" s="34"/>
      <c r="DE852" s="34"/>
      <c r="DF852" s="34"/>
    </row>
    <row r="853" spans="3:110" ht="12.95" customHeight="1">
      <c r="J853" s="45" t="s">
        <v>528</v>
      </c>
      <c r="K853" s="5"/>
      <c r="L853" s="5"/>
      <c r="M853" s="5"/>
      <c r="N853" s="5"/>
      <c r="O853" s="5"/>
      <c r="P853" s="5"/>
      <c r="Q853" s="5"/>
      <c r="R853" s="5"/>
      <c r="S853" s="5"/>
      <c r="T853" s="5"/>
      <c r="U853" s="5"/>
      <c r="V853" s="46"/>
      <c r="W853" s="1423">
        <v>37800</v>
      </c>
      <c r="X853" s="1423"/>
      <c r="Y853" s="1423"/>
      <c r="Z853" s="1423"/>
      <c r="AA853" s="1423"/>
      <c r="AB853" s="1423"/>
      <c r="AC853" s="1423"/>
      <c r="AZ853" s="34"/>
      <c r="BA853" s="34"/>
      <c r="BB853" s="34"/>
      <c r="BC853" s="34"/>
      <c r="BD853" s="34"/>
      <c r="BE853" s="34"/>
      <c r="BF853" s="34"/>
      <c r="BG853" s="34"/>
      <c r="BH853" s="34"/>
      <c r="BI853" s="34"/>
      <c r="BJ853" s="34"/>
      <c r="BK853" s="34"/>
      <c r="BL853" s="34"/>
      <c r="BM853" s="34"/>
      <c r="BN853" s="34"/>
      <c r="BU853" s="14"/>
      <c r="CB853" s="34"/>
      <c r="CC853" s="34"/>
      <c r="CD853" s="34"/>
      <c r="CE853" s="34"/>
      <c r="CF853" s="34"/>
      <c r="CG853" s="34"/>
      <c r="CH853" s="34"/>
      <c r="CI853" s="34"/>
      <c r="CJ853" s="34"/>
      <c r="CK853" s="34"/>
      <c r="CL853" s="34"/>
      <c r="CM853" s="34"/>
      <c r="CN853" s="34"/>
      <c r="CO853" s="34"/>
      <c r="CP853" s="34"/>
      <c r="CQ853" s="34"/>
      <c r="CR853" s="34"/>
      <c r="CS853" s="34"/>
      <c r="CT853" s="34"/>
      <c r="CU853" s="34"/>
      <c r="CV853" s="34"/>
      <c r="CW853" s="34"/>
      <c r="CX853" s="34"/>
      <c r="CY853" s="34"/>
      <c r="CZ853" s="34"/>
      <c r="DA853" s="34"/>
      <c r="DB853" s="34"/>
      <c r="DC853" s="34"/>
      <c r="DD853" s="34"/>
      <c r="DE853" s="34"/>
      <c r="DF853" s="34"/>
    </row>
    <row r="854" spans="3:110" ht="12.95" customHeight="1">
      <c r="J854" s="45" t="s">
        <v>527</v>
      </c>
      <c r="K854" s="5"/>
      <c r="L854" s="5"/>
      <c r="M854" s="5"/>
      <c r="N854" s="5"/>
      <c r="O854" s="5"/>
      <c r="P854" s="5"/>
      <c r="Q854" s="5"/>
      <c r="R854" s="5"/>
      <c r="S854" s="5"/>
      <c r="T854" s="5"/>
      <c r="U854" s="5"/>
      <c r="V854" s="46"/>
      <c r="W854" s="1423"/>
      <c r="X854" s="1423"/>
      <c r="Y854" s="1423"/>
      <c r="Z854" s="1423"/>
      <c r="AA854" s="1423"/>
      <c r="AB854" s="1423"/>
      <c r="AC854" s="1423"/>
      <c r="AZ854" s="34"/>
      <c r="BA854" s="34"/>
      <c r="BB854" s="34"/>
      <c r="BC854" s="34"/>
      <c r="BD854" s="34"/>
      <c r="BE854" s="34"/>
      <c r="BF854" s="34"/>
      <c r="BG854" s="34"/>
      <c r="BH854" s="34"/>
      <c r="BI854" s="34"/>
      <c r="BJ854" s="34"/>
      <c r="BK854" s="34"/>
      <c r="BL854" s="34"/>
      <c r="BM854" s="34"/>
      <c r="BN854" s="34"/>
      <c r="BU854" s="14"/>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row>
    <row r="855" spans="3:110" ht="12.95" customHeight="1">
      <c r="J855" s="45" t="s">
        <v>170</v>
      </c>
      <c r="K855" s="5"/>
      <c r="L855" s="5"/>
      <c r="M855" s="1534" t="s">
        <v>335</v>
      </c>
      <c r="N855" s="1535"/>
      <c r="O855" s="1535"/>
      <c r="P855" s="1535"/>
      <c r="Q855" s="1535"/>
      <c r="R855" s="1535"/>
      <c r="S855" s="1535"/>
      <c r="T855" s="1535"/>
      <c r="U855" s="1535"/>
      <c r="V855" s="1536"/>
      <c r="W855" s="1423"/>
      <c r="X855" s="1423"/>
      <c r="Y855" s="1423"/>
      <c r="Z855" s="1423"/>
      <c r="AA855" s="1423"/>
      <c r="AB855" s="1423"/>
      <c r="AC855" s="1423"/>
      <c r="AD855" s="568"/>
      <c r="AZ855" s="34"/>
      <c r="BA855" s="34"/>
      <c r="BB855" s="34"/>
      <c r="BC855" s="34"/>
      <c r="BD855" s="34"/>
      <c r="BE855" s="34"/>
      <c r="BF855" s="34"/>
      <c r="BG855" s="34"/>
      <c r="BH855" s="34"/>
      <c r="BI855" s="34"/>
      <c r="BJ855" s="34"/>
      <c r="BK855" s="34"/>
      <c r="BL855" s="34"/>
      <c r="BM855" s="34"/>
      <c r="BN855" s="34"/>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row>
    <row r="856" spans="3:110" ht="12.95" customHeight="1">
      <c r="J856" s="45"/>
      <c r="K856" s="5"/>
      <c r="L856" s="5"/>
      <c r="M856" s="5"/>
      <c r="N856" s="5"/>
      <c r="O856" s="5"/>
      <c r="P856" s="5"/>
      <c r="Q856" s="5"/>
      <c r="R856" s="5"/>
      <c r="S856" s="5"/>
      <c r="T856" s="5"/>
      <c r="U856" s="5"/>
      <c r="V856" s="54" t="s">
        <v>276</v>
      </c>
      <c r="W856" s="1670">
        <f>SUM(W849:AC855)</f>
        <v>98280</v>
      </c>
      <c r="X856" s="1670"/>
      <c r="Y856" s="1670"/>
      <c r="Z856" s="1670"/>
      <c r="AA856" s="1670"/>
      <c r="AB856" s="1670"/>
      <c r="AC856" s="1670"/>
      <c r="AZ856" s="34"/>
      <c r="BA856" s="34"/>
      <c r="BB856" s="34"/>
      <c r="BC856" s="34"/>
      <c r="BD856" s="34"/>
      <c r="BE856" s="34"/>
      <c r="BF856" s="34"/>
      <c r="BG856" s="34"/>
      <c r="BH856" s="34"/>
      <c r="BI856" s="34"/>
      <c r="BJ856" s="34"/>
      <c r="BK856" s="34"/>
      <c r="BL856" s="34"/>
      <c r="BM856" s="34"/>
      <c r="BN856" s="34"/>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row>
    <row r="857" spans="3:110" ht="12.95" customHeight="1">
      <c r="AZ857" s="34"/>
      <c r="BA857" s="34"/>
      <c r="BB857" s="34"/>
      <c r="BC857" s="34"/>
      <c r="BD857" s="34"/>
      <c r="BE857" s="34"/>
      <c r="BF857" s="34"/>
      <c r="BG857" s="34"/>
      <c r="BH857" s="34"/>
      <c r="BI857" s="34"/>
      <c r="BJ857" s="34"/>
      <c r="BK857" s="34"/>
      <c r="BL857" s="34"/>
      <c r="BM857" s="34"/>
      <c r="BN857" s="34"/>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row>
    <row r="858" spans="3:110" ht="12.95" customHeight="1">
      <c r="C858" s="2" t="s">
        <v>1391</v>
      </c>
      <c r="J858" s="45" t="s">
        <v>170</v>
      </c>
      <c r="K858" s="5"/>
      <c r="L858" s="5"/>
      <c r="M858" s="1534" t="s">
        <v>2721</v>
      </c>
      <c r="N858" s="1535"/>
      <c r="O858" s="1535"/>
      <c r="P858" s="1535"/>
      <c r="Q858" s="1535"/>
      <c r="R858" s="1535"/>
      <c r="S858" s="1535"/>
      <c r="T858" s="1535"/>
      <c r="U858" s="1535"/>
      <c r="V858" s="1536"/>
      <c r="W858" s="1420">
        <v>3360</v>
      </c>
      <c r="X858" s="1421"/>
      <c r="Y858" s="1421"/>
      <c r="Z858" s="1421"/>
      <c r="AA858" s="1421"/>
      <c r="AB858" s="1421"/>
      <c r="AC858" s="1422"/>
      <c r="AD858" s="568"/>
      <c r="AZ858" s="34"/>
      <c r="BA858" s="34"/>
      <c r="BB858" s="34"/>
      <c r="BC858" s="34"/>
      <c r="BD858" s="34"/>
      <c r="BE858" s="34"/>
      <c r="BF858" s="34"/>
      <c r="BG858" s="34"/>
      <c r="BH858" s="34"/>
      <c r="BI858" s="34"/>
      <c r="BJ858" s="34"/>
      <c r="BK858" s="34"/>
      <c r="BL858" s="34"/>
      <c r="BM858" s="34"/>
      <c r="BN858" s="34"/>
      <c r="BU858" s="14"/>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row>
    <row r="859" spans="3:110" ht="12.95" customHeight="1">
      <c r="C859" s="2" t="s">
        <v>1392</v>
      </c>
      <c r="J859" s="45" t="s">
        <v>170</v>
      </c>
      <c r="K859" s="5"/>
      <c r="L859" s="5"/>
      <c r="M859" s="1534" t="s">
        <v>2722</v>
      </c>
      <c r="N859" s="1535"/>
      <c r="O859" s="1535"/>
      <c r="P859" s="1535"/>
      <c r="Q859" s="1535"/>
      <c r="R859" s="1535"/>
      <c r="S859" s="1535"/>
      <c r="T859" s="1535"/>
      <c r="U859" s="1535"/>
      <c r="V859" s="1536"/>
      <c r="W859" s="1420">
        <v>9072</v>
      </c>
      <c r="X859" s="1421"/>
      <c r="Y859" s="1421"/>
      <c r="Z859" s="1421"/>
      <c r="AA859" s="1421"/>
      <c r="AB859" s="1421"/>
      <c r="AC859" s="1422"/>
      <c r="AD859" s="568"/>
      <c r="AZ859" s="34"/>
      <c r="BA859" s="34"/>
      <c r="BB859" s="34"/>
      <c r="BC859" s="34"/>
      <c r="BD859" s="34"/>
      <c r="BE859" s="34"/>
      <c r="BF859" s="34"/>
      <c r="BG859" s="34"/>
      <c r="BH859" s="34"/>
      <c r="BI859" s="34"/>
      <c r="BJ859" s="34"/>
      <c r="BK859" s="34"/>
      <c r="BL859" s="34"/>
      <c r="BM859" s="34"/>
      <c r="BN859" s="34"/>
      <c r="BU859" s="14"/>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row>
    <row r="860" spans="3:110" ht="12.95" customHeight="1">
      <c r="J860" s="45" t="s">
        <v>170</v>
      </c>
      <c r="K860" s="5"/>
      <c r="L860" s="5"/>
      <c r="M860" s="1534" t="s">
        <v>335</v>
      </c>
      <c r="N860" s="1535"/>
      <c r="O860" s="1535"/>
      <c r="P860" s="1535"/>
      <c r="Q860" s="1535"/>
      <c r="R860" s="1535"/>
      <c r="S860" s="1535"/>
      <c r="T860" s="1535"/>
      <c r="U860" s="1535"/>
      <c r="V860" s="1536"/>
      <c r="W860" s="1420"/>
      <c r="X860" s="1421"/>
      <c r="Y860" s="1421"/>
      <c r="Z860" s="1421"/>
      <c r="AA860" s="1421"/>
      <c r="AB860" s="1421"/>
      <c r="AC860" s="1422"/>
      <c r="AL860" s="14"/>
      <c r="AM860" s="14"/>
      <c r="AN860" s="14"/>
      <c r="AO860" s="14"/>
      <c r="AP860" s="14"/>
      <c r="AQ860" s="14"/>
      <c r="AR860" s="14"/>
      <c r="AS860" s="14"/>
      <c r="AT860" s="14"/>
      <c r="AU860" s="14"/>
      <c r="AV860" s="14"/>
      <c r="AW860" s="14"/>
      <c r="AX860" s="14"/>
      <c r="AY860" s="14"/>
      <c r="AZ860" s="34"/>
      <c r="BA860" s="34"/>
      <c r="BB860" s="34"/>
      <c r="BC860" s="34"/>
      <c r="BD860" s="34"/>
      <c r="BE860" s="34"/>
      <c r="BF860" s="34"/>
      <c r="BG860" s="34"/>
      <c r="BH860" s="34"/>
      <c r="BI860" s="34"/>
      <c r="BJ860" s="34"/>
      <c r="BK860" s="34"/>
      <c r="BL860" s="34"/>
      <c r="BM860" s="34"/>
      <c r="BN860" s="34"/>
      <c r="BO860" s="34"/>
      <c r="BP860" s="34"/>
      <c r="BQ860" s="34"/>
      <c r="BR860" s="34"/>
      <c r="BS860" s="34"/>
      <c r="BT860" s="34"/>
      <c r="BU860" s="34"/>
      <c r="BV860" s="34"/>
      <c r="BW860" s="34"/>
      <c r="BX860" s="34"/>
      <c r="BY860" s="34"/>
      <c r="BZ860" s="34"/>
      <c r="CA860" s="34"/>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row>
    <row r="861" spans="3:110" ht="12.95" customHeight="1">
      <c r="J861" s="45" t="s">
        <v>170</v>
      </c>
      <c r="K861" s="5"/>
      <c r="L861" s="5"/>
      <c r="M861" s="1534" t="s">
        <v>335</v>
      </c>
      <c r="N861" s="1535"/>
      <c r="O861" s="1535"/>
      <c r="P861" s="1535"/>
      <c r="Q861" s="1535"/>
      <c r="R861" s="1535"/>
      <c r="S861" s="1535"/>
      <c r="T861" s="1535"/>
      <c r="U861" s="1535"/>
      <c r="V861" s="1536"/>
      <c r="W861" s="1420"/>
      <c r="X861" s="1421"/>
      <c r="Y861" s="1421"/>
      <c r="Z861" s="1421"/>
      <c r="AA861" s="1421"/>
      <c r="AB861" s="1421"/>
      <c r="AC861" s="1422"/>
      <c r="AL861" s="14"/>
      <c r="AM861" s="14"/>
      <c r="AN861" s="14"/>
      <c r="AO861" s="14"/>
      <c r="AP861" s="14"/>
      <c r="AQ861" s="14"/>
      <c r="AR861" s="14"/>
      <c r="AS861" s="14"/>
      <c r="AT861" s="14"/>
      <c r="AU861" s="14"/>
      <c r="AV861" s="14"/>
      <c r="AW861" s="14"/>
      <c r="AX861" s="14"/>
      <c r="AY861" s="14"/>
      <c r="AZ861" s="34"/>
      <c r="BA861" s="34"/>
      <c r="BB861" s="34"/>
      <c r="BC861" s="34"/>
      <c r="BD861" s="34"/>
      <c r="BE861" s="34"/>
      <c r="BF861" s="34"/>
      <c r="BG861" s="34"/>
      <c r="BH861" s="34"/>
      <c r="BI861" s="34"/>
      <c r="BJ861" s="34"/>
      <c r="BK861" s="34"/>
      <c r="BL861" s="34"/>
      <c r="BM861" s="34"/>
      <c r="BN861" s="34"/>
      <c r="BO861" s="34"/>
      <c r="BP861" s="34"/>
      <c r="BQ861" s="34"/>
      <c r="BR861" s="34"/>
      <c r="BS861" s="34"/>
      <c r="BT861" s="34"/>
      <c r="BU861" s="34"/>
      <c r="BV861" s="34"/>
      <c r="BW861" s="34"/>
      <c r="BX861" s="34"/>
      <c r="BY861" s="34"/>
      <c r="BZ861" s="34"/>
      <c r="CA861" s="34"/>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row>
    <row r="862" spans="3:110" ht="12.95" customHeight="1">
      <c r="J862" s="45" t="s">
        <v>170</v>
      </c>
      <c r="K862" s="5"/>
      <c r="L862" s="5"/>
      <c r="M862" s="1534" t="s">
        <v>335</v>
      </c>
      <c r="N862" s="1535"/>
      <c r="O862" s="1535"/>
      <c r="P862" s="1535"/>
      <c r="Q862" s="1535"/>
      <c r="R862" s="1535"/>
      <c r="S862" s="1535"/>
      <c r="T862" s="1535"/>
      <c r="U862" s="1535"/>
      <c r="V862" s="1536"/>
      <c r="W862" s="1420"/>
      <c r="X862" s="1421"/>
      <c r="Y862" s="1421"/>
      <c r="Z862" s="1421"/>
      <c r="AA862" s="1421"/>
      <c r="AB862" s="1421"/>
      <c r="AC862" s="1422"/>
      <c r="AL862" s="14"/>
      <c r="AM862" s="14"/>
      <c r="AN862" s="14"/>
      <c r="AO862" s="14"/>
      <c r="AP862" s="14"/>
      <c r="AQ862" s="14"/>
      <c r="AR862" s="14"/>
      <c r="AS862" s="14"/>
      <c r="AT862" s="14"/>
      <c r="AU862" s="14"/>
      <c r="AV862" s="14"/>
      <c r="AW862" s="14"/>
      <c r="AX862" s="14"/>
      <c r="AY862" s="14"/>
      <c r="AZ862" s="34"/>
      <c r="BA862" s="34"/>
      <c r="BB862" s="34"/>
      <c r="BC862" s="34"/>
      <c r="BD862" s="34"/>
      <c r="BE862" s="34"/>
      <c r="BF862" s="34"/>
      <c r="BG862" s="34"/>
      <c r="BH862" s="34"/>
      <c r="BI862" s="34"/>
      <c r="BJ862" s="34"/>
      <c r="BK862" s="34"/>
      <c r="BL862" s="34"/>
      <c r="BM862" s="34"/>
      <c r="BN862" s="34"/>
      <c r="BO862" s="34"/>
      <c r="BP862" s="34"/>
      <c r="BQ862" s="34"/>
      <c r="BR862" s="34"/>
      <c r="BS862" s="34"/>
      <c r="BT862" s="34"/>
      <c r="BU862" s="34"/>
      <c r="BV862" s="34"/>
      <c r="BW862" s="34"/>
      <c r="BX862" s="34"/>
      <c r="BY862" s="34"/>
      <c r="BZ862" s="34"/>
      <c r="CA862" s="34"/>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row>
    <row r="863" spans="3:110" ht="12.95" customHeight="1">
      <c r="J863" s="45"/>
      <c r="K863" s="5"/>
      <c r="L863" s="5"/>
      <c r="M863" s="5"/>
      <c r="N863" s="5"/>
      <c r="O863" s="5"/>
      <c r="P863" s="5"/>
      <c r="Q863" s="5"/>
      <c r="R863" s="5"/>
      <c r="S863" s="5"/>
      <c r="T863" s="5"/>
      <c r="U863" s="5"/>
      <c r="V863" s="54" t="s">
        <v>277</v>
      </c>
      <c r="W863" s="1587">
        <f>SUM(W858:AC862)</f>
        <v>12432</v>
      </c>
      <c r="X863" s="1588"/>
      <c r="Y863" s="1588"/>
      <c r="Z863" s="1588"/>
      <c r="AA863" s="1588"/>
      <c r="AB863" s="1588"/>
      <c r="AC863" s="1589"/>
      <c r="AL863" s="14"/>
      <c r="AM863" s="14"/>
      <c r="AN863" s="14"/>
      <c r="AO863" s="14"/>
      <c r="AP863" s="14"/>
      <c r="AQ863" s="14"/>
      <c r="AR863" s="14"/>
      <c r="AS863" s="14"/>
      <c r="AT863" s="14"/>
      <c r="AU863" s="14"/>
      <c r="AV863" s="14"/>
      <c r="AW863" s="14"/>
      <c r="AX863" s="14"/>
      <c r="AY863" s="14"/>
      <c r="AZ863" s="34"/>
      <c r="BA863" s="34"/>
      <c r="BB863" s="34"/>
      <c r="BC863" s="34"/>
      <c r="BD863" s="34"/>
      <c r="BE863" s="34"/>
      <c r="BF863" s="34"/>
      <c r="BG863" s="34"/>
      <c r="BH863" s="34"/>
      <c r="BI863" s="34"/>
      <c r="BJ863" s="34"/>
      <c r="BK863" s="34"/>
      <c r="BL863" s="34"/>
      <c r="BM863" s="34"/>
      <c r="BN863" s="34"/>
      <c r="BO863" s="34"/>
      <c r="BP863" s="34"/>
      <c r="BQ863" s="34"/>
      <c r="BR863" s="34"/>
      <c r="BS863" s="34"/>
      <c r="BT863" s="34"/>
      <c r="BU863" s="34"/>
      <c r="BV863" s="34"/>
      <c r="BW863" s="34"/>
      <c r="BX863" s="34"/>
      <c r="BY863" s="34"/>
      <c r="BZ863" s="34"/>
      <c r="CA863" s="34"/>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row>
    <row r="864" spans="3:110" ht="12.95" customHeight="1">
      <c r="E864" s="547"/>
      <c r="V864" s="56"/>
      <c r="W864" s="64"/>
      <c r="X864" s="64"/>
      <c r="Y864" s="64"/>
      <c r="Z864" s="64"/>
      <c r="AA864" s="64"/>
      <c r="AB864" s="64"/>
      <c r="AL864" s="14"/>
      <c r="AM864" s="14"/>
      <c r="AN864" s="14"/>
      <c r="AO864" s="14"/>
      <c r="AP864" s="14"/>
      <c r="AQ864" s="14"/>
      <c r="AR864" s="14"/>
      <c r="AS864" s="14"/>
      <c r="AT864" s="14"/>
      <c r="AU864" s="14"/>
      <c r="AV864" s="14"/>
      <c r="AW864" s="14"/>
      <c r="AX864" s="14"/>
      <c r="AY864" s="14"/>
      <c r="AZ864" s="34"/>
      <c r="BA864" s="34"/>
      <c r="BB864" s="34"/>
      <c r="BC864" s="34"/>
      <c r="BD864" s="34"/>
      <c r="BE864" s="34"/>
      <c r="BF864" s="34"/>
      <c r="BG864" s="34"/>
      <c r="BH864" s="34"/>
      <c r="BI864" s="34"/>
      <c r="BJ864" s="34"/>
      <c r="BK864" s="34"/>
      <c r="BL864" s="34"/>
      <c r="BM864" s="34"/>
      <c r="BN864" s="34"/>
      <c r="BO864" s="34"/>
      <c r="BP864" s="34"/>
      <c r="BQ864" s="34"/>
      <c r="BR864" s="34"/>
      <c r="BS864" s="34"/>
      <c r="BT864" s="34"/>
      <c r="BU864" s="34"/>
      <c r="BV864" s="34"/>
      <c r="BW864" s="34"/>
      <c r="BX864" s="34"/>
      <c r="BY864" s="34"/>
      <c r="BZ864" s="34"/>
      <c r="CA864" s="3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1:110" ht="12.95" customHeight="1">
      <c r="C865" s="2" t="s">
        <v>178</v>
      </c>
      <c r="I865" s="568"/>
      <c r="J865" s="568"/>
      <c r="V865" s="56"/>
      <c r="W865" s="64"/>
      <c r="X865" s="64"/>
      <c r="Y865" s="64"/>
      <c r="Z865" s="64"/>
      <c r="AA865" s="64"/>
      <c r="AB865" s="64"/>
      <c r="AL865" s="4"/>
      <c r="AM865" s="4"/>
      <c r="AN865" s="4"/>
      <c r="AO865" s="4"/>
      <c r="AP865" s="4"/>
      <c r="AQ865" s="4"/>
      <c r="AR865" s="4"/>
      <c r="AS865" s="4"/>
      <c r="AT865" s="4"/>
      <c r="AU865" s="4"/>
      <c r="AV865" s="4"/>
      <c r="AW865" s="4"/>
      <c r="AX865" s="4"/>
      <c r="AY865" s="4"/>
      <c r="AZ865" s="34"/>
      <c r="BA865" s="34"/>
      <c r="BB865" s="34"/>
      <c r="BC865" s="34"/>
      <c r="BD865" s="34"/>
      <c r="BE865" s="34"/>
      <c r="BF865" s="34"/>
      <c r="BG865" s="34"/>
      <c r="BH865" s="34"/>
      <c r="BI865" s="34"/>
      <c r="BJ865" s="34"/>
      <c r="BK865" s="34"/>
      <c r="BL865" s="34"/>
      <c r="BM865" s="34"/>
      <c r="BN865" s="34"/>
      <c r="BO865" s="34"/>
      <c r="BP865" s="34"/>
      <c r="BQ865" s="34"/>
      <c r="BR865" s="34"/>
      <c r="BS865" s="34"/>
      <c r="BT865" s="34"/>
      <c r="BU865" s="34"/>
      <c r="BV865" s="34"/>
      <c r="BW865" s="34"/>
      <c r="BX865" s="34"/>
      <c r="BY865" s="34"/>
      <c r="BZ865" s="34"/>
      <c r="CA865" s="3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1:110" ht="12.95" customHeight="1">
      <c r="E866" s="547"/>
      <c r="V866" s="56"/>
      <c r="W866" s="64"/>
      <c r="X866" s="64"/>
      <c r="Y866" s="64"/>
      <c r="Z866" s="64"/>
      <c r="AA866" s="64"/>
      <c r="AB866" s="64"/>
      <c r="AL866" s="4"/>
      <c r="AM866" s="4"/>
      <c r="AN866" s="4"/>
      <c r="AO866" s="4"/>
      <c r="AP866" s="4"/>
      <c r="AQ866" s="4"/>
      <c r="AR866" s="4"/>
      <c r="AS866" s="4"/>
      <c r="AT866" s="4"/>
      <c r="AU866" s="4"/>
      <c r="AV866" s="4"/>
      <c r="AW866" s="4"/>
      <c r="AX866" s="4"/>
      <c r="AY866" s="4"/>
      <c r="AZ866" s="34"/>
      <c r="BA866" s="34"/>
      <c r="BB866" s="34"/>
      <c r="BC866" s="34"/>
      <c r="BD866" s="34"/>
      <c r="BE866" s="34"/>
      <c r="BF866" s="34"/>
      <c r="BG866" s="34"/>
      <c r="BH866" s="34"/>
      <c r="BI866" s="34"/>
      <c r="BJ866" s="34"/>
      <c r="BK866" s="34"/>
      <c r="BL866" s="34"/>
      <c r="BM866" s="34"/>
      <c r="BN866" s="34"/>
      <c r="BO866" s="34"/>
      <c r="BP866" s="34"/>
      <c r="BQ866" s="34"/>
      <c r="BR866" s="34"/>
      <c r="BS866" s="34"/>
      <c r="BT866" s="34"/>
      <c r="BU866" s="34"/>
      <c r="BV866" s="34"/>
      <c r="BW866" s="34"/>
      <c r="BX866" s="34"/>
      <c r="BY866" s="34"/>
      <c r="BZ866" s="34"/>
      <c r="CA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1:110" ht="12.95" customHeight="1">
      <c r="C867" s="41"/>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929" t="s">
        <v>278</v>
      </c>
      <c r="AC867" s="1588">
        <f>W831+W839+W846+W847+W856+W863+W833</f>
        <v>833870</v>
      </c>
      <c r="AD867" s="1588"/>
      <c r="AE867" s="1588"/>
      <c r="AF867" s="1588"/>
      <c r="AG867" s="1588"/>
      <c r="AH867" s="1589"/>
      <c r="AL867" s="4"/>
      <c r="AM867" s="4"/>
      <c r="AN867" s="4"/>
      <c r="AO867" s="4"/>
      <c r="AP867" s="4"/>
      <c r="AQ867" s="4"/>
      <c r="AR867" s="4"/>
      <c r="AS867" s="4"/>
      <c r="AT867" s="4"/>
      <c r="AU867" s="4"/>
      <c r="AV867" s="4"/>
      <c r="AW867" s="4"/>
      <c r="AX867" s="4"/>
      <c r="AY867" s="4"/>
      <c r="AZ867" s="34"/>
      <c r="BA867" s="34"/>
      <c r="BB867" s="34"/>
      <c r="BC867" s="34"/>
      <c r="BD867" s="34"/>
      <c r="BE867" s="34"/>
      <c r="BF867" s="34"/>
      <c r="BG867" s="34"/>
      <c r="BH867" s="34"/>
      <c r="BI867" s="34"/>
      <c r="BJ867" s="34"/>
      <c r="BK867" s="34"/>
      <c r="BL867" s="34"/>
      <c r="BM867" s="34"/>
      <c r="BN867" s="34"/>
      <c r="BO867" s="34"/>
      <c r="BP867" s="34"/>
      <c r="BQ867" s="34"/>
      <c r="BR867" s="34"/>
      <c r="BS867" s="34"/>
      <c r="BT867" s="34"/>
      <c r="BU867" s="34"/>
      <c r="BV867" s="34"/>
      <c r="BW867" s="34"/>
      <c r="BX867" s="34"/>
      <c r="BY867" s="34"/>
      <c r="BZ867" s="34"/>
      <c r="CA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1:110" ht="12.95" customHeight="1">
      <c r="C868" s="41"/>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929" t="s">
        <v>520</v>
      </c>
      <c r="AC868" s="1694">
        <f>O782+O762+G739</f>
        <v>168</v>
      </c>
      <c r="AD868" s="1694"/>
      <c r="AE868" s="1694"/>
      <c r="AF868" s="1694"/>
      <c r="AG868" s="1694"/>
      <c r="AH868" s="1695"/>
      <c r="AL868" s="4"/>
      <c r="AM868" s="4"/>
      <c r="AN868" s="4"/>
      <c r="AO868" s="4"/>
      <c r="AP868" s="4"/>
      <c r="AQ868" s="4"/>
      <c r="AR868" s="4"/>
      <c r="AS868" s="4"/>
      <c r="AT868" s="4"/>
      <c r="AU868" s="4"/>
      <c r="AV868" s="4"/>
      <c r="AW868" s="4"/>
      <c r="AX868" s="4"/>
      <c r="AY868" s="4"/>
      <c r="AZ868" s="34"/>
      <c r="BA868" s="34"/>
      <c r="BB868" s="34"/>
      <c r="BC868" s="34"/>
      <c r="BD868" s="34"/>
      <c r="BE868" s="34"/>
      <c r="BF868" s="34"/>
      <c r="BG868" s="34"/>
      <c r="BH868" s="34"/>
      <c r="BI868" s="34"/>
      <c r="BJ868" s="34"/>
      <c r="BK868" s="34"/>
      <c r="BL868" s="34"/>
      <c r="BM868" s="34"/>
      <c r="BN868" s="34"/>
      <c r="BO868" s="34"/>
      <c r="BP868" s="34"/>
      <c r="BQ868" s="34"/>
      <c r="BR868" s="34"/>
      <c r="BS868" s="34"/>
      <c r="BT868" s="34"/>
      <c r="BU868" s="34"/>
      <c r="BV868" s="34"/>
      <c r="BW868" s="34"/>
      <c r="BX868" s="34"/>
      <c r="BY868" s="34"/>
      <c r="BZ868" s="34"/>
      <c r="CA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1:110" ht="12.95" customHeight="1">
      <c r="C869" s="41"/>
      <c r="D869" s="42"/>
      <c r="E869" s="1692" t="s">
        <v>32</v>
      </c>
      <c r="F869" s="1692"/>
      <c r="G869" s="1692"/>
      <c r="H869" s="1692"/>
      <c r="I869" s="1692"/>
      <c r="J869" s="1692"/>
      <c r="K869" s="1692"/>
      <c r="L869" s="1692"/>
      <c r="M869" s="1692"/>
      <c r="N869" s="1692"/>
      <c r="O869" s="1692"/>
      <c r="P869" s="1692"/>
      <c r="Q869" s="1692"/>
      <c r="R869" s="1692"/>
      <c r="S869" s="1692"/>
      <c r="T869" s="1692"/>
      <c r="U869" s="1692"/>
      <c r="V869" s="1692"/>
      <c r="W869" s="1692"/>
      <c r="X869" s="1692"/>
      <c r="Y869" s="1692"/>
      <c r="Z869" s="1692"/>
      <c r="AA869" s="1692"/>
      <c r="AB869" s="1693"/>
      <c r="AC869" s="1670">
        <f>IF(ISERROR((ROUNDDOWN(AC867/AC868,0))),0,(ROUNDDOWN(AC867/AC868,0)))</f>
        <v>4963</v>
      </c>
      <c r="AD869" s="1670"/>
      <c r="AE869" s="1670"/>
      <c r="AF869" s="1670"/>
      <c r="AG869" s="1670"/>
      <c r="AH869" s="1670"/>
      <c r="AL869" s="4"/>
      <c r="AM869" s="4"/>
      <c r="AN869" s="4"/>
      <c r="AO869" s="4"/>
      <c r="AP869" s="4"/>
      <c r="AQ869" s="4"/>
      <c r="AR869" s="4"/>
      <c r="AS869" s="4"/>
      <c r="AT869" s="4"/>
      <c r="AU869" s="4"/>
      <c r="AV869" s="4"/>
      <c r="AW869" s="4"/>
      <c r="AX869" s="4"/>
      <c r="AY869" s="4"/>
      <c r="AZ869" s="34"/>
      <c r="BA869" s="34"/>
      <c r="BB869" s="34"/>
      <c r="BC869" s="34"/>
      <c r="BD869" s="34"/>
      <c r="BE869" s="34"/>
      <c r="BF869" s="34"/>
      <c r="BG869" s="34"/>
      <c r="BH869" s="34"/>
      <c r="BI869" s="34"/>
      <c r="BJ869" s="34"/>
      <c r="BK869" s="34"/>
      <c r="BL869" s="34"/>
      <c r="BM869" s="34"/>
      <c r="BN869" s="34"/>
      <c r="BO869" s="34"/>
      <c r="BP869" s="34"/>
      <c r="BQ869" s="34"/>
      <c r="BR869" s="34"/>
      <c r="BS869" s="34"/>
      <c r="BT869" s="34"/>
      <c r="BU869" s="34"/>
      <c r="BV869" s="34"/>
      <c r="BW869" s="34"/>
      <c r="BX869" s="34"/>
      <c r="BY869" s="34"/>
      <c r="BZ869" s="34"/>
      <c r="CA869" s="3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1:110" ht="12.95" customHeight="1">
      <c r="C870" s="45"/>
      <c r="D870" s="5"/>
      <c r="E870" s="5"/>
      <c r="F870" s="5"/>
      <c r="G870" s="5"/>
      <c r="H870" s="5"/>
      <c r="I870" s="5"/>
      <c r="J870" s="5"/>
      <c r="K870" s="5"/>
      <c r="L870" s="5"/>
      <c r="M870" s="5"/>
      <c r="N870" s="5"/>
      <c r="O870" s="5"/>
      <c r="P870" s="5"/>
      <c r="Q870" s="5"/>
      <c r="R870" s="5"/>
      <c r="S870" s="5"/>
      <c r="T870" s="5"/>
      <c r="U870" s="5"/>
      <c r="V870" s="5"/>
      <c r="W870" s="5"/>
      <c r="X870" s="5"/>
      <c r="Y870" s="5"/>
      <c r="Z870" s="5"/>
      <c r="AA870" s="5"/>
      <c r="AB870" s="54" t="s">
        <v>785</v>
      </c>
      <c r="AC870" s="1718"/>
      <c r="AD870" s="1719"/>
      <c r="AE870" s="1719"/>
      <c r="AF870" s="1719"/>
      <c r="AG870" s="1719"/>
      <c r="AH870" s="1719"/>
      <c r="AL870" s="4"/>
      <c r="AM870" s="4"/>
      <c r="AN870" s="4"/>
      <c r="AO870" s="4"/>
      <c r="AP870" s="4"/>
      <c r="AQ870" s="4"/>
      <c r="AR870" s="4"/>
      <c r="AS870" s="4"/>
      <c r="AT870" s="4"/>
      <c r="AU870" s="4"/>
      <c r="AV870" s="4"/>
      <c r="AW870" s="4"/>
      <c r="AX870" s="4"/>
      <c r="AY870" s="4"/>
      <c r="AZ870" s="34"/>
      <c r="BA870" s="34"/>
      <c r="BB870" s="34"/>
      <c r="BC870" s="34"/>
      <c r="BD870" s="34"/>
      <c r="BE870" s="34"/>
      <c r="BF870" s="34"/>
      <c r="BG870" s="34"/>
      <c r="BH870" s="34"/>
      <c r="BI870" s="34"/>
      <c r="BJ870" s="34"/>
      <c r="BK870" s="34"/>
      <c r="BL870" s="34"/>
      <c r="BM870" s="34"/>
      <c r="BN870" s="34"/>
      <c r="BO870" s="34"/>
      <c r="BP870" s="34"/>
      <c r="BQ870" s="34"/>
      <c r="BR870" s="34"/>
      <c r="BS870" s="34"/>
      <c r="BT870" s="34"/>
      <c r="BU870" s="34"/>
      <c r="BV870" s="34"/>
      <c r="BW870" s="34"/>
      <c r="BX870" s="34"/>
      <c r="BY870" s="34"/>
      <c r="BZ870" s="34"/>
      <c r="CA870" s="3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1:110" ht="12.95" customHeight="1">
      <c r="C871" s="45"/>
      <c r="D871" s="5"/>
      <c r="E871" s="5"/>
      <c r="F871" s="5"/>
      <c r="G871" s="5"/>
      <c r="H871" s="5"/>
      <c r="I871" s="5"/>
      <c r="J871" s="5"/>
      <c r="K871" s="5"/>
      <c r="L871" s="5"/>
      <c r="M871" s="5"/>
      <c r="N871" s="5"/>
      <c r="O871" s="5"/>
      <c r="P871" s="5"/>
      <c r="Q871" s="5"/>
      <c r="R871" s="5"/>
      <c r="S871" s="5"/>
      <c r="T871" s="5"/>
      <c r="U871" s="5"/>
      <c r="V871" s="5"/>
      <c r="W871" s="5"/>
      <c r="X871" s="5"/>
      <c r="Y871" s="5"/>
      <c r="Z871" s="5"/>
      <c r="AA871" s="5"/>
      <c r="AB871" s="54" t="s">
        <v>1302</v>
      </c>
      <c r="AC871" s="1422"/>
      <c r="AD871" s="1423"/>
      <c r="AE871" s="1423"/>
      <c r="AF871" s="1423"/>
      <c r="AG871" s="1423"/>
      <c r="AH871" s="1423"/>
      <c r="AL871" s="4"/>
      <c r="AM871" s="4"/>
      <c r="AN871" s="4"/>
      <c r="AO871" s="4"/>
      <c r="AP871" s="4"/>
      <c r="AQ871" s="4"/>
      <c r="AR871" s="4"/>
      <c r="AS871" s="4"/>
      <c r="AT871" s="4"/>
      <c r="AU871" s="4"/>
      <c r="AV871" s="4"/>
      <c r="AW871" s="4"/>
      <c r="AX871" s="4"/>
      <c r="AY871" s="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1:110" ht="12.95" customHeight="1">
      <c r="C872" s="45"/>
      <c r="D872" s="5"/>
      <c r="E872" s="5"/>
      <c r="F872" s="5"/>
      <c r="G872" s="5"/>
      <c r="H872" s="5"/>
      <c r="I872" s="5"/>
      <c r="J872" s="5"/>
      <c r="K872" s="5"/>
      <c r="L872" s="5"/>
      <c r="M872" s="5"/>
      <c r="N872" s="5"/>
      <c r="O872" s="5"/>
      <c r="P872" s="5"/>
      <c r="Q872" s="5"/>
      <c r="R872" s="5"/>
      <c r="S872" s="5"/>
      <c r="T872" s="5"/>
      <c r="U872" s="5"/>
      <c r="V872" s="5"/>
      <c r="W872" s="5"/>
      <c r="X872" s="5"/>
      <c r="Y872" s="5"/>
      <c r="Z872" s="5"/>
      <c r="AA872" s="5"/>
      <c r="AB872" s="54" t="s">
        <v>519</v>
      </c>
      <c r="AC872" s="1421">
        <v>25200</v>
      </c>
      <c r="AD872" s="1421"/>
      <c r="AE872" s="1421"/>
      <c r="AF872" s="1421"/>
      <c r="AG872" s="1421"/>
      <c r="AH872" s="1422"/>
      <c r="AL872" s="4"/>
      <c r="AM872" s="4"/>
      <c r="AN872" s="4"/>
      <c r="AO872" s="4"/>
      <c r="AP872" s="4"/>
      <c r="AQ872" s="4"/>
      <c r="AR872" s="4"/>
      <c r="AS872" s="4"/>
      <c r="AT872" s="4"/>
      <c r="AU872" s="4"/>
      <c r="AV872" s="4"/>
      <c r="AW872" s="4"/>
      <c r="AX872" s="4"/>
      <c r="AY872" s="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1:110" ht="12.95" customHeight="1">
      <c r="C873" s="45"/>
      <c r="D873" s="5"/>
      <c r="E873" s="5"/>
      <c r="F873" s="5"/>
      <c r="G873" s="5"/>
      <c r="H873" s="5"/>
      <c r="I873" s="5"/>
      <c r="J873" s="5"/>
      <c r="K873" s="5"/>
      <c r="L873" s="5"/>
      <c r="M873" s="5"/>
      <c r="N873" s="5"/>
      <c r="O873" s="5"/>
      <c r="P873" s="5"/>
      <c r="Q873" s="5"/>
      <c r="R873" s="5"/>
      <c r="S873" s="5"/>
      <c r="T873" s="5"/>
      <c r="U873" s="5"/>
      <c r="V873" s="5"/>
      <c r="W873" s="5"/>
      <c r="X873" s="5"/>
      <c r="Y873" s="5"/>
      <c r="Z873" s="5"/>
      <c r="AA873" s="5"/>
      <c r="AB873" s="54" t="s">
        <v>81</v>
      </c>
      <c r="AC873" s="1421">
        <v>50400</v>
      </c>
      <c r="AD873" s="1421"/>
      <c r="AE873" s="1421"/>
      <c r="AF873" s="1421"/>
      <c r="AG873" s="1421"/>
      <c r="AH873" s="1422"/>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1:110" ht="12.95" customHeight="1">
      <c r="C874" s="45"/>
      <c r="D874" s="5"/>
      <c r="E874" s="5"/>
      <c r="F874" s="5"/>
      <c r="G874" s="5"/>
      <c r="H874" s="5"/>
      <c r="I874" s="5"/>
      <c r="J874" s="5"/>
      <c r="K874" s="5"/>
      <c r="L874" s="5"/>
      <c r="M874" s="5"/>
      <c r="N874" s="5"/>
      <c r="O874" s="5"/>
      <c r="P874" s="5"/>
      <c r="Q874" s="5"/>
      <c r="R874" s="5"/>
      <c r="S874" s="5"/>
      <c r="T874" s="5"/>
      <c r="U874" s="5"/>
      <c r="V874" s="5"/>
      <c r="W874" s="5"/>
      <c r="X874" s="5"/>
      <c r="Y874" s="5"/>
      <c r="Z874" s="5"/>
      <c r="AA874" s="5"/>
      <c r="AB874" s="54" t="s">
        <v>1937</v>
      </c>
      <c r="AC874" s="1364"/>
      <c r="AD874" s="1365"/>
      <c r="AE874" s="1365"/>
      <c r="AF874" s="1365"/>
      <c r="AG874" s="1365"/>
      <c r="AH874" s="1366"/>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1:110" ht="12.95" customHeight="1">
      <c r="C875" s="45"/>
      <c r="D875" s="5"/>
      <c r="E875" s="5"/>
      <c r="F875" s="5"/>
      <c r="G875" s="5"/>
      <c r="H875" s="5"/>
      <c r="I875" s="5"/>
      <c r="J875" s="5"/>
      <c r="K875" s="5"/>
      <c r="L875" s="5"/>
      <c r="M875" s="5"/>
      <c r="N875" s="5"/>
      <c r="O875" s="5"/>
      <c r="P875" s="5"/>
      <c r="Q875" s="5"/>
      <c r="R875" s="5"/>
      <c r="S875" s="5"/>
      <c r="T875" s="5"/>
      <c r="U875" s="5"/>
      <c r="V875" s="5"/>
      <c r="W875" s="5"/>
      <c r="X875" s="5"/>
      <c r="Y875" s="5"/>
      <c r="Z875" s="5"/>
      <c r="AA875" s="5"/>
      <c r="AB875" s="54" t="s">
        <v>82</v>
      </c>
      <c r="AC875" s="1421">
        <v>17136</v>
      </c>
      <c r="AD875" s="1421"/>
      <c r="AE875" s="1421"/>
      <c r="AF875" s="1421"/>
      <c r="AG875" s="1421"/>
      <c r="AH875" s="1422"/>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1:110" ht="12.95" customHeight="1">
      <c r="C876" s="45"/>
      <c r="D876" s="5"/>
      <c r="E876" s="5"/>
      <c r="F876" s="5"/>
      <c r="G876" s="5"/>
      <c r="H876" s="5"/>
      <c r="I876" s="5"/>
      <c r="J876" s="5"/>
      <c r="K876" s="5"/>
      <c r="L876" s="5"/>
      <c r="M876" s="5"/>
      <c r="N876" s="5"/>
      <c r="O876" s="5"/>
      <c r="P876" s="5"/>
      <c r="Q876" s="5"/>
      <c r="R876" s="5"/>
      <c r="S876" s="5"/>
      <c r="T876" s="5"/>
      <c r="U876" s="5"/>
      <c r="V876" s="5"/>
      <c r="W876" s="5"/>
      <c r="X876" s="5"/>
      <c r="Y876" s="5"/>
      <c r="Z876" s="5"/>
      <c r="AA876" s="5"/>
      <c r="AB876" s="54" t="s">
        <v>1837</v>
      </c>
      <c r="AC876" s="1421"/>
      <c r="AD876" s="1421"/>
      <c r="AE876" s="1421"/>
      <c r="AF876" s="1421"/>
      <c r="AG876" s="1421"/>
      <c r="AH876" s="1422"/>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1:110" ht="12.95" customHeight="1">
      <c r="C877" s="1706" t="s">
        <v>996</v>
      </c>
      <c r="D877" s="1707"/>
      <c r="E877" s="1707"/>
      <c r="F877" s="1707"/>
      <c r="G877" s="1707"/>
      <c r="H877" s="1707"/>
      <c r="I877" s="1707"/>
      <c r="J877" s="1707"/>
      <c r="K877" s="1707"/>
      <c r="L877" s="1707"/>
      <c r="M877" s="1707"/>
      <c r="N877" s="1707"/>
      <c r="O877" s="1707"/>
      <c r="P877" s="1707"/>
      <c r="Q877" s="1707"/>
      <c r="R877" s="1707"/>
      <c r="S877" s="1707"/>
      <c r="T877" s="1707"/>
      <c r="U877" s="1707"/>
      <c r="V877" s="1707"/>
      <c r="W877" s="1707"/>
      <c r="X877" s="1707"/>
      <c r="Y877" s="1707"/>
      <c r="Z877" s="1707"/>
      <c r="AA877" s="1707"/>
      <c r="AB877" s="1708"/>
      <c r="AC877" s="1423"/>
      <c r="AD877" s="1423"/>
      <c r="AE877" s="1423"/>
      <c r="AF877" s="1423"/>
      <c r="AG877" s="1423"/>
      <c r="AH877" s="1423"/>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1:110" ht="12.95" customHeight="1">
      <c r="C878" s="1706" t="s">
        <v>996</v>
      </c>
      <c r="D878" s="1707"/>
      <c r="E878" s="1707"/>
      <c r="F878" s="1707"/>
      <c r="G878" s="1707"/>
      <c r="H878" s="1707"/>
      <c r="I878" s="1707"/>
      <c r="J878" s="1707"/>
      <c r="K878" s="1707"/>
      <c r="L878" s="1707"/>
      <c r="M878" s="1707"/>
      <c r="N878" s="1707"/>
      <c r="O878" s="1707"/>
      <c r="P878" s="1707"/>
      <c r="Q878" s="1707"/>
      <c r="R878" s="1707"/>
      <c r="S878" s="1707"/>
      <c r="T878" s="1707"/>
      <c r="U878" s="1707"/>
      <c r="V878" s="1707"/>
      <c r="W878" s="1707"/>
      <c r="X878" s="1707"/>
      <c r="Y878" s="1707"/>
      <c r="Z878" s="1707"/>
      <c r="AA878" s="1707"/>
      <c r="AB878" s="1708"/>
      <c r="AC878" s="1423"/>
      <c r="AD878" s="1423"/>
      <c r="AE878" s="1423"/>
      <c r="AF878" s="1423"/>
      <c r="AG878" s="1423"/>
      <c r="AH878" s="1423"/>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1:110" ht="12.95" customHeight="1">
      <c r="E879" s="547"/>
      <c r="AB879" s="56"/>
      <c r="AC879" s="123"/>
      <c r="AD879" s="123"/>
      <c r="AE879" s="123"/>
      <c r="AF879" s="123"/>
      <c r="AG879" s="123"/>
      <c r="AH879" s="123"/>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1:110" ht="12.95" customHeight="1">
      <c r="A880" s="2" t="s">
        <v>622</v>
      </c>
      <c r="C880" s="2" t="s">
        <v>238</v>
      </c>
      <c r="X880" s="12"/>
      <c r="Y880" s="12"/>
      <c r="Z880" s="12"/>
      <c r="AA880" s="12"/>
      <c r="AB880" s="12"/>
      <c r="AC880" s="12"/>
      <c r="AD880" s="12"/>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X881" s="12"/>
      <c r="Y881" s="12"/>
      <c r="Z881" s="12"/>
      <c r="AA881" s="12"/>
      <c r="AB881" s="12"/>
      <c r="AC881" s="12"/>
      <c r="AD881" s="12"/>
      <c r="AF881" s="568"/>
      <c r="AG881" s="189"/>
      <c r="AH881" s="189"/>
      <c r="AI881" s="189"/>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B882" s="2"/>
      <c r="H882" s="121" t="s">
        <v>239</v>
      </c>
      <c r="I882" s="5"/>
      <c r="J882" s="5"/>
      <c r="K882" s="5"/>
      <c r="L882" s="5"/>
      <c r="M882" s="5"/>
      <c r="N882" s="5"/>
      <c r="O882" s="5"/>
      <c r="P882" s="5"/>
      <c r="Q882" s="5"/>
      <c r="R882" s="5"/>
      <c r="S882" s="5"/>
      <c r="T882" s="5"/>
      <c r="U882" s="5"/>
      <c r="V882" s="5"/>
      <c r="W882" s="5"/>
      <c r="X882" s="5"/>
      <c r="Y882" s="46"/>
      <c r="Z882" s="1420"/>
      <c r="AA882" s="1421"/>
      <c r="AB882" s="1421"/>
      <c r="AC882" s="1421"/>
      <c r="AD882" s="1421"/>
      <c r="AE882" s="1422"/>
      <c r="AF882" s="568"/>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H883" s="121" t="s">
        <v>240</v>
      </c>
      <c r="I883" s="5"/>
      <c r="J883" s="5"/>
      <c r="K883" s="5"/>
      <c r="L883" s="5"/>
      <c r="M883" s="5"/>
      <c r="N883" s="5"/>
      <c r="O883" s="5"/>
      <c r="P883" s="5"/>
      <c r="Q883" s="5"/>
      <c r="R883" s="5"/>
      <c r="S883" s="5"/>
      <c r="T883" s="5"/>
      <c r="U883" s="5"/>
      <c r="V883" s="5"/>
      <c r="W883" s="5"/>
      <c r="X883" s="5"/>
      <c r="Y883" s="5"/>
      <c r="Z883" s="1420"/>
      <c r="AA883" s="1421"/>
      <c r="AB883" s="1421"/>
      <c r="AC883" s="1421"/>
      <c r="AD883" s="1421"/>
      <c r="AE883" s="1422"/>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H884" s="121" t="s">
        <v>241</v>
      </c>
      <c r="I884" s="5"/>
      <c r="J884" s="5"/>
      <c r="K884" s="5"/>
      <c r="L884" s="5"/>
      <c r="M884" s="5"/>
      <c r="N884" s="5"/>
      <c r="O884" s="5"/>
      <c r="P884" s="5"/>
      <c r="Q884" s="5"/>
      <c r="R884" s="5"/>
      <c r="S884" s="5"/>
      <c r="T884" s="5"/>
      <c r="U884" s="5"/>
      <c r="V884" s="5"/>
      <c r="W884" s="5"/>
      <c r="X884" s="5"/>
      <c r="Y884" s="5"/>
      <c r="Z884" s="1420"/>
      <c r="AA884" s="1421"/>
      <c r="AB884" s="1421"/>
      <c r="AC884" s="1421"/>
      <c r="AD884" s="1421"/>
      <c r="AE884" s="1422"/>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H885" s="45"/>
      <c r="I885" s="5"/>
      <c r="J885" s="5"/>
      <c r="K885" s="5"/>
      <c r="L885" s="5"/>
      <c r="M885" s="5"/>
      <c r="N885" s="5"/>
      <c r="O885" s="5"/>
      <c r="P885" s="5"/>
      <c r="Q885" s="5"/>
      <c r="R885" s="5"/>
      <c r="S885" s="5"/>
      <c r="T885" s="5"/>
      <c r="U885" s="5"/>
      <c r="V885" s="5"/>
      <c r="W885" s="5"/>
      <c r="X885" s="5"/>
      <c r="Y885" s="190" t="s">
        <v>242</v>
      </c>
      <c r="Z885" s="1587">
        <f>Z882-(Z883+Z884)</f>
        <v>0</v>
      </c>
      <c r="AA885" s="1588"/>
      <c r="AB885" s="1588"/>
      <c r="AC885" s="1588"/>
      <c r="AD885" s="1588"/>
      <c r="AE885" s="1589"/>
      <c r="AZ885" s="34"/>
      <c r="BB885" s="30"/>
      <c r="BC885" s="30"/>
      <c r="BD885" s="14"/>
      <c r="BE885" s="14"/>
      <c r="BF885" s="1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547"/>
      <c r="D886" s="6"/>
      <c r="E886" s="189"/>
      <c r="F886" s="189"/>
      <c r="G886" s="189"/>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189"/>
      <c r="AZ886" s="34"/>
      <c r="BB886" s="30"/>
      <c r="BC886" s="30"/>
      <c r="BD886" s="14"/>
      <c r="BE886" s="14"/>
      <c r="BF886" s="1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t="s">
        <v>246</v>
      </c>
      <c r="D887" s="164"/>
      <c r="E887" s="189"/>
      <c r="F887" s="189"/>
      <c r="G887" s="189"/>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189"/>
      <c r="AZ887" s="34"/>
      <c r="BB887" s="30"/>
      <c r="BC887" s="852"/>
      <c r="BD887" s="1699"/>
      <c r="BE887" s="1699"/>
      <c r="BF887" s="1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191" t="s">
        <v>247</v>
      </c>
      <c r="D888" s="164"/>
      <c r="E888" s="189"/>
      <c r="F888" s="189"/>
      <c r="G888" s="189"/>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189"/>
      <c r="AZ888" s="34"/>
      <c r="BB888" s="30"/>
      <c r="BC888" s="852"/>
      <c r="BD888" s="1699"/>
      <c r="BE888" s="1699"/>
      <c r="BF888" s="1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191" t="s">
        <v>248</v>
      </c>
      <c r="D889" s="164"/>
      <c r="E889" s="189"/>
      <c r="F889" s="189"/>
      <c r="G889" s="189"/>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189"/>
      <c r="AZ889" s="34"/>
      <c r="BB889" s="30"/>
      <c r="BC889" s="852"/>
      <c r="BD889" s="1646"/>
      <c r="BE889" s="1646"/>
      <c r="BF889" s="1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369" t="s">
        <v>1071</v>
      </c>
      <c r="D890" s="164"/>
      <c r="E890" s="189"/>
      <c r="F890" s="189"/>
      <c r="G890" s="189"/>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189"/>
      <c r="AZ890" s="34"/>
      <c r="BB890" s="30"/>
      <c r="BC890" s="852"/>
      <c r="BD890" s="1646"/>
      <c r="BE890" s="1646"/>
      <c r="BF890" s="1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D891" s="164"/>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Z891" s="34"/>
      <c r="BB891" s="30"/>
      <c r="BC891" s="852"/>
      <c r="BD891" s="1646"/>
      <c r="BE891" s="1646"/>
      <c r="BF891" s="1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AZ892" s="34"/>
      <c r="BB892" s="30"/>
      <c r="BC892" s="852"/>
      <c r="BD892" s="1699"/>
      <c r="BE892" s="1646"/>
      <c r="BF892" s="1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A893" s="1641" t="s">
        <v>97</v>
      </c>
      <c r="B893" s="1641"/>
      <c r="C893" s="1641"/>
      <c r="D893" s="1641"/>
      <c r="E893" s="1641"/>
      <c r="F893" s="1641"/>
      <c r="G893" s="1641"/>
      <c r="H893" s="1641"/>
      <c r="I893" s="1641"/>
      <c r="J893" s="1641"/>
      <c r="K893" s="1641"/>
      <c r="L893" s="1641"/>
      <c r="M893" s="1641"/>
      <c r="N893" s="1641"/>
      <c r="O893" s="1641"/>
      <c r="P893" s="1641"/>
      <c r="Q893" s="1641"/>
      <c r="R893" s="1641"/>
      <c r="S893" s="1641"/>
      <c r="T893" s="1641"/>
      <c r="U893" s="1641"/>
      <c r="V893" s="1641"/>
      <c r="W893" s="1641"/>
      <c r="X893" s="1641"/>
      <c r="Y893" s="1641"/>
      <c r="Z893" s="1641"/>
      <c r="AA893" s="1641"/>
      <c r="AB893" s="1641"/>
      <c r="AC893" s="1641"/>
      <c r="AD893" s="1641"/>
      <c r="AE893" s="1641"/>
      <c r="AF893" s="1641"/>
      <c r="AG893" s="1641"/>
      <c r="AH893" s="1641"/>
      <c r="AI893" s="1641"/>
      <c r="AJ893" s="1641"/>
      <c r="AK893" s="1641"/>
      <c r="AL893" s="1641"/>
      <c r="AM893" s="95"/>
      <c r="AN893" s="95"/>
      <c r="AO893" s="95"/>
      <c r="AP893" s="95"/>
      <c r="AQ893" s="95"/>
      <c r="AR893" s="95"/>
      <c r="AS893" s="95"/>
      <c r="AT893" s="95"/>
      <c r="AU893" s="95"/>
      <c r="AV893" s="95"/>
      <c r="AW893" s="95"/>
      <c r="AX893" s="95"/>
      <c r="AY893" s="95"/>
      <c r="AZ893" s="34"/>
      <c r="BB893" s="30"/>
      <c r="BC893" s="852"/>
      <c r="BD893" s="1717"/>
      <c r="BE893" s="1717"/>
      <c r="BF893" s="1717"/>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thickBot="1">
      <c r="A894" s="1642"/>
      <c r="B894" s="1642"/>
      <c r="C894" s="1642"/>
      <c r="D894" s="1642"/>
      <c r="E894" s="1642"/>
      <c r="F894" s="1642"/>
      <c r="G894" s="1642"/>
      <c r="H894" s="1642"/>
      <c r="I894" s="1642"/>
      <c r="J894" s="1642"/>
      <c r="K894" s="1642"/>
      <c r="L894" s="1642"/>
      <c r="M894" s="1642"/>
      <c r="N894" s="1642"/>
      <c r="O894" s="1642"/>
      <c r="P894" s="1642"/>
      <c r="Q894" s="1642"/>
      <c r="R894" s="1642"/>
      <c r="S894" s="1642"/>
      <c r="T894" s="1642"/>
      <c r="U894" s="1642"/>
      <c r="V894" s="1642"/>
      <c r="W894" s="1642"/>
      <c r="X894" s="1642"/>
      <c r="Y894" s="1642"/>
      <c r="Z894" s="1642"/>
      <c r="AA894" s="1642"/>
      <c r="AB894" s="1642"/>
      <c r="AC894" s="1642"/>
      <c r="AD894" s="1642"/>
      <c r="AE894" s="1642"/>
      <c r="AF894" s="1642"/>
      <c r="AG894" s="1642"/>
      <c r="AH894" s="1642"/>
      <c r="AI894" s="1642"/>
      <c r="AJ894" s="1642"/>
      <c r="AK894" s="1642"/>
      <c r="AL894" s="1642"/>
      <c r="AM894" s="95"/>
      <c r="AN894" s="95"/>
      <c r="AO894" s="95"/>
      <c r="AP894" s="95"/>
      <c r="AQ894" s="95"/>
      <c r="AR894" s="95"/>
      <c r="AS894" s="95"/>
      <c r="AT894" s="95"/>
      <c r="AU894" s="95"/>
      <c r="AV894" s="95"/>
      <c r="AW894" s="95"/>
      <c r="AX894" s="95"/>
      <c r="AY894" s="95"/>
      <c r="AZ894" s="34"/>
      <c r="BB894" s="30"/>
      <c r="BC894" s="852"/>
      <c r="BD894" s="1636"/>
      <c r="BE894" s="1636"/>
      <c r="BF894" s="1636"/>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thickTop="1">
      <c r="D895" s="95"/>
      <c r="E895" s="95"/>
      <c r="F895" s="95"/>
      <c r="G895" s="95"/>
      <c r="H895" s="95"/>
      <c r="I895" s="95"/>
      <c r="J895" s="95"/>
      <c r="K895" s="95"/>
      <c r="L895" s="95"/>
      <c r="M895" s="95"/>
      <c r="N895" s="95"/>
      <c r="O895" s="95"/>
      <c r="P895" s="95"/>
      <c r="Q895" s="95"/>
      <c r="R895" s="95"/>
      <c r="S895" s="95"/>
      <c r="T895" s="95"/>
      <c r="U895" s="95"/>
      <c r="V895" s="95"/>
      <c r="W895" s="95"/>
      <c r="X895" s="95"/>
      <c r="Y895" s="95"/>
      <c r="Z895" s="95"/>
      <c r="AA895" s="95"/>
      <c r="AB895" s="95"/>
      <c r="AC895" s="95"/>
      <c r="AD895" s="95"/>
      <c r="AE895" s="95"/>
      <c r="AF895" s="95"/>
      <c r="AG895" s="95"/>
      <c r="AH895" s="95"/>
      <c r="AI895" s="95"/>
      <c r="AJ895" s="95"/>
      <c r="AK895" s="95"/>
      <c r="AL895" s="95"/>
      <c r="AM895" s="95"/>
      <c r="AN895" s="95"/>
      <c r="AO895" s="95"/>
      <c r="AP895" s="95"/>
      <c r="AQ895" s="95"/>
      <c r="AR895" s="95"/>
      <c r="AS895" s="95"/>
      <c r="AT895" s="95"/>
      <c r="AU895" s="95"/>
      <c r="AV895" s="95"/>
      <c r="AW895" s="95"/>
      <c r="AX895" s="95"/>
      <c r="AY895" s="95"/>
      <c r="AZ895" s="34"/>
      <c r="BB895" s="30"/>
      <c r="BC895" s="852"/>
      <c r="BD895" s="1646"/>
      <c r="BE895" s="1646"/>
      <c r="BF895" s="1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320</v>
      </c>
      <c r="C896" s="2" t="s">
        <v>265</v>
      </c>
      <c r="D896" s="95"/>
      <c r="E896" s="95"/>
      <c r="F896" s="95"/>
      <c r="G896" s="95"/>
      <c r="H896" s="95"/>
      <c r="I896" s="95"/>
      <c r="J896" s="95"/>
      <c r="K896" s="95"/>
      <c r="L896" s="95"/>
      <c r="M896" s="95"/>
      <c r="N896" s="95"/>
      <c r="O896" s="95"/>
      <c r="P896" s="95"/>
      <c r="Q896" s="95"/>
      <c r="R896" s="95"/>
      <c r="S896" s="95"/>
      <c r="T896" s="95"/>
      <c r="U896" s="95"/>
      <c r="V896" s="95"/>
      <c r="W896" s="95"/>
      <c r="X896" s="95"/>
      <c r="Y896" s="95"/>
      <c r="Z896" s="95"/>
      <c r="AA896" s="95"/>
      <c r="AB896" s="95"/>
      <c r="AC896" s="95"/>
      <c r="AD896" s="95"/>
      <c r="AE896" s="95"/>
      <c r="AF896" s="95"/>
      <c r="AG896" s="95"/>
      <c r="AH896" s="95"/>
      <c r="AI896" s="95"/>
      <c r="AJ896" s="95"/>
      <c r="AK896" s="95"/>
      <c r="AL896" s="95"/>
      <c r="AM896" s="95"/>
      <c r="AN896" s="95"/>
      <c r="AO896" s="95"/>
      <c r="AP896" s="95"/>
      <c r="AQ896" s="95"/>
      <c r="AR896" s="95"/>
      <c r="AS896" s="95"/>
      <c r="AT896" s="95"/>
      <c r="AU896" s="95"/>
      <c r="AV896" s="95"/>
      <c r="AW896" s="95"/>
      <c r="AX896" s="95"/>
      <c r="AY896" s="95"/>
      <c r="AZ896" s="34"/>
      <c r="BB896" s="30"/>
      <c r="BC896" s="852"/>
      <c r="BD896" s="1699"/>
      <c r="BE896" s="1646"/>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2:110" ht="12.95" customHeight="1">
      <c r="AZ897" s="34"/>
      <c r="BB897" s="30"/>
      <c r="BC897" s="852"/>
      <c r="BG897" s="89"/>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2:110" ht="12.95" customHeight="1">
      <c r="F898" s="1540" t="s">
        <v>816</v>
      </c>
      <c r="G898" s="1541"/>
      <c r="H898" s="1541"/>
      <c r="I898" s="1541"/>
      <c r="J898" s="1541"/>
      <c r="K898" s="1541"/>
      <c r="L898" s="1541"/>
      <c r="M898" s="1541"/>
      <c r="N898" s="1541"/>
      <c r="O898" s="1541"/>
      <c r="P898" s="1541"/>
      <c r="Q898" s="1541"/>
      <c r="R898" s="1541"/>
      <c r="S898" s="1541"/>
      <c r="T898" s="1542"/>
      <c r="U898" s="1519" t="s">
        <v>31</v>
      </c>
      <c r="V898" s="1520"/>
      <c r="W898" s="1520"/>
      <c r="X898" s="1520"/>
      <c r="Y898" s="1520"/>
      <c r="Z898" s="1520"/>
      <c r="AA898" s="43"/>
      <c r="AB898" s="105"/>
      <c r="AC898" s="105"/>
      <c r="AD898" s="105"/>
      <c r="AE898" s="105"/>
      <c r="AF898" s="106"/>
      <c r="AZ898" s="34"/>
      <c r="BA898" s="34"/>
      <c r="BB898" s="30"/>
      <c r="BC898" s="30"/>
      <c r="BD898" s="1699"/>
      <c r="BE898" s="1646"/>
      <c r="BF898" s="948"/>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2:110" ht="12.95" customHeight="1">
      <c r="B899" s="2"/>
      <c r="F899" s="1521" t="s">
        <v>844</v>
      </c>
      <c r="G899" s="1522"/>
      <c r="H899" s="1522"/>
      <c r="I899" s="1522"/>
      <c r="J899" s="1522"/>
      <c r="K899" s="1522"/>
      <c r="L899" s="1522"/>
      <c r="M899" s="1522"/>
      <c r="N899" s="1522"/>
      <c r="O899" s="1522"/>
      <c r="P899" s="1522"/>
      <c r="Q899" s="1522"/>
      <c r="R899" s="1522"/>
      <c r="S899" s="1522"/>
      <c r="T899" s="1703"/>
      <c r="U899" s="1521"/>
      <c r="V899" s="1522"/>
      <c r="W899" s="1522"/>
      <c r="X899" s="1522"/>
      <c r="Y899" s="1522"/>
      <c r="Z899" s="1522"/>
      <c r="AA899" s="44"/>
      <c r="AB899" s="4"/>
      <c r="AC899" s="4"/>
      <c r="AD899" s="4"/>
      <c r="AE899" s="4"/>
      <c r="AF899" s="107"/>
      <c r="AZ899" s="34"/>
      <c r="BA899" s="34"/>
      <c r="BB899" s="34"/>
      <c r="BC899" s="34"/>
      <c r="BD899" s="34"/>
      <c r="BE899" s="34"/>
      <c r="BF899" s="3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2:110" ht="12.95" customHeight="1">
      <c r="B900" s="2"/>
      <c r="F900" s="1523"/>
      <c r="G900" s="1524"/>
      <c r="H900" s="1524"/>
      <c r="I900" s="1524"/>
      <c r="J900" s="1524"/>
      <c r="K900" s="1524"/>
      <c r="L900" s="1524"/>
      <c r="M900" s="1524"/>
      <c r="N900" s="1524"/>
      <c r="O900" s="1524"/>
      <c r="P900" s="1524"/>
      <c r="Q900" s="1524"/>
      <c r="R900" s="1524"/>
      <c r="S900" s="1524"/>
      <c r="T900" s="1704"/>
      <c r="U900" s="1523"/>
      <c r="V900" s="1524"/>
      <c r="W900" s="1524"/>
      <c r="X900" s="1524"/>
      <c r="Y900" s="1524"/>
      <c r="Z900" s="1524"/>
      <c r="AA900" s="108"/>
      <c r="AB900" s="1546" t="s">
        <v>392</v>
      </c>
      <c r="AC900" s="1546"/>
      <c r="AD900" s="1546"/>
      <c r="AE900" s="1546"/>
      <c r="AF900" s="109"/>
      <c r="AZ900" s="34"/>
      <c r="BA900" s="34"/>
      <c r="BB900" s="34"/>
      <c r="BC900" s="34"/>
      <c r="BD900" s="34"/>
      <c r="BE900" s="34"/>
      <c r="BF900" s="3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2:110" ht="12.95" customHeight="1">
      <c r="B901" s="2"/>
      <c r="F901" s="45" t="s">
        <v>782</v>
      </c>
      <c r="G901" s="48"/>
      <c r="H901" s="48"/>
      <c r="I901" s="48"/>
      <c r="J901" s="48"/>
      <c r="K901" s="48"/>
      <c r="L901" s="48"/>
      <c r="M901" s="48"/>
      <c r="N901" s="48"/>
      <c r="O901" s="48"/>
      <c r="P901" s="48"/>
      <c r="Q901" s="48"/>
      <c r="R901" s="48"/>
      <c r="S901" s="48"/>
      <c r="T901" s="49"/>
      <c r="U901" s="1516" t="s">
        <v>554</v>
      </c>
      <c r="V901" s="1517"/>
      <c r="W901" s="1517"/>
      <c r="X901" s="1517"/>
      <c r="Y901" s="1517"/>
      <c r="Z901" s="1518"/>
      <c r="AA901" s="1528">
        <v>33955000</v>
      </c>
      <c r="AB901" s="1529"/>
      <c r="AC901" s="1529"/>
      <c r="AD901" s="1529"/>
      <c r="AE901" s="1529"/>
      <c r="AF901" s="1530"/>
      <c r="AZ901" s="34"/>
      <c r="BB901" s="34"/>
      <c r="BC901" s="34"/>
      <c r="BD901" s="34"/>
      <c r="BE901" s="34"/>
      <c r="BF901" s="3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2:110" ht="12.95" customHeight="1">
      <c r="B902" s="2"/>
      <c r="F902" s="66" t="s">
        <v>684</v>
      </c>
      <c r="G902" s="48"/>
      <c r="H902" s="48"/>
      <c r="I902" s="48"/>
      <c r="J902" s="48"/>
      <c r="K902" s="48"/>
      <c r="L902" s="48"/>
      <c r="M902" s="48"/>
      <c r="N902" s="48"/>
      <c r="O902" s="48"/>
      <c r="P902" s="48"/>
      <c r="Q902" s="48"/>
      <c r="R902" s="48"/>
      <c r="S902" s="48"/>
      <c r="T902" s="49"/>
      <c r="U902" s="1516" t="s">
        <v>554</v>
      </c>
      <c r="V902" s="1517"/>
      <c r="W902" s="1517"/>
      <c r="X902" s="1517"/>
      <c r="Y902" s="1517"/>
      <c r="Z902" s="1518"/>
      <c r="AA902" s="1528">
        <v>10100000</v>
      </c>
      <c r="AB902" s="1529"/>
      <c r="AC902" s="1529"/>
      <c r="AD902" s="1529"/>
      <c r="AE902" s="1529"/>
      <c r="AF902" s="1530"/>
      <c r="AZ902" s="34"/>
      <c r="BA902" s="34"/>
      <c r="BB902" s="34"/>
      <c r="BC902" s="34"/>
      <c r="BD902" s="34"/>
      <c r="BE902" s="34"/>
      <c r="BF902" s="3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2:110" ht="12.95" customHeight="1">
      <c r="F903" s="45" t="s">
        <v>825</v>
      </c>
      <c r="G903" s="5"/>
      <c r="H903" s="5"/>
      <c r="I903" s="5"/>
      <c r="J903" s="5"/>
      <c r="K903" s="5"/>
      <c r="L903" s="5"/>
      <c r="M903" s="5"/>
      <c r="N903" s="5"/>
      <c r="O903" s="5"/>
      <c r="P903" s="5"/>
      <c r="Q903" s="5"/>
      <c r="R903" s="5"/>
      <c r="S903" s="5"/>
      <c r="T903" s="46"/>
      <c r="U903" s="1516" t="s">
        <v>600</v>
      </c>
      <c r="V903" s="1517"/>
      <c r="W903" s="1517"/>
      <c r="X903" s="1517"/>
      <c r="Y903" s="1517"/>
      <c r="Z903" s="1518"/>
      <c r="AA903" s="1528"/>
      <c r="AB903" s="1529"/>
      <c r="AC903" s="1529"/>
      <c r="AD903" s="1529"/>
      <c r="AE903" s="1529"/>
      <c r="AF903" s="1530"/>
      <c r="AZ903" s="34"/>
      <c r="BA903" s="34"/>
      <c r="BB903" s="34"/>
      <c r="BC903" s="34"/>
      <c r="BD903" s="34"/>
      <c r="BE903" s="34"/>
      <c r="BF903" s="3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2:110" ht="12.95" customHeight="1">
      <c r="F904" s="45" t="s">
        <v>687</v>
      </c>
      <c r="G904" s="5"/>
      <c r="H904" s="5"/>
      <c r="I904" s="5"/>
      <c r="J904" s="5"/>
      <c r="K904" s="5"/>
      <c r="L904" s="5"/>
      <c r="M904" s="5"/>
      <c r="N904" s="5"/>
      <c r="O904" s="5"/>
      <c r="P904" s="5"/>
      <c r="Q904" s="5"/>
      <c r="R904" s="5"/>
      <c r="S904" s="5"/>
      <c r="T904" s="46"/>
      <c r="U904" s="1516" t="s">
        <v>600</v>
      </c>
      <c r="V904" s="1517"/>
      <c r="W904" s="1517"/>
      <c r="X904" s="1517"/>
      <c r="Y904" s="1517"/>
      <c r="Z904" s="1518"/>
      <c r="AA904" s="1528"/>
      <c r="AB904" s="1529"/>
      <c r="AC904" s="1529"/>
      <c r="AD904" s="1529"/>
      <c r="AE904" s="1529"/>
      <c r="AF904" s="1530"/>
      <c r="AZ904" s="34"/>
      <c r="BA904" s="34"/>
      <c r="BB904" s="34"/>
      <c r="BC904" s="34"/>
      <c r="BD904" s="34"/>
      <c r="BE904" s="34"/>
      <c r="BF904" s="3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2:110" ht="12.95" customHeight="1">
      <c r="F905" s="66" t="s">
        <v>810</v>
      </c>
      <c r="G905" s="5"/>
      <c r="H905" s="5"/>
      <c r="I905" s="5"/>
      <c r="J905" s="5"/>
      <c r="K905" s="5"/>
      <c r="L905" s="5"/>
      <c r="M905" s="5"/>
      <c r="N905" s="5"/>
      <c r="O905" s="5"/>
      <c r="P905" s="5"/>
      <c r="Q905" s="5"/>
      <c r="R905" s="5"/>
      <c r="S905" s="5"/>
      <c r="T905" s="46"/>
      <c r="U905" s="1516" t="s">
        <v>600</v>
      </c>
      <c r="V905" s="1517"/>
      <c r="W905" s="1517"/>
      <c r="X905" s="1517"/>
      <c r="Y905" s="1517"/>
      <c r="Z905" s="1518"/>
      <c r="AA905" s="1528"/>
      <c r="AB905" s="1529"/>
      <c r="AC905" s="1529"/>
      <c r="AD905" s="1529"/>
      <c r="AE905" s="1529"/>
      <c r="AF905" s="1530"/>
      <c r="AZ905" s="34"/>
      <c r="BA905" s="34"/>
      <c r="BB905" s="34"/>
      <c r="BC905" s="34"/>
      <c r="BD905" s="34"/>
      <c r="BE905" s="34"/>
      <c r="BF905" s="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2:110" ht="12.95" customHeight="1">
      <c r="F906" s="66" t="s">
        <v>811</v>
      </c>
      <c r="G906" s="5"/>
      <c r="H906" s="5"/>
      <c r="I906" s="5"/>
      <c r="J906" s="5"/>
      <c r="K906" s="5"/>
      <c r="L906" s="5"/>
      <c r="M906" s="5"/>
      <c r="N906" s="5"/>
      <c r="O906" s="5"/>
      <c r="P906" s="5"/>
      <c r="Q906" s="5"/>
      <c r="R906" s="5"/>
      <c r="S906" s="5"/>
      <c r="T906" s="46"/>
      <c r="U906" s="1516" t="s">
        <v>600</v>
      </c>
      <c r="V906" s="1517"/>
      <c r="W906" s="1517"/>
      <c r="X906" s="1517"/>
      <c r="Y906" s="1517"/>
      <c r="Z906" s="1518"/>
      <c r="AA906" s="1528"/>
      <c r="AB906" s="1529"/>
      <c r="AC906" s="1529"/>
      <c r="AD906" s="1529"/>
      <c r="AE906" s="1529"/>
      <c r="AF906" s="1530"/>
      <c r="AZ906" s="34"/>
      <c r="BA906" s="34"/>
      <c r="BB906" s="34"/>
      <c r="BC906" s="34"/>
      <c r="BD906" s="34"/>
      <c r="BE906" s="34"/>
      <c r="BF906" s="3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2:110" ht="12.95" customHeight="1">
      <c r="F907" s="66" t="s">
        <v>812</v>
      </c>
      <c r="G907" s="5"/>
      <c r="H907" s="5"/>
      <c r="I907" s="5"/>
      <c r="J907" s="5"/>
      <c r="K907" s="5"/>
      <c r="L907" s="5"/>
      <c r="M907" s="5"/>
      <c r="N907" s="5"/>
      <c r="O907" s="5"/>
      <c r="P907" s="5"/>
      <c r="Q907" s="5"/>
      <c r="R907" s="5"/>
      <c r="S907" s="5"/>
      <c r="T907" s="46"/>
      <c r="U907" s="1516" t="s">
        <v>600</v>
      </c>
      <c r="V907" s="1517"/>
      <c r="W907" s="1517"/>
      <c r="X907" s="1517"/>
      <c r="Y907" s="1517"/>
      <c r="Z907" s="1518"/>
      <c r="AA907" s="1528"/>
      <c r="AB907" s="1529"/>
      <c r="AC907" s="1529"/>
      <c r="AD907" s="1529"/>
      <c r="AE907" s="1529"/>
      <c r="AF907" s="1530"/>
      <c r="AZ907" s="34"/>
      <c r="BA907" s="34"/>
      <c r="BB907" s="34"/>
      <c r="BC907" s="34"/>
      <c r="BD907" s="34"/>
      <c r="BE907" s="34"/>
      <c r="BF907" s="3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2:110" ht="12.95" customHeight="1">
      <c r="F908" s="45" t="s">
        <v>686</v>
      </c>
      <c r="G908" s="5"/>
      <c r="H908" s="5"/>
      <c r="I908" s="5"/>
      <c r="J908" s="5"/>
      <c r="K908" s="5"/>
      <c r="L908" s="5"/>
      <c r="M908" s="5"/>
      <c r="N908" s="5"/>
      <c r="O908" s="5"/>
      <c r="P908" s="5"/>
      <c r="Q908" s="5"/>
      <c r="R908" s="5"/>
      <c r="S908" s="5"/>
      <c r="T908" s="46"/>
      <c r="U908" s="1516" t="s">
        <v>600</v>
      </c>
      <c r="V908" s="1517"/>
      <c r="W908" s="1517"/>
      <c r="X908" s="1517"/>
      <c r="Y908" s="1517"/>
      <c r="Z908" s="1518"/>
      <c r="AA908" s="1528"/>
      <c r="AB908" s="1529"/>
      <c r="AC908" s="1529"/>
      <c r="AD908" s="1529"/>
      <c r="AE908" s="1529"/>
      <c r="AF908" s="1530"/>
      <c r="AZ908" s="34"/>
      <c r="BA908" s="34"/>
      <c r="BB908" s="34"/>
      <c r="BC908" s="34"/>
      <c r="BD908" s="34"/>
      <c r="BE908" s="34"/>
      <c r="BF908" s="34"/>
      <c r="BG908" s="34"/>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2:110" ht="12.95" customHeight="1">
      <c r="F909" s="66" t="s">
        <v>688</v>
      </c>
      <c r="G909" s="5"/>
      <c r="H909" s="5"/>
      <c r="I909" s="5"/>
      <c r="J909" s="5"/>
      <c r="K909" s="5"/>
      <c r="L909" s="5"/>
      <c r="M909" s="5"/>
      <c r="N909" s="5"/>
      <c r="O909" s="5"/>
      <c r="P909" s="5"/>
      <c r="Q909" s="5"/>
      <c r="R909" s="5"/>
      <c r="S909" s="5"/>
      <c r="T909" s="46"/>
      <c r="U909" s="1516" t="s">
        <v>600</v>
      </c>
      <c r="V909" s="1517"/>
      <c r="W909" s="1517"/>
      <c r="X909" s="1517"/>
      <c r="Y909" s="1517"/>
      <c r="Z909" s="1518"/>
      <c r="AA909" s="1528"/>
      <c r="AB909" s="1529"/>
      <c r="AC909" s="1529"/>
      <c r="AD909" s="1529"/>
      <c r="AE909" s="1529"/>
      <c r="AF909" s="1530"/>
      <c r="AZ909" s="34"/>
      <c r="BA909" s="34"/>
      <c r="BB909" s="34"/>
      <c r="BC909" s="34"/>
      <c r="BD909" s="34"/>
      <c r="BE909" s="34"/>
      <c r="BF909" s="34"/>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2:110" ht="12.95" customHeight="1">
      <c r="F910" s="187" t="s">
        <v>685</v>
      </c>
      <c r="G910" s="5"/>
      <c r="H910" s="5"/>
      <c r="I910" s="5"/>
      <c r="J910" s="5"/>
      <c r="K910" s="5"/>
      <c r="L910" s="5"/>
      <c r="M910" s="5"/>
      <c r="N910" s="5"/>
      <c r="O910" s="5"/>
      <c r="P910" s="5"/>
      <c r="Q910" s="5"/>
      <c r="R910" s="5"/>
      <c r="S910" s="5"/>
      <c r="T910" s="46"/>
      <c r="U910" s="1516" t="s">
        <v>600</v>
      </c>
      <c r="V910" s="1517"/>
      <c r="W910" s="1517"/>
      <c r="X910" s="1517"/>
      <c r="Y910" s="1517"/>
      <c r="Z910" s="1518"/>
      <c r="AA910" s="1528"/>
      <c r="AB910" s="1529"/>
      <c r="AC910" s="1529"/>
      <c r="AD910" s="1529"/>
      <c r="AE910" s="1529"/>
      <c r="AF910" s="153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2:110" ht="12.95" customHeight="1">
      <c r="F911" s="121" t="s">
        <v>1435</v>
      </c>
      <c r="G911" s="5"/>
      <c r="H911" s="5"/>
      <c r="I911" s="5"/>
      <c r="J911" s="5"/>
      <c r="K911" s="5"/>
      <c r="L911" s="5"/>
      <c r="M911" s="5"/>
      <c r="N911" s="5"/>
      <c r="O911" s="5"/>
      <c r="P911" s="5"/>
      <c r="Q911" s="5"/>
      <c r="R911" s="5"/>
      <c r="S911" s="5"/>
      <c r="T911" s="46"/>
      <c r="U911" s="1516" t="s">
        <v>600</v>
      </c>
      <c r="V911" s="1517"/>
      <c r="W911" s="1517"/>
      <c r="X911" s="1517"/>
      <c r="Y911" s="1517"/>
      <c r="Z911" s="1518"/>
      <c r="AA911" s="1528"/>
      <c r="AB911" s="1529"/>
      <c r="AC911" s="1529"/>
      <c r="AD911" s="1529"/>
      <c r="AE911" s="1529"/>
      <c r="AF911" s="1530"/>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2:110" ht="12.95" customHeight="1">
      <c r="F912" s="66" t="s">
        <v>826</v>
      </c>
      <c r="G912" s="5"/>
      <c r="H912" s="5"/>
      <c r="I912" s="5"/>
      <c r="J912" s="5"/>
      <c r="K912" s="5"/>
      <c r="L912" s="5"/>
      <c r="M912" s="5"/>
      <c r="N912" s="5"/>
      <c r="O912" s="5"/>
      <c r="P912" s="5"/>
      <c r="Q912" s="5"/>
      <c r="R912" s="5"/>
      <c r="S912" s="5"/>
      <c r="T912" s="46"/>
      <c r="U912" s="1516" t="s">
        <v>600</v>
      </c>
      <c r="V912" s="1517"/>
      <c r="W912" s="1517"/>
      <c r="X912" s="1517"/>
      <c r="Y912" s="1517"/>
      <c r="Z912" s="1518"/>
      <c r="AA912" s="1528"/>
      <c r="AB912" s="1529"/>
      <c r="AC912" s="1529"/>
      <c r="AD912" s="1529"/>
      <c r="AE912" s="1529"/>
      <c r="AF912" s="1530"/>
      <c r="AZ912" s="34"/>
      <c r="BA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1:110" ht="12.95" customHeight="1">
      <c r="F913" s="66" t="s">
        <v>827</v>
      </c>
      <c r="G913" s="5"/>
      <c r="H913" s="5"/>
      <c r="I913" s="5"/>
      <c r="J913" s="5"/>
      <c r="K913" s="5"/>
      <c r="L913" s="5"/>
      <c r="M913" s="5"/>
      <c r="N913" s="5"/>
      <c r="O913" s="5"/>
      <c r="P913" s="5"/>
      <c r="Q913" s="5"/>
      <c r="R913" s="5"/>
      <c r="S913" s="5"/>
      <c r="T913" s="46"/>
      <c r="U913" s="1516" t="s">
        <v>600</v>
      </c>
      <c r="V913" s="1517"/>
      <c r="W913" s="1517"/>
      <c r="X913" s="1517"/>
      <c r="Y913" s="1517"/>
      <c r="Z913" s="1518"/>
      <c r="AA913" s="1528"/>
      <c r="AB913" s="1529"/>
      <c r="AC913" s="1529"/>
      <c r="AD913" s="1529"/>
      <c r="AE913" s="1529"/>
      <c r="AF913" s="1530"/>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1:110" ht="12.95" customHeight="1">
      <c r="F914" s="121" t="s">
        <v>1419</v>
      </c>
      <c r="G914" s="5"/>
      <c r="H914" s="5"/>
      <c r="I914" s="5"/>
      <c r="J914" s="5"/>
      <c r="K914" s="5"/>
      <c r="L914" s="5"/>
      <c r="M914" s="5"/>
      <c r="N914" s="5"/>
      <c r="O914" s="5"/>
      <c r="P914" s="5"/>
      <c r="Q914" s="5"/>
      <c r="R914" s="5"/>
      <c r="S914" s="5"/>
      <c r="T914" s="46"/>
      <c r="U914" s="1516" t="s">
        <v>600</v>
      </c>
      <c r="V914" s="1517"/>
      <c r="W914" s="1517"/>
      <c r="X914" s="1517"/>
      <c r="Y914" s="1517"/>
      <c r="Z914" s="1518"/>
      <c r="AA914" s="1528"/>
      <c r="AB914" s="1529"/>
      <c r="AC914" s="1529"/>
      <c r="AD914" s="1529"/>
      <c r="AE914" s="1529"/>
      <c r="AF914" s="1530"/>
      <c r="AZ914" s="30"/>
      <c r="BA914" s="30"/>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1:110" ht="12.95" customHeight="1">
      <c r="F915" s="121" t="s">
        <v>1420</v>
      </c>
      <c r="G915" s="5"/>
      <c r="H915" s="5"/>
      <c r="I915" s="5"/>
      <c r="J915" s="5"/>
      <c r="K915" s="5"/>
      <c r="L915" s="5"/>
      <c r="M915" s="5"/>
      <c r="N915" s="5"/>
      <c r="O915" s="5"/>
      <c r="P915" s="5"/>
      <c r="Q915" s="5"/>
      <c r="R915" s="5"/>
      <c r="S915" s="5"/>
      <c r="T915" s="46"/>
      <c r="U915" s="1516" t="s">
        <v>600</v>
      </c>
      <c r="V915" s="1517"/>
      <c r="W915" s="1517"/>
      <c r="X915" s="1517"/>
      <c r="Y915" s="1517"/>
      <c r="Z915" s="1518"/>
      <c r="AA915" s="1528"/>
      <c r="AB915" s="1529"/>
      <c r="AC915" s="1529"/>
      <c r="AD915" s="1529"/>
      <c r="AE915" s="1529"/>
      <c r="AF915" s="1530"/>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1:110" ht="12.95" customHeight="1">
      <c r="F916" s="45" t="s">
        <v>831</v>
      </c>
      <c r="G916" s="5"/>
      <c r="H916" s="5"/>
      <c r="I916" s="5"/>
      <c r="J916" s="5"/>
      <c r="K916" s="5"/>
      <c r="L916" s="5"/>
      <c r="M916" s="5"/>
      <c r="N916" s="5"/>
      <c r="O916" s="5"/>
      <c r="P916" s="1516" t="s">
        <v>678</v>
      </c>
      <c r="Q916" s="1517"/>
      <c r="R916" s="1517"/>
      <c r="S916" s="1517"/>
      <c r="T916" s="1518"/>
      <c r="U916" s="1516" t="s">
        <v>600</v>
      </c>
      <c r="V916" s="1517"/>
      <c r="W916" s="1517"/>
      <c r="X916" s="1517"/>
      <c r="Y916" s="1517"/>
      <c r="Z916" s="1518"/>
      <c r="AA916" s="1528"/>
      <c r="AB916" s="1529"/>
      <c r="AC916" s="1529"/>
      <c r="AD916" s="1529"/>
      <c r="AE916" s="1529"/>
      <c r="AF916" s="1530"/>
      <c r="AZ916" s="30"/>
      <c r="BA916" s="1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1:110" ht="12.95" customHeight="1">
      <c r="F917" s="45" t="s">
        <v>87</v>
      </c>
      <c r="G917" s="48"/>
      <c r="H917" s="48"/>
      <c r="I917" s="1534" t="s">
        <v>335</v>
      </c>
      <c r="J917" s="1535"/>
      <c r="K917" s="1535"/>
      <c r="L917" s="1535"/>
      <c r="M917" s="1535"/>
      <c r="N917" s="1535"/>
      <c r="O917" s="1535"/>
      <c r="P917" s="1535"/>
      <c r="Q917" s="1535"/>
      <c r="R917" s="1535"/>
      <c r="S917" s="1535"/>
      <c r="T917" s="1536"/>
      <c r="U917" s="1516" t="s">
        <v>600</v>
      </c>
      <c r="V917" s="1517"/>
      <c r="W917" s="1517"/>
      <c r="X917" s="1517"/>
      <c r="Y917" s="1517"/>
      <c r="Z917" s="1518"/>
      <c r="AA917" s="1528"/>
      <c r="AB917" s="1529"/>
      <c r="AC917" s="1529"/>
      <c r="AD917" s="1529"/>
      <c r="AE917" s="1529"/>
      <c r="AF917" s="1530"/>
      <c r="AZ917" s="30"/>
      <c r="BA917" s="30"/>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1:110" ht="12.95" customHeight="1">
      <c r="F918" s="45" t="s">
        <v>10</v>
      </c>
      <c r="G918" s="48"/>
      <c r="H918" s="48"/>
      <c r="I918" s="1543" t="s">
        <v>335</v>
      </c>
      <c r="J918" s="1544"/>
      <c r="K918" s="1544"/>
      <c r="L918" s="1544"/>
      <c r="M918" s="1544"/>
      <c r="N918" s="1544"/>
      <c r="O918" s="1544"/>
      <c r="P918" s="1544"/>
      <c r="Q918" s="1544"/>
      <c r="R918" s="1544"/>
      <c r="S918" s="1544"/>
      <c r="T918" s="1545"/>
      <c r="U918" s="1516" t="s">
        <v>600</v>
      </c>
      <c r="V918" s="1517"/>
      <c r="W918" s="1517"/>
      <c r="X918" s="1517"/>
      <c r="Y918" s="1517"/>
      <c r="Z918" s="1518"/>
      <c r="AA918" s="1528"/>
      <c r="AB918" s="1529"/>
      <c r="AC918" s="1529"/>
      <c r="AD918" s="1529"/>
      <c r="AE918" s="1529"/>
      <c r="AF918" s="1530"/>
      <c r="AZ918" s="34"/>
      <c r="BA918" s="34"/>
      <c r="BB918" s="14"/>
      <c r="BC918" s="14"/>
      <c r="BD918" s="14"/>
      <c r="BE918" s="1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1:110" ht="12.95" customHeight="1">
      <c r="F919" s="47" t="s">
        <v>170</v>
      </c>
      <c r="G919" s="48"/>
      <c r="H919" s="48"/>
      <c r="I919" s="1534" t="s">
        <v>2730</v>
      </c>
      <c r="J919" s="1544"/>
      <c r="K919" s="1544"/>
      <c r="L919" s="1544"/>
      <c r="M919" s="1544"/>
      <c r="N919" s="1544"/>
      <c r="O919" s="1544"/>
      <c r="P919" s="1544"/>
      <c r="Q919" s="1544"/>
      <c r="R919" s="1544"/>
      <c r="S919" s="1544"/>
      <c r="T919" s="1545"/>
      <c r="U919" s="1516" t="s">
        <v>554</v>
      </c>
      <c r="V919" s="1517"/>
      <c r="W919" s="1517"/>
      <c r="X919" s="1517"/>
      <c r="Y919" s="1517"/>
      <c r="Z919" s="1518"/>
      <c r="AA919" s="1528">
        <v>3500000</v>
      </c>
      <c r="AB919" s="1529"/>
      <c r="AC919" s="1529"/>
      <c r="AD919" s="1529"/>
      <c r="AE919" s="1529"/>
      <c r="AF919" s="15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1:110" ht="12.95" customHeight="1">
      <c r="F920" s="47" t="s">
        <v>170</v>
      </c>
      <c r="G920" s="48"/>
      <c r="H920" s="48"/>
      <c r="I920" s="1534" t="s">
        <v>2652</v>
      </c>
      <c r="J920" s="1544"/>
      <c r="K920" s="1544"/>
      <c r="L920" s="1544"/>
      <c r="M920" s="1544"/>
      <c r="N920" s="1544"/>
      <c r="O920" s="1544"/>
      <c r="P920" s="1544"/>
      <c r="Q920" s="1544"/>
      <c r="R920" s="1544"/>
      <c r="S920" s="1544"/>
      <c r="T920" s="1545"/>
      <c r="U920" s="1516" t="s">
        <v>554</v>
      </c>
      <c r="V920" s="1517"/>
      <c r="W920" s="1517"/>
      <c r="X920" s="1517"/>
      <c r="Y920" s="1517"/>
      <c r="Z920" s="1518"/>
      <c r="AA920" s="1528">
        <v>8194533</v>
      </c>
      <c r="AB920" s="1529"/>
      <c r="AC920" s="1529"/>
      <c r="AD920" s="1529"/>
      <c r="AE920" s="1529"/>
      <c r="AF920" s="15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1:110" ht="12.95" customHeight="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1:110" ht="12.95" customHeight="1">
      <c r="A922" s="2" t="s">
        <v>585</v>
      </c>
      <c r="C922" s="2" t="s">
        <v>763</v>
      </c>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1:110" ht="12.95" customHeight="1">
      <c r="B923" s="2"/>
      <c r="C923" s="22" t="s">
        <v>393</v>
      </c>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1:110" ht="12.95" customHeight="1">
      <c r="AZ924" s="34"/>
      <c r="BA924" s="34"/>
      <c r="BB924" s="34"/>
      <c r="BC924" s="34"/>
      <c r="BD924" s="34"/>
      <c r="BE924" s="34"/>
      <c r="BF924" s="34"/>
      <c r="BG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1:110" ht="12.95" customHeight="1">
      <c r="C925" s="66" t="s">
        <v>11</v>
      </c>
      <c r="D925" s="5"/>
      <c r="E925" s="5"/>
      <c r="F925" s="5"/>
      <c r="G925" s="5"/>
      <c r="H925" s="5"/>
      <c r="I925" s="5"/>
      <c r="J925" s="5"/>
      <c r="K925" s="5"/>
      <c r="L925" s="46"/>
      <c r="M925" s="1672">
        <v>44565</v>
      </c>
      <c r="N925" s="1673"/>
      <c r="O925" s="1673"/>
      <c r="P925" s="1673"/>
      <c r="Q925" s="1673"/>
      <c r="R925" s="1673"/>
      <c r="S925" s="1674"/>
      <c r="U925" s="66" t="s">
        <v>11</v>
      </c>
      <c r="V925" s="5"/>
      <c r="W925" s="5"/>
      <c r="X925" s="5"/>
      <c r="Y925" s="5"/>
      <c r="Z925" s="5"/>
      <c r="AA925" s="5"/>
      <c r="AB925" s="5"/>
      <c r="AC925" s="5"/>
      <c r="AD925" s="46"/>
      <c r="AE925" s="1672"/>
      <c r="AF925" s="1673"/>
      <c r="AG925" s="1673"/>
      <c r="AH925" s="1673"/>
      <c r="AI925" s="1673"/>
      <c r="AJ925" s="1673"/>
      <c r="AK925" s="167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1:110" ht="12.95" customHeight="1">
      <c r="C926" s="66" t="s">
        <v>12</v>
      </c>
      <c r="D926" s="5"/>
      <c r="E926" s="5"/>
      <c r="F926" s="5"/>
      <c r="G926" s="5"/>
      <c r="H926" s="5"/>
      <c r="I926" s="5"/>
      <c r="J926" s="5"/>
      <c r="K926" s="5"/>
      <c r="L926" s="46"/>
      <c r="M926" s="1626" t="s">
        <v>2708</v>
      </c>
      <c r="N926" s="1627"/>
      <c r="O926" s="1627"/>
      <c r="P926" s="1627"/>
      <c r="Q926" s="1627"/>
      <c r="R926" s="1627"/>
      <c r="S926" s="1628"/>
      <c r="U926" s="66" t="s">
        <v>12</v>
      </c>
      <c r="V926" s="5"/>
      <c r="W926" s="5"/>
      <c r="X926" s="5"/>
      <c r="Y926" s="5"/>
      <c r="Z926" s="5"/>
      <c r="AA926" s="5"/>
      <c r="AB926" s="5"/>
      <c r="AC926" s="5"/>
      <c r="AD926" s="46"/>
      <c r="AE926" s="1626"/>
      <c r="AF926" s="1627"/>
      <c r="AG926" s="1627"/>
      <c r="AH926" s="1627"/>
      <c r="AI926" s="1627"/>
      <c r="AJ926" s="1627"/>
      <c r="AK926" s="1628"/>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1:110" ht="12.95" customHeight="1">
      <c r="C927" s="66" t="s">
        <v>909</v>
      </c>
      <c r="D927" s="5"/>
      <c r="E927" s="5"/>
      <c r="J927" s="1700" t="s">
        <v>2709</v>
      </c>
      <c r="K927" s="1701"/>
      <c r="L927" s="1701"/>
      <c r="M927" s="1701"/>
      <c r="N927" s="1701"/>
      <c r="O927" s="1701"/>
      <c r="P927" s="1701"/>
      <c r="Q927" s="1701"/>
      <c r="R927" s="1701"/>
      <c r="S927" s="1702"/>
      <c r="U927" s="66" t="s">
        <v>909</v>
      </c>
      <c r="V927" s="5"/>
      <c r="W927" s="5"/>
      <c r="AB927" s="1700" t="s">
        <v>308</v>
      </c>
      <c r="AC927" s="1701"/>
      <c r="AD927" s="1701"/>
      <c r="AE927" s="1701"/>
      <c r="AF927" s="1701"/>
      <c r="AG927" s="1701"/>
      <c r="AH927" s="1701"/>
      <c r="AI927" s="1701"/>
      <c r="AJ927" s="1701"/>
      <c r="AK927" s="170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1:110" ht="12.95" customHeight="1">
      <c r="C928" s="66" t="s">
        <v>13</v>
      </c>
      <c r="D928" s="5"/>
      <c r="E928" s="5"/>
      <c r="F928" s="5"/>
      <c r="G928" s="5"/>
      <c r="H928" s="5"/>
      <c r="I928" s="5"/>
      <c r="J928" s="5"/>
      <c r="K928" s="5"/>
      <c r="L928" s="46"/>
      <c r="M928" s="1548">
        <v>0.03</v>
      </c>
      <c r="N928" s="1549"/>
      <c r="O928" s="1549"/>
      <c r="P928" s="1549"/>
      <c r="Q928" s="1549"/>
      <c r="R928" s="1549"/>
      <c r="S928" s="1550"/>
      <c r="U928" s="66" t="s">
        <v>13</v>
      </c>
      <c r="V928" s="5"/>
      <c r="W928" s="5"/>
      <c r="X928" s="5"/>
      <c r="Y928" s="5"/>
      <c r="Z928" s="5"/>
      <c r="AA928" s="5"/>
      <c r="AB928" s="5"/>
      <c r="AC928" s="5"/>
      <c r="AD928" s="46"/>
      <c r="AE928" s="1682"/>
      <c r="AF928" s="1549"/>
      <c r="AG928" s="1549"/>
      <c r="AH928" s="1549"/>
      <c r="AI928" s="1549"/>
      <c r="AJ928" s="1549"/>
      <c r="AK928" s="1550"/>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1:110" ht="12.95" customHeight="1">
      <c r="C929" s="66" t="s">
        <v>14</v>
      </c>
      <c r="D929" s="5"/>
      <c r="E929" s="5"/>
      <c r="F929" s="5"/>
      <c r="G929" s="5"/>
      <c r="H929" s="5"/>
      <c r="I929" s="5"/>
      <c r="J929" s="5"/>
      <c r="K929" s="5"/>
      <c r="L929" s="46"/>
      <c r="M929" s="1584">
        <v>8</v>
      </c>
      <c r="N929" s="1585"/>
      <c r="O929" s="1585"/>
      <c r="P929" s="1585"/>
      <c r="Q929" s="1585"/>
      <c r="R929" s="1585"/>
      <c r="S929" s="1586"/>
      <c r="U929" s="66" t="s">
        <v>14</v>
      </c>
      <c r="V929" s="5"/>
      <c r="W929" s="5"/>
      <c r="X929" s="5"/>
      <c r="Y929" s="5"/>
      <c r="Z929" s="5"/>
      <c r="AA929" s="5"/>
      <c r="AB929" s="5"/>
      <c r="AC929" s="5"/>
      <c r="AD929" s="46"/>
      <c r="AE929" s="1584"/>
      <c r="AF929" s="1585"/>
      <c r="AG929" s="1585"/>
      <c r="AH929" s="1585"/>
      <c r="AI929" s="1585"/>
      <c r="AJ929" s="1585"/>
      <c r="AK929" s="1586"/>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1:110" ht="12.95" customHeight="1">
      <c r="C930" s="66" t="s">
        <v>15</v>
      </c>
      <c r="D930" s="5"/>
      <c r="E930" s="5"/>
      <c r="F930" s="5"/>
      <c r="G930" s="5"/>
      <c r="H930" s="5"/>
      <c r="I930" s="5"/>
      <c r="J930" s="5"/>
      <c r="K930" s="5"/>
      <c r="L930" s="46"/>
      <c r="M930" s="1528"/>
      <c r="N930" s="1529"/>
      <c r="O930" s="1529"/>
      <c r="P930" s="1529"/>
      <c r="Q930" s="1529"/>
      <c r="R930" s="1529"/>
      <c r="S930" s="1530"/>
      <c r="U930" s="66" t="s">
        <v>15</v>
      </c>
      <c r="V930" s="5"/>
      <c r="W930" s="5"/>
      <c r="X930" s="5"/>
      <c r="Y930" s="5"/>
      <c r="Z930" s="5"/>
      <c r="AA930" s="5"/>
      <c r="AB930" s="5"/>
      <c r="AC930" s="5"/>
      <c r="AD930" s="46"/>
      <c r="AE930" s="1528"/>
      <c r="AF930" s="1529"/>
      <c r="AG930" s="1529"/>
      <c r="AH930" s="1529"/>
      <c r="AI930" s="1529"/>
      <c r="AJ930" s="1529"/>
      <c r="AK930" s="1530"/>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1:110" ht="12.95" customHeight="1">
      <c r="C931" s="66" t="s">
        <v>16</v>
      </c>
      <c r="D931" s="5"/>
      <c r="E931" s="5"/>
      <c r="F931" s="5"/>
      <c r="G931" s="5"/>
      <c r="H931" s="5"/>
      <c r="I931" s="5"/>
      <c r="J931" s="5"/>
      <c r="K931" s="5"/>
      <c r="L931" s="46"/>
      <c r="M931" s="1528"/>
      <c r="N931" s="1529"/>
      <c r="O931" s="1529"/>
      <c r="P931" s="1529"/>
      <c r="Q931" s="1529"/>
      <c r="R931" s="1529"/>
      <c r="S931" s="1530"/>
      <c r="U931" s="66" t="s">
        <v>16</v>
      </c>
      <c r="V931" s="5"/>
      <c r="W931" s="5"/>
      <c r="X931" s="5"/>
      <c r="Y931" s="5"/>
      <c r="Z931" s="5"/>
      <c r="AA931" s="5"/>
      <c r="AB931" s="5"/>
      <c r="AC931" s="5"/>
      <c r="AD931" s="46"/>
      <c r="AE931" s="1528"/>
      <c r="AF931" s="1529"/>
      <c r="AG931" s="1529"/>
      <c r="AH931" s="1529"/>
      <c r="AI931" s="1529"/>
      <c r="AJ931" s="1529"/>
      <c r="AK931" s="1530"/>
      <c r="AZ931" s="34"/>
      <c r="BA931" s="34"/>
      <c r="BB931" s="34"/>
      <c r="BC931" s="34"/>
      <c r="BD931" s="34"/>
      <c r="BE931" s="34"/>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1:110" ht="12.95" customHeight="1">
      <c r="C932" s="121" t="s">
        <v>1842</v>
      </c>
      <c r="D932" s="5"/>
      <c r="E932" s="5"/>
      <c r="F932" s="5"/>
      <c r="G932" s="5"/>
      <c r="H932" s="5"/>
      <c r="I932" s="5"/>
      <c r="J932" s="5"/>
      <c r="K932" s="5"/>
      <c r="L932" s="46"/>
      <c r="M932" s="1436">
        <v>20</v>
      </c>
      <c r="N932" s="1437"/>
      <c r="O932" s="1437"/>
      <c r="P932" s="1437"/>
      <c r="Q932" s="1437"/>
      <c r="R932" s="1437"/>
      <c r="S932" s="1438"/>
      <c r="U932" s="121" t="s">
        <v>1842</v>
      </c>
      <c r="V932" s="5"/>
      <c r="W932" s="5"/>
      <c r="X932" s="5"/>
      <c r="Y932" s="5"/>
      <c r="Z932" s="5"/>
      <c r="AA932" s="5"/>
      <c r="AB932" s="5"/>
      <c r="AC932" s="5"/>
      <c r="AD932" s="46"/>
      <c r="AE932" s="1436"/>
      <c r="AF932" s="1437"/>
      <c r="AG932" s="1437"/>
      <c r="AH932" s="1437"/>
      <c r="AI932" s="1437"/>
      <c r="AJ932" s="1437"/>
      <c r="AK932" s="1438"/>
      <c r="AZ932" s="34"/>
      <c r="BA932" s="34"/>
      <c r="BB932" s="34"/>
      <c r="BC932" s="34"/>
      <c r="BD932" s="34"/>
      <c r="BE932" s="3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1:110" ht="12.95" customHeight="1">
      <c r="AZ933" s="34"/>
      <c r="BA933" s="34"/>
      <c r="BB933" s="34"/>
      <c r="BC933" s="34"/>
      <c r="BD933" s="34"/>
      <c r="BE933" s="3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1:110" ht="12.95" customHeight="1">
      <c r="A934" s="2" t="s">
        <v>595</v>
      </c>
      <c r="C934" s="2" t="s">
        <v>659</v>
      </c>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34"/>
      <c r="BA934" s="34"/>
      <c r="BB934" s="34"/>
      <c r="BC934" s="34"/>
      <c r="BD934" s="34"/>
      <c r="BE934" s="3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1:110" ht="12.95" customHeight="1">
      <c r="B935" s="2"/>
      <c r="C935" s="22" t="s">
        <v>180</v>
      </c>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34"/>
      <c r="BA935" s="34"/>
      <c r="BB935" s="34"/>
      <c r="BC935" s="34"/>
      <c r="BD935" s="34"/>
      <c r="BE935" s="3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1:110" ht="12.95" customHeight="1">
      <c r="B936" s="2"/>
      <c r="C936" s="2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34"/>
      <c r="BB936" s="34"/>
      <c r="BC936" s="34"/>
      <c r="BD936" s="34"/>
      <c r="BE936" s="34"/>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1:110" ht="12.95" customHeight="1">
      <c r="F937" s="45" t="s">
        <v>580</v>
      </c>
      <c r="G937" s="5"/>
      <c r="H937" s="5"/>
      <c r="I937" s="5"/>
      <c r="J937" s="5"/>
      <c r="K937" s="5"/>
      <c r="L937" s="46"/>
      <c r="M937" s="1537"/>
      <c r="N937" s="1538"/>
      <c r="O937" s="1538"/>
      <c r="P937" s="1538"/>
      <c r="Q937" s="1538"/>
      <c r="R937" s="1538"/>
      <c r="S937" s="1539"/>
      <c r="T937" s="66" t="s">
        <v>814</v>
      </c>
      <c r="U937" s="5"/>
      <c r="V937" s="5"/>
      <c r="W937" s="5"/>
      <c r="X937" s="5"/>
      <c r="Y937" s="5"/>
      <c r="Z937" s="46"/>
      <c r="AA937" s="1537"/>
      <c r="AB937" s="1538"/>
      <c r="AC937" s="1538"/>
      <c r="AD937" s="1538"/>
      <c r="AE937" s="1538"/>
      <c r="AF937" s="1538"/>
      <c r="AG937" s="1539"/>
      <c r="AZ937" s="34"/>
      <c r="BB937" s="34"/>
      <c r="BC937" s="34"/>
      <c r="BD937" s="34"/>
      <c r="BE937" s="34"/>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1:110" ht="12.95" customHeight="1">
      <c r="F938" s="45" t="s">
        <v>581</v>
      </c>
      <c r="G938" s="5"/>
      <c r="H938" s="5"/>
      <c r="I938" s="5"/>
      <c r="J938" s="5"/>
      <c r="K938" s="5"/>
      <c r="L938" s="46"/>
      <c r="M938" s="1537"/>
      <c r="N938" s="1538"/>
      <c r="O938" s="1538"/>
      <c r="P938" s="1538"/>
      <c r="Q938" s="1538"/>
      <c r="R938" s="1538"/>
      <c r="S938" s="1539"/>
      <c r="T938" s="66" t="s">
        <v>813</v>
      </c>
      <c r="U938" s="5"/>
      <c r="V938" s="5"/>
      <c r="W938" s="5"/>
      <c r="X938" s="5"/>
      <c r="Y938" s="5"/>
      <c r="Z938" s="46"/>
      <c r="AA938" s="1537"/>
      <c r="AB938" s="1538"/>
      <c r="AC938" s="1538"/>
      <c r="AD938" s="1538"/>
      <c r="AE938" s="1538"/>
      <c r="AF938" s="1538"/>
      <c r="AG938" s="1539"/>
      <c r="AZ938" s="34"/>
      <c r="BB938" s="34"/>
      <c r="BC938" s="34"/>
      <c r="BD938" s="34"/>
      <c r="BE938" s="34"/>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1:110" ht="12.95" customHeight="1">
      <c r="F939" s="45" t="s">
        <v>934</v>
      </c>
      <c r="G939" s="5"/>
      <c r="H939" s="5"/>
      <c r="I939" s="5"/>
      <c r="J939" s="5"/>
      <c r="K939" s="5"/>
      <c r="L939" s="46"/>
      <c r="M939" s="1678" t="s">
        <v>600</v>
      </c>
      <c r="N939" s="1679"/>
      <c r="O939" s="1679"/>
      <c r="P939" s="1679"/>
      <c r="Q939" s="1679"/>
      <c r="R939" s="1679"/>
      <c r="S939" s="1680"/>
      <c r="T939" s="45" t="s">
        <v>338</v>
      </c>
      <c r="U939" s="5"/>
      <c r="V939" s="5"/>
      <c r="W939" s="5"/>
      <c r="X939" s="5"/>
      <c r="Y939" s="5"/>
      <c r="Z939" s="46"/>
      <c r="AA939" s="1537"/>
      <c r="AB939" s="1538"/>
      <c r="AC939" s="1538"/>
      <c r="AD939" s="1538"/>
      <c r="AE939" s="1538"/>
      <c r="AF939" s="1538"/>
      <c r="AG939" s="1539"/>
      <c r="AZ939" s="34"/>
      <c r="BB939" s="34"/>
      <c r="BC939" s="34"/>
      <c r="BD939" s="34"/>
      <c r="BE939" s="3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1:110" ht="12.95" customHeight="1">
      <c r="F940" s="45" t="s">
        <v>582</v>
      </c>
      <c r="G940" s="5"/>
      <c r="H940" s="5"/>
      <c r="I940" s="5"/>
      <c r="J940" s="5"/>
      <c r="K940" s="5"/>
      <c r="L940" s="46"/>
      <c r="M940" s="1537"/>
      <c r="N940" s="1538"/>
      <c r="O940" s="1538"/>
      <c r="P940" s="1538"/>
      <c r="Q940" s="1538"/>
      <c r="R940" s="1538"/>
      <c r="S940" s="1539"/>
      <c r="T940" s="45" t="s">
        <v>339</v>
      </c>
      <c r="U940" s="5"/>
      <c r="V940" s="5"/>
      <c r="W940" s="5"/>
      <c r="X940" s="5"/>
      <c r="Y940" s="5"/>
      <c r="Z940" s="46"/>
      <c r="AA940" s="1537"/>
      <c r="AB940" s="1538"/>
      <c r="AC940" s="1538"/>
      <c r="AD940" s="1538"/>
      <c r="AE940" s="1538"/>
      <c r="AF940" s="1538"/>
      <c r="AG940" s="1539"/>
      <c r="AZ940" s="34"/>
      <c r="BB940" s="34"/>
      <c r="BC940" s="34"/>
      <c r="BD940" s="34"/>
      <c r="BE940" s="3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1:110" ht="12.95" customHeight="1">
      <c r="F941" s="45" t="s">
        <v>473</v>
      </c>
      <c r="G941" s="5"/>
      <c r="H941" s="5"/>
      <c r="I941" s="5"/>
      <c r="J941" s="5"/>
      <c r="K941" s="5"/>
      <c r="L941" s="46"/>
      <c r="M941" s="1537"/>
      <c r="N941" s="1538"/>
      <c r="O941" s="1538"/>
      <c r="P941" s="1538"/>
      <c r="Q941" s="1538"/>
      <c r="R941" s="1538"/>
      <c r="S941" s="1539"/>
      <c r="T941" s="45" t="s">
        <v>377</v>
      </c>
      <c r="U941" s="5"/>
      <c r="V941" s="5"/>
      <c r="W941" s="5"/>
      <c r="X941" s="5"/>
      <c r="Y941" s="5"/>
      <c r="Z941" s="46"/>
      <c r="AA941" s="1537"/>
      <c r="AB941" s="1538"/>
      <c r="AC941" s="1538"/>
      <c r="AD941" s="1538"/>
      <c r="AE941" s="1538"/>
      <c r="AF941" s="1538"/>
      <c r="AG941" s="1539"/>
      <c r="AZ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1:110" ht="12.95" customHeight="1">
      <c r="F942" s="260" t="s">
        <v>909</v>
      </c>
      <c r="G942" s="42"/>
      <c r="H942" s="42"/>
      <c r="I942" s="42"/>
      <c r="J942" s="42"/>
      <c r="K942" s="42"/>
      <c r="L942" s="58"/>
      <c r="M942" s="1686" t="s">
        <v>308</v>
      </c>
      <c r="N942" s="1687"/>
      <c r="O942" s="1687"/>
      <c r="P942" s="1687"/>
      <c r="Q942" s="1687"/>
      <c r="R942" s="1687"/>
      <c r="S942" s="1688"/>
      <c r="T942" s="1531"/>
      <c r="U942" s="1532"/>
      <c r="V942" s="1532"/>
      <c r="W942" s="1532"/>
      <c r="X942" s="1532"/>
      <c r="Y942" s="1532"/>
      <c r="Z942" s="1533"/>
      <c r="AA942" s="1537"/>
      <c r="AB942" s="1538"/>
      <c r="AC942" s="1538"/>
      <c r="AD942" s="1538"/>
      <c r="AE942" s="1538"/>
      <c r="AF942" s="1538"/>
      <c r="AG942" s="1539"/>
      <c r="AZ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1:110" ht="12.95" customHeight="1">
      <c r="F943" s="41" t="s">
        <v>474</v>
      </c>
      <c r="G943" s="42"/>
      <c r="H943" s="42"/>
      <c r="I943" s="42"/>
      <c r="J943" s="42"/>
      <c r="K943" s="42"/>
      <c r="L943" s="58"/>
      <c r="M943" s="1537"/>
      <c r="N943" s="1538"/>
      <c r="O943" s="1538"/>
      <c r="P943" s="1538"/>
      <c r="Q943" s="1538"/>
      <c r="R943" s="1538"/>
      <c r="S943" s="1539"/>
      <c r="T943" s="1531"/>
      <c r="U943" s="1532"/>
      <c r="V943" s="1532"/>
      <c r="W943" s="1532"/>
      <c r="X943" s="1532"/>
      <c r="Y943" s="1532"/>
      <c r="Z943" s="1533"/>
      <c r="AA943" s="1537"/>
      <c r="AB943" s="1538"/>
      <c r="AC943" s="1538"/>
      <c r="AD943" s="1538"/>
      <c r="AE943" s="1538"/>
      <c r="AF943" s="1538"/>
      <c r="AG943" s="1539"/>
      <c r="AZ943" s="34"/>
      <c r="BB943" s="34"/>
      <c r="BC943" s="34"/>
      <c r="BD943" s="34"/>
      <c r="BE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1:110" ht="12.95" customHeight="1">
      <c r="F944" s="41" t="s">
        <v>337</v>
      </c>
      <c r="G944" s="42"/>
      <c r="H944" s="42"/>
      <c r="I944" s="42"/>
      <c r="J944" s="42"/>
      <c r="K944" s="42"/>
      <c r="L944" s="42"/>
      <c r="M944" s="42"/>
      <c r="N944" s="42"/>
      <c r="O944" s="1675" t="s">
        <v>678</v>
      </c>
      <c r="P944" s="1676"/>
      <c r="Q944" s="92"/>
      <c r="R944" s="92"/>
      <c r="S944" s="93"/>
      <c r="T944" s="41" t="s">
        <v>170</v>
      </c>
      <c r="U944" s="42"/>
      <c r="V944" s="42"/>
      <c r="W944" s="1683" t="s">
        <v>335</v>
      </c>
      <c r="X944" s="1684"/>
      <c r="Y944" s="1684"/>
      <c r="Z944" s="1684"/>
      <c r="AA944" s="1684"/>
      <c r="AB944" s="1684"/>
      <c r="AC944" s="1684"/>
      <c r="AD944" s="1684"/>
      <c r="AE944" s="1684"/>
      <c r="AF944" s="1684"/>
      <c r="AG944" s="1685"/>
      <c r="AZ944" s="34"/>
      <c r="BB944" s="34"/>
      <c r="BC944" s="34"/>
      <c r="BD944" s="34"/>
      <c r="BE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77" t="s">
        <v>33</v>
      </c>
      <c r="G945" s="1351"/>
      <c r="H945" s="1351"/>
      <c r="I945" s="1351"/>
      <c r="J945" s="1351"/>
      <c r="K945" s="1351"/>
      <c r="L945" s="1351"/>
      <c r="M945" s="1537"/>
      <c r="N945" s="1538"/>
      <c r="O945" s="1538"/>
      <c r="P945" s="1538"/>
      <c r="Q945" s="1538"/>
      <c r="R945" s="1538"/>
      <c r="S945" s="1539"/>
      <c r="T945" s="47"/>
      <c r="U945" s="48"/>
      <c r="V945" s="48"/>
      <c r="W945" s="48"/>
      <c r="X945" s="48"/>
      <c r="Y945" s="48"/>
      <c r="Z945" s="124" t="s">
        <v>135</v>
      </c>
      <c r="AA945" s="1525"/>
      <c r="AB945" s="1526"/>
      <c r="AC945" s="1526"/>
      <c r="AD945" s="1526"/>
      <c r="AE945" s="1526"/>
      <c r="AF945" s="1526"/>
      <c r="AG945" s="1527"/>
      <c r="AZ945" s="34"/>
      <c r="BB945" s="34"/>
      <c r="BC945" s="34"/>
      <c r="BD945" s="34"/>
      <c r="BE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AZ946" s="34"/>
      <c r="BB946" s="34"/>
      <c r="BC946" s="34"/>
      <c r="BD946" s="34"/>
      <c r="BE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AZ948" s="34"/>
      <c r="BA948" s="34"/>
      <c r="BB948" s="34"/>
      <c r="BC948" s="34"/>
      <c r="BD948" s="34"/>
      <c r="BE948" s="34"/>
      <c r="BF948" s="34"/>
      <c r="BG948" s="34"/>
      <c r="BH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A949" s="1547" t="s">
        <v>557</v>
      </c>
      <c r="B949" s="1547"/>
      <c r="C949" s="1547"/>
      <c r="D949" s="1547"/>
      <c r="E949" s="1547"/>
      <c r="F949" s="1547"/>
      <c r="G949" s="1547"/>
      <c r="H949" s="1547"/>
      <c r="I949" s="1547"/>
      <c r="J949" s="1547"/>
      <c r="K949" s="1547"/>
      <c r="L949" s="1547"/>
      <c r="M949" s="1547"/>
      <c r="N949" s="1547"/>
      <c r="O949" s="1547"/>
      <c r="P949" s="1547"/>
      <c r="Q949" s="1547"/>
      <c r="R949" s="1547"/>
      <c r="S949" s="1547"/>
      <c r="T949" s="1547"/>
      <c r="U949" s="1547"/>
      <c r="V949" s="1547"/>
      <c r="W949" s="1547"/>
      <c r="X949" s="1547"/>
      <c r="Y949" s="1547"/>
      <c r="Z949" s="1547"/>
      <c r="AA949" s="1547"/>
      <c r="AB949" s="1547"/>
      <c r="AC949" s="1547"/>
      <c r="AD949" s="1547"/>
      <c r="AE949" s="1547"/>
      <c r="AF949" s="1547"/>
      <c r="AG949" s="1547"/>
      <c r="AH949" s="1547"/>
      <c r="AI949" s="1547"/>
      <c r="AJ949" s="1547"/>
      <c r="AK949" s="1547"/>
      <c r="AL949" s="1547"/>
      <c r="AM949" s="1547"/>
      <c r="AN949" s="1547"/>
      <c r="AO949" s="1547"/>
      <c r="AP949" s="1547"/>
      <c r="AQ949" s="1547"/>
      <c r="AR949" s="1547"/>
      <c r="AS949" s="1547"/>
      <c r="AT949" s="95"/>
      <c r="AU949" s="95"/>
      <c r="AV949" s="95"/>
      <c r="AW949" s="95"/>
      <c r="AX949" s="95"/>
      <c r="AY949" s="95"/>
      <c r="AZ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s="14" customFormat="1" ht="12.95" customHeight="1">
      <c r="A950" s="1547"/>
      <c r="B950" s="1547"/>
      <c r="C950" s="1547"/>
      <c r="D950" s="1547"/>
      <c r="E950" s="1547"/>
      <c r="F950" s="1547"/>
      <c r="G950" s="1547"/>
      <c r="H950" s="1547"/>
      <c r="I950" s="1547"/>
      <c r="J950" s="1547"/>
      <c r="K950" s="1547"/>
      <c r="L950" s="1547"/>
      <c r="M950" s="1547"/>
      <c r="N950" s="1547"/>
      <c r="O950" s="1547"/>
      <c r="P950" s="1547"/>
      <c r="Q950" s="1547"/>
      <c r="R950" s="1547"/>
      <c r="S950" s="1547"/>
      <c r="T950" s="1547"/>
      <c r="U950" s="1547"/>
      <c r="V950" s="1547"/>
      <c r="W950" s="1547"/>
      <c r="X950" s="1547"/>
      <c r="Y950" s="1547"/>
      <c r="Z950" s="1547"/>
      <c r="AA950" s="1547"/>
      <c r="AB950" s="1547"/>
      <c r="AC950" s="1547"/>
      <c r="AD950" s="1547"/>
      <c r="AE950" s="1547"/>
      <c r="AF950" s="1547"/>
      <c r="AG950" s="1547"/>
      <c r="AH950" s="1547"/>
      <c r="AI950" s="1547"/>
      <c r="AJ950" s="1547"/>
      <c r="AK950" s="1547"/>
      <c r="AL950" s="1547"/>
      <c r="AM950" s="1547"/>
      <c r="AN950" s="1547"/>
      <c r="AO950" s="1547"/>
      <c r="AP950" s="1547"/>
      <c r="AQ950" s="1547"/>
      <c r="AR950" s="1547"/>
      <c r="AS950" s="1547"/>
      <c r="AT950" s="95"/>
      <c r="AU950" s="95"/>
      <c r="AV950" s="95"/>
      <c r="AW950" s="95"/>
      <c r="AX950" s="95"/>
      <c r="AY950" s="95"/>
      <c r="BB950" s="34"/>
      <c r="BC950" s="34"/>
      <c r="BD950" s="34"/>
      <c r="BE950" s="34"/>
      <c r="BF950" s="34"/>
      <c r="CB950" s="70"/>
      <c r="CC950" s="70"/>
      <c r="CD950" s="70"/>
      <c r="CE950" s="70"/>
      <c r="CF950" s="70"/>
      <c r="CG950" s="70"/>
      <c r="CH950" s="70"/>
      <c r="CI950" s="70"/>
      <c r="CJ950" s="70"/>
      <c r="CK950" s="70"/>
      <c r="CL950" s="70"/>
      <c r="CM950" s="70"/>
      <c r="CN950" s="70"/>
      <c r="CO950" s="70"/>
      <c r="CP950" s="70"/>
      <c r="CQ950" s="70"/>
      <c r="CR950" s="70"/>
      <c r="CS950" s="70"/>
      <c r="CT950" s="70"/>
      <c r="CU950" s="70"/>
      <c r="CV950" s="70"/>
      <c r="CW950" s="70"/>
      <c r="CX950" s="70"/>
      <c r="CY950" s="70"/>
      <c r="CZ950" s="70"/>
      <c r="DA950" s="70"/>
      <c r="DB950" s="70"/>
      <c r="DC950" s="70"/>
      <c r="DD950" s="70"/>
      <c r="DE950" s="70"/>
      <c r="DF950" s="70"/>
    </row>
    <row r="951" spans="1:110" s="14" customFormat="1" ht="12.95" customHeight="1">
      <c r="D951"/>
      <c r="E951"/>
      <c r="F951"/>
      <c r="G951"/>
      <c r="H951"/>
      <c r="AL951" s="68"/>
      <c r="AM951" s="68"/>
      <c r="AN951" s="68"/>
      <c r="AO951" s="68"/>
      <c r="AP951" s="68"/>
      <c r="AQ951" s="68"/>
      <c r="AR951" s="68"/>
      <c r="AS951" s="68"/>
      <c r="AT951" s="68"/>
      <c r="AU951" s="68"/>
      <c r="AV951" s="68"/>
      <c r="AW951" s="68"/>
      <c r="AX951" s="68"/>
      <c r="AY951" s="68"/>
      <c r="BG951" s="1646"/>
      <c r="BH951" s="1646"/>
      <c r="BI951" s="1646"/>
      <c r="BJ951" s="1646"/>
      <c r="BK951" s="1646"/>
      <c r="BL951" s="1646"/>
      <c r="CB951" s="70"/>
      <c r="CC951" s="70"/>
      <c r="CD951" s="70"/>
      <c r="CE951" s="70"/>
      <c r="CF951" s="70"/>
      <c r="CG951" s="70"/>
      <c r="CH951" s="70"/>
      <c r="CI951" s="70"/>
      <c r="CJ951" s="70"/>
      <c r="CK951" s="70"/>
      <c r="CL951" s="70"/>
      <c r="CM951" s="70"/>
      <c r="CN951" s="70"/>
      <c r="CO951" s="70"/>
      <c r="CP951" s="70"/>
      <c r="CQ951" s="70"/>
      <c r="CR951" s="70"/>
      <c r="CS951" s="70"/>
      <c r="CT951" s="70"/>
      <c r="CU951" s="70"/>
      <c r="CV951" s="70"/>
      <c r="CW951" s="70"/>
      <c r="CX951" s="70"/>
      <c r="CY951" s="70"/>
      <c r="CZ951" s="70"/>
      <c r="DA951" s="70"/>
      <c r="DB951" s="70"/>
      <c r="DC951" s="70"/>
      <c r="DD951" s="70"/>
      <c r="DE951" s="70"/>
      <c r="DF951" s="70"/>
    </row>
    <row r="952" spans="1:110" s="14" customFormat="1" ht="12.95" customHeight="1">
      <c r="A952" s="2" t="s">
        <v>320</v>
      </c>
      <c r="B952"/>
      <c r="C952" s="2" t="s">
        <v>624</v>
      </c>
      <c r="D952"/>
      <c r="E952"/>
      <c r="F952"/>
      <c r="G952"/>
      <c r="H952"/>
      <c r="AL952" s="68"/>
      <c r="AM952" s="68"/>
      <c r="AN952" s="68"/>
      <c r="AO952" s="68"/>
      <c r="AP952" s="68"/>
      <c r="AQ952" s="68"/>
      <c r="AR952" s="68"/>
      <c r="AS952" s="68"/>
      <c r="AT952" s="68"/>
      <c r="AU952" s="68"/>
      <c r="AV952" s="68"/>
      <c r="AW952" s="68"/>
      <c r="AX952" s="68"/>
      <c r="AY952" s="68"/>
      <c r="BB952" s="949"/>
      <c r="BC952" s="949"/>
      <c r="CB952" s="70"/>
      <c r="CC952" s="70"/>
      <c r="CD952" s="70"/>
      <c r="CE952" s="70"/>
      <c r="CF952" s="70"/>
      <c r="CG952" s="70"/>
      <c r="CH952" s="70"/>
      <c r="CI952" s="70"/>
      <c r="CJ952" s="70"/>
      <c r="CK952" s="70"/>
      <c r="CL952" s="70"/>
      <c r="CM952" s="70"/>
      <c r="CN952" s="70"/>
      <c r="CO952" s="70"/>
      <c r="CP952" s="70"/>
      <c r="CQ952" s="70"/>
      <c r="CR952" s="70"/>
      <c r="CS952" s="70"/>
      <c r="CT952" s="70"/>
      <c r="CU952" s="70"/>
      <c r="CV952" s="70"/>
      <c r="CW952" s="70"/>
      <c r="CX952" s="70"/>
      <c r="CY952" s="70"/>
      <c r="CZ952" s="70"/>
      <c r="DA952" s="70"/>
      <c r="DB952" s="70"/>
      <c r="DC952" s="70"/>
      <c r="DD952" s="70"/>
      <c r="DE952" s="70"/>
      <c r="DF952" s="70"/>
    </row>
    <row r="953" spans="1:110" s="14" customFormat="1" ht="12.95" customHeight="1">
      <c r="A953" s="2"/>
      <c r="B953"/>
      <c r="C953" s="2"/>
      <c r="D953"/>
      <c r="E953"/>
      <c r="F953"/>
      <c r="G953"/>
      <c r="H953"/>
      <c r="AL953" s="68"/>
      <c r="AM953" s="68"/>
      <c r="AN953" s="68"/>
      <c r="AO953" s="68"/>
      <c r="AP953" s="68"/>
      <c r="AQ953" s="68"/>
      <c r="AR953" s="68"/>
      <c r="AS953" s="68"/>
      <c r="AT953" s="68"/>
      <c r="AU953" s="68"/>
      <c r="AV953" s="68"/>
      <c r="AW953" s="68"/>
      <c r="AX953" s="68"/>
      <c r="AY953" s="68"/>
      <c r="BB953" s="949"/>
      <c r="BC953" s="949"/>
      <c r="CB953" s="70"/>
      <c r="CC953" s="70"/>
      <c r="CD953" s="70"/>
      <c r="CE953" s="70"/>
      <c r="CF953" s="70"/>
      <c r="CG953" s="70"/>
      <c r="CH953" s="70"/>
      <c r="CI953" s="70"/>
      <c r="CJ953" s="70"/>
      <c r="CK953" s="70"/>
      <c r="CL953" s="70"/>
      <c r="CM953" s="70"/>
      <c r="CN953" s="70"/>
      <c r="CO953" s="70"/>
      <c r="CP953" s="70"/>
      <c r="CQ953" s="70"/>
      <c r="CR953" s="70"/>
      <c r="CS953" s="70"/>
      <c r="CT953" s="70"/>
      <c r="CU953" s="70"/>
      <c r="CV953" s="70"/>
      <c r="CW953" s="70"/>
      <c r="CX953" s="70"/>
      <c r="CY953" s="70"/>
      <c r="CZ953" s="70"/>
      <c r="DA953" s="70"/>
      <c r="DB953" s="70"/>
      <c r="DC953" s="70"/>
      <c r="DD953" s="70"/>
      <c r="DE953" s="70"/>
      <c r="DF953" s="70"/>
    </row>
    <row r="954" spans="1:110" s="14" customFormat="1" ht="12.95" customHeight="1">
      <c r="A954" s="67"/>
      <c r="B954" s="79"/>
      <c r="C954" s="965"/>
      <c r="D954" s="1477" t="s">
        <v>647</v>
      </c>
      <c r="E954" s="1478"/>
      <c r="F954" s="1478"/>
      <c r="G954" s="1478"/>
      <c r="H954" s="1478"/>
      <c r="I954" s="1478"/>
      <c r="J954" s="1478"/>
      <c r="K954" s="1478"/>
      <c r="L954" s="1478"/>
      <c r="M954" s="1478"/>
      <c r="N954" s="1478"/>
      <c r="O954" s="1478"/>
      <c r="P954" s="1478"/>
      <c r="Q954" s="1479"/>
      <c r="R954" s="1477" t="s">
        <v>648</v>
      </c>
      <c r="S954" s="1478"/>
      <c r="T954" s="1478"/>
      <c r="U954" s="1478"/>
      <c r="V954" s="1478"/>
      <c r="W954" s="1478"/>
      <c r="X954" s="1478"/>
      <c r="Y954" s="1478"/>
      <c r="Z954" s="1478"/>
      <c r="AA954" s="1479"/>
      <c r="AB954" s="1477" t="s">
        <v>649</v>
      </c>
      <c r="AC954" s="1478"/>
      <c r="AD954" s="1478"/>
      <c r="AE954" s="1478"/>
      <c r="AF954" s="1478"/>
      <c r="AG954" s="1478"/>
      <c r="AH954" s="1478"/>
      <c r="AI954" s="1479"/>
      <c r="AJ954" s="1477" t="s">
        <v>650</v>
      </c>
      <c r="AK954" s="1478"/>
      <c r="AL954" s="1478"/>
      <c r="AM954" s="1478"/>
      <c r="AN954" s="1478"/>
      <c r="AO954" s="1478"/>
      <c r="AP954" s="1478"/>
      <c r="AQ954" s="1479"/>
      <c r="AR954" s="68"/>
      <c r="AS954" s="68"/>
      <c r="AT954" s="68"/>
      <c r="AU954" s="68"/>
      <c r="AV954" s="68"/>
      <c r="AW954" s="68"/>
      <c r="AX954" s="68"/>
      <c r="AY954" s="68"/>
      <c r="AZ954" s="30"/>
      <c r="CB954" s="70"/>
      <c r="CC954" s="70"/>
      <c r="CD954" s="70"/>
      <c r="CE954" s="70"/>
      <c r="CF954" s="70"/>
      <c r="CG954" s="70"/>
      <c r="CH954" s="70"/>
      <c r="CI954" s="70"/>
      <c r="CJ954" s="70"/>
      <c r="CK954" s="70"/>
      <c r="CL954" s="70"/>
      <c r="CM954" s="70"/>
      <c r="CN954" s="70"/>
      <c r="CO954" s="70"/>
      <c r="CP954" s="70"/>
      <c r="CQ954" s="70"/>
      <c r="CR954" s="70"/>
      <c r="CS954" s="70"/>
      <c r="CT954" s="70"/>
      <c r="CU954" s="70"/>
      <c r="CV954" s="70"/>
      <c r="CW954" s="70"/>
      <c r="CX954" s="70"/>
      <c r="CY954" s="70"/>
      <c r="CZ954" s="70"/>
      <c r="DA954" s="70"/>
      <c r="DB954" s="70"/>
      <c r="DC954" s="70"/>
      <c r="DD954" s="70"/>
      <c r="DE954" s="70"/>
      <c r="DF954" s="70"/>
    </row>
    <row r="955" spans="1:110" s="14" customFormat="1" ht="12.95" customHeight="1">
      <c r="B955" s="73"/>
      <c r="C955" s="966"/>
      <c r="D955" s="1474" t="s">
        <v>642</v>
      </c>
      <c r="E955" s="1475"/>
      <c r="F955" s="1475"/>
      <c r="G955" s="1475"/>
      <c r="H955" s="1475"/>
      <c r="I955" s="1475"/>
      <c r="J955" s="1475"/>
      <c r="K955" s="1475"/>
      <c r="L955" s="1475"/>
      <c r="M955" s="1475"/>
      <c r="N955" s="1475"/>
      <c r="O955" s="1475"/>
      <c r="P955" s="1475"/>
      <c r="Q955" s="1476"/>
      <c r="R955" s="1515">
        <f>IF(ISNA(IF($BN$785="4%",(INDEX($BP$795:$BT$852,MATCH($CB$785,$BO$795:$BO$852,0),MATCH(D955,$BP$794:$BT$794,0))),(INDEX($BW$795:$CA$852,MATCH($CB$785,$BV$795:$BV$852,0),MATCH(D955,$BW$794:$CA$794,0))))),0,IF($BN$785="4%",(INDEX($BP$795:$BT$852,MATCH($CB$785,$BO$795:$BO$852,0),MATCH(D955,$BP$794:$BT$794,0))),(INDEX($BW$795:$CA$852,MATCH($CB$785,$BV$795:$BV$852,0),MATCH(D955,$BW$794:$CA$794,0)))))</f>
        <v>331890</v>
      </c>
      <c r="S955" s="1515"/>
      <c r="T955" s="1515"/>
      <c r="U955" s="1515"/>
      <c r="V955" s="1515"/>
      <c r="W955" s="1515"/>
      <c r="X955" s="1515"/>
      <c r="Y955" s="1515"/>
      <c r="Z955" s="1515"/>
      <c r="AA955" s="1515"/>
      <c r="AB955" s="1433">
        <f>BN649</f>
        <v>0</v>
      </c>
      <c r="AC955" s="1434"/>
      <c r="AD955" s="1434"/>
      <c r="AE955" s="1434"/>
      <c r="AF955" s="1434"/>
      <c r="AG955" s="1434"/>
      <c r="AH955" s="1434"/>
      <c r="AI955" s="1435"/>
      <c r="AJ955" s="1446">
        <f>IF(ISERROR((R955*AB955)),0,(R955*AB955))</f>
        <v>0</v>
      </c>
      <c r="AK955" s="1447"/>
      <c r="AL955" s="1447"/>
      <c r="AM955" s="1447"/>
      <c r="AN955" s="1447"/>
      <c r="AO955" s="1447"/>
      <c r="AP955" s="1447"/>
      <c r="AQ955" s="1448"/>
      <c r="AR955" s="68"/>
      <c r="AS955" s="68"/>
      <c r="AT955" s="68"/>
      <c r="AU955" s="68"/>
      <c r="AV955" s="68"/>
      <c r="AW955" s="68"/>
      <c r="AX955" s="68"/>
      <c r="AY955" s="68"/>
      <c r="AZ955" s="30"/>
      <c r="CB955" s="70"/>
      <c r="CC955" s="70"/>
      <c r="CD955" s="70"/>
      <c r="CE955" s="70"/>
      <c r="CF955" s="70"/>
      <c r="CG955" s="70"/>
      <c r="CH955" s="70"/>
      <c r="CI955" s="70"/>
      <c r="CJ955" s="70"/>
      <c r="CK955" s="70"/>
      <c r="CL955" s="70"/>
      <c r="CM955" s="70"/>
      <c r="CN955" s="70"/>
      <c r="CO955" s="70"/>
      <c r="CP955" s="70"/>
      <c r="CQ955" s="70"/>
      <c r="CR955" s="70"/>
      <c r="CS955" s="70"/>
      <c r="CT955" s="70"/>
      <c r="CU955" s="70"/>
      <c r="CV955" s="70"/>
      <c r="CW955" s="70"/>
      <c r="CX955" s="70"/>
      <c r="CY955" s="70"/>
      <c r="CZ955" s="70"/>
      <c r="DA955" s="70"/>
      <c r="DB955" s="70"/>
      <c r="DC955" s="70"/>
      <c r="DD955" s="70"/>
      <c r="DE955" s="70"/>
      <c r="DF955" s="70"/>
    </row>
    <row r="956" spans="1:110" s="14" customFormat="1" ht="12.95" customHeight="1">
      <c r="B956" s="73"/>
      <c r="C956" s="83"/>
      <c r="D956" s="1474" t="s">
        <v>326</v>
      </c>
      <c r="E956" s="1475"/>
      <c r="F956" s="1475"/>
      <c r="G956" s="1475"/>
      <c r="H956" s="1475"/>
      <c r="I956" s="1475"/>
      <c r="J956" s="1475"/>
      <c r="K956" s="1475"/>
      <c r="L956" s="1475"/>
      <c r="M956" s="1475"/>
      <c r="N956" s="1475"/>
      <c r="O956" s="1475"/>
      <c r="P956" s="1475"/>
      <c r="Q956" s="1476"/>
      <c r="R956" s="1515">
        <f>IF(ISNA(IF($BN$785="4%",(INDEX($BP$795:$BT$852,MATCH($CB$785,$BO$795:$BO$852,0),MATCH(D956,$BP$794:$BT$794,0))),(INDEX($BW$795:$CA$852,MATCH($CB$785,$BV$795:$BV$852,0),MATCH(D956,$BW$794:$CA$794,0))))),0,IF($BN$785="4%",(INDEX($BP$795:$BT$852,MATCH($CB$785,$BO$795:$BO$852,0),MATCH(D956,$BP$794:$BT$794,0))),(INDEX($BW$795:$CA$852,MATCH($CB$785,$BV$795:$BV$852,0),MATCH(D956,$BW$794:$CA$794,0)))))</f>
        <v>382666</v>
      </c>
      <c r="S956" s="1515"/>
      <c r="T956" s="1515"/>
      <c r="U956" s="1515"/>
      <c r="V956" s="1515"/>
      <c r="W956" s="1515"/>
      <c r="X956" s="1515"/>
      <c r="Y956" s="1515"/>
      <c r="Z956" s="1515"/>
      <c r="AA956" s="1515"/>
      <c r="AB956" s="1433">
        <f>BS649</f>
        <v>57</v>
      </c>
      <c r="AC956" s="1434"/>
      <c r="AD956" s="1434"/>
      <c r="AE956" s="1434"/>
      <c r="AF956" s="1434"/>
      <c r="AG956" s="1434"/>
      <c r="AH956" s="1434"/>
      <c r="AI956" s="1435"/>
      <c r="AJ956" s="1446">
        <f>IF(ISERROR((R956*AB956)),0,(R956*AB956))</f>
        <v>21811962</v>
      </c>
      <c r="AK956" s="1447"/>
      <c r="AL956" s="1447"/>
      <c r="AM956" s="1447"/>
      <c r="AN956" s="1447"/>
      <c r="AO956" s="1447"/>
      <c r="AP956" s="1447"/>
      <c r="AQ956" s="1448"/>
      <c r="AR956" s="68"/>
      <c r="AS956" s="68"/>
      <c r="AT956" s="68"/>
      <c r="AU956" s="68"/>
      <c r="AV956" s="68"/>
      <c r="AW956" s="68"/>
      <c r="AX956" s="68"/>
      <c r="AY956" s="68"/>
      <c r="CB956" s="70"/>
      <c r="CC956" s="70"/>
      <c r="CD956" s="70"/>
      <c r="CE956" s="70"/>
      <c r="CF956" s="70"/>
      <c r="CG956" s="70"/>
      <c r="CH956" s="70"/>
      <c r="CI956" s="70"/>
      <c r="CJ956" s="70"/>
      <c r="CK956" s="70"/>
      <c r="CL956" s="70"/>
      <c r="CM956" s="70"/>
      <c r="CN956" s="70"/>
      <c r="CO956" s="70"/>
      <c r="CP956" s="70"/>
      <c r="CQ956" s="70"/>
      <c r="CR956" s="70"/>
      <c r="CS956" s="70"/>
      <c r="CT956" s="70"/>
      <c r="CU956" s="70"/>
      <c r="CV956" s="70"/>
      <c r="CW956" s="70"/>
      <c r="CX956" s="70"/>
      <c r="CY956" s="70"/>
      <c r="CZ956" s="70"/>
      <c r="DA956" s="70"/>
      <c r="DB956" s="70"/>
      <c r="DC956" s="70"/>
      <c r="DD956" s="70"/>
      <c r="DE956" s="70"/>
      <c r="DF956" s="70"/>
    </row>
    <row r="957" spans="1:110" s="14" customFormat="1" ht="12.95" customHeight="1">
      <c r="B957" s="73"/>
      <c r="C957" s="83"/>
      <c r="D957" s="1474" t="s">
        <v>164</v>
      </c>
      <c r="E957" s="1475"/>
      <c r="F957" s="1475"/>
      <c r="G957" s="1475"/>
      <c r="H957" s="1475"/>
      <c r="I957" s="1475"/>
      <c r="J957" s="1475"/>
      <c r="K957" s="1475"/>
      <c r="L957" s="1475"/>
      <c r="M957" s="1475"/>
      <c r="N957" s="1475"/>
      <c r="O957" s="1475"/>
      <c r="P957" s="1475"/>
      <c r="Q957" s="1476"/>
      <c r="R957" s="1515">
        <f>IF(ISNA(IF($BN$785="4%",(INDEX($BP$795:$BT$852,MATCH($CB$785,$BO$795:$BO$852,0),MATCH(D957,$BP$794:$BT$794,0))),(INDEX($BW$795:$CA$852,MATCH($CB$785,$BV$795:$BV$852,0),MATCH(D957,$BW$794:$CA$794,0))))),0,IF($BN$785="4%",(INDEX($BP$795:$BT$852,MATCH($CB$785,$BO$795:$BO$852,0),MATCH(D957,$BP$794:$BT$794,0))),(INDEX($BW$795:$CA$852,MATCH($CB$785,$BV$795:$BV$852,0),MATCH(D957,$BW$794:$CA$794,0)))))</f>
        <v>461600</v>
      </c>
      <c r="S957" s="1515"/>
      <c r="T957" s="1515"/>
      <c r="U957" s="1515"/>
      <c r="V957" s="1515"/>
      <c r="W957" s="1515"/>
      <c r="X957" s="1515"/>
      <c r="Y957" s="1515"/>
      <c r="Z957" s="1515"/>
      <c r="AA957" s="1515"/>
      <c r="AB957" s="1433">
        <f>BX649</f>
        <v>69</v>
      </c>
      <c r="AC957" s="1434"/>
      <c r="AD957" s="1434"/>
      <c r="AE957" s="1434"/>
      <c r="AF957" s="1434"/>
      <c r="AG957" s="1434"/>
      <c r="AH957" s="1434"/>
      <c r="AI957" s="1435"/>
      <c r="AJ957" s="1446">
        <f>IF(ISERROR((R957*AB957)),0,(R957*AB957))</f>
        <v>31850400</v>
      </c>
      <c r="AK957" s="1447"/>
      <c r="AL957" s="1447"/>
      <c r="AM957" s="1447"/>
      <c r="AN957" s="1447"/>
      <c r="AO957" s="1447"/>
      <c r="AP957" s="1447"/>
      <c r="AQ957" s="1448"/>
      <c r="AR957" s="68"/>
      <c r="AS957" s="68"/>
      <c r="AT957" s="68"/>
      <c r="AU957" s="68"/>
      <c r="AV957" s="68"/>
      <c r="AW957" s="68"/>
      <c r="AX957" s="68"/>
      <c r="AY957" s="68"/>
      <c r="CB957" s="70"/>
      <c r="CC957" s="70"/>
      <c r="CD957" s="70"/>
      <c r="CE957" s="70"/>
      <c r="CF957" s="70"/>
      <c r="CG957" s="70"/>
      <c r="CH957" s="70"/>
      <c r="CI957" s="70"/>
      <c r="CJ957" s="70"/>
      <c r="CK957" s="70"/>
      <c r="CL957" s="70"/>
      <c r="CM957" s="70"/>
      <c r="CN957" s="70"/>
      <c r="CO957" s="70"/>
      <c r="CP957" s="70"/>
      <c r="CQ957" s="70"/>
      <c r="CR957" s="70"/>
      <c r="CS957" s="70"/>
      <c r="CT957" s="70"/>
      <c r="CU957" s="70"/>
      <c r="CV957" s="70"/>
      <c r="CW957" s="70"/>
      <c r="CX957" s="70"/>
      <c r="CY957" s="70"/>
      <c r="CZ957" s="70"/>
      <c r="DA957" s="70"/>
      <c r="DB957" s="70"/>
      <c r="DC957" s="70"/>
      <c r="DD957" s="70"/>
      <c r="DE957" s="70"/>
      <c r="DF957" s="70"/>
    </row>
    <row r="958" spans="1:110" s="14" customFormat="1" ht="12.95" customHeight="1">
      <c r="B958" s="73"/>
      <c r="C958" s="83"/>
      <c r="D958" s="1474" t="s">
        <v>165</v>
      </c>
      <c r="E958" s="1475"/>
      <c r="F958" s="1475"/>
      <c r="G958" s="1475"/>
      <c r="H958" s="1475"/>
      <c r="I958" s="1475"/>
      <c r="J958" s="1475"/>
      <c r="K958" s="1475"/>
      <c r="L958" s="1475"/>
      <c r="M958" s="1475"/>
      <c r="N958" s="1475"/>
      <c r="O958" s="1475"/>
      <c r="P958" s="1475"/>
      <c r="Q958" s="1476"/>
      <c r="R958" s="1515">
        <f>IF(ISNA(IF($BN$785="4%",(INDEX($BP$795:$BT$852,MATCH($CB$785,$BO$795:$BO$852,0),MATCH(D958,$BP$794:$BT$794,0))),(INDEX($BW$795:$CA$852,MATCH($CB$785,$BV$795:$BV$852,0),MATCH(D958,$BW$794:$CA$794,0))))),0,IF($BN$785="4%",(INDEX($BP$795:$BT$852,MATCH($CB$785,$BO$795:$BO$852,0),MATCH(D958,$BP$794:$BT$794,0))),(INDEX($BW$795:$CA$852,MATCH($CB$785,$BV$795:$BV$852,0),MATCH(D958,$BW$794:$CA$794,0)))))</f>
        <v>590848</v>
      </c>
      <c r="S958" s="1515"/>
      <c r="T958" s="1515"/>
      <c r="U958" s="1515"/>
      <c r="V958" s="1515"/>
      <c r="W958" s="1515"/>
      <c r="X958" s="1515"/>
      <c r="Y958" s="1515"/>
      <c r="Z958" s="1515"/>
      <c r="AA958" s="1515"/>
      <c r="AB958" s="1433">
        <f>CC649</f>
        <v>42</v>
      </c>
      <c r="AC958" s="1434"/>
      <c r="AD958" s="1434"/>
      <c r="AE958" s="1434"/>
      <c r="AF958" s="1434"/>
      <c r="AG958" s="1434"/>
      <c r="AH958" s="1434"/>
      <c r="AI958" s="1435"/>
      <c r="AJ958" s="1446">
        <f>IF(ISERROR((R958*AB958)),0,(R958*AB958))</f>
        <v>24815616</v>
      </c>
      <c r="AK958" s="1447"/>
      <c r="AL958" s="1447"/>
      <c r="AM958" s="1447"/>
      <c r="AN958" s="1447"/>
      <c r="AO958" s="1447"/>
      <c r="AP958" s="1447"/>
      <c r="AQ958" s="1448"/>
      <c r="AR958" s="68"/>
      <c r="AS958" s="68"/>
      <c r="AT958" s="68"/>
      <c r="AU958" s="68"/>
      <c r="AV958" s="68"/>
      <c r="AW958" s="68"/>
      <c r="AX958" s="68"/>
      <c r="AY958" s="68"/>
      <c r="CB958" s="70"/>
      <c r="CC958" s="70"/>
      <c r="CD958" s="70"/>
      <c r="CE958" s="70"/>
      <c r="CF958" s="70"/>
      <c r="CG958" s="70"/>
      <c r="CH958" s="70"/>
      <c r="CI958" s="70"/>
      <c r="CJ958" s="70"/>
      <c r="CK958" s="70"/>
      <c r="CL958" s="70"/>
      <c r="CM958" s="70"/>
      <c r="CN958" s="70"/>
      <c r="CO958" s="70"/>
      <c r="CP958" s="70"/>
      <c r="CQ958" s="70"/>
      <c r="CR958" s="70"/>
      <c r="CS958" s="70"/>
      <c r="CT958" s="70"/>
      <c r="CU958" s="70"/>
      <c r="CV958" s="70"/>
      <c r="CW958" s="70"/>
      <c r="CX958" s="70"/>
      <c r="CY958" s="70"/>
      <c r="CZ958" s="70"/>
      <c r="DA958" s="70"/>
      <c r="DB958" s="70"/>
      <c r="DC958" s="70"/>
      <c r="DD958" s="70"/>
      <c r="DE958" s="70"/>
      <c r="DF958" s="70"/>
    </row>
    <row r="959" spans="1:110" ht="12.95" customHeight="1">
      <c r="A959" s="14"/>
      <c r="B959" s="47"/>
      <c r="C959" s="78"/>
      <c r="D959" s="1474" t="s">
        <v>469</v>
      </c>
      <c r="E959" s="1475"/>
      <c r="F959" s="1475"/>
      <c r="G959" s="1475"/>
      <c r="H959" s="1475"/>
      <c r="I959" s="1475"/>
      <c r="J959" s="1475"/>
      <c r="K959" s="1475"/>
      <c r="L959" s="1475"/>
      <c r="M959" s="1475"/>
      <c r="N959" s="1475"/>
      <c r="O959" s="1475"/>
      <c r="P959" s="1475"/>
      <c r="Q959" s="1476"/>
      <c r="R959" s="1515">
        <f>IF(ISNA(IF($BN$785="4%",(INDEX($BP$795:$BT$852,MATCH($CB$785,$BO$795:$BO$852,0),MATCH(D959,$BP$794:$BT$794,0))),(INDEX($BW$795:$CA$852,MATCH($CB$785,$BV$795:$BV$852,0),MATCH(D959,$BW$794:$CA$794,0))))),0,IF($BN$785="4%",(INDEX($BP$795:$BT$852,MATCH($CB$785,$BO$795:$BO$852,0),MATCH(D959,$BP$794:$BT$794,0))),(INDEX($BW$795:$CA$852,MATCH($CB$785,$BV$795:$BV$852,0),MATCH(D959,$BW$794:$CA$794,0)))))</f>
        <v>658242</v>
      </c>
      <c r="S959" s="1515"/>
      <c r="T959" s="1515"/>
      <c r="U959" s="1515"/>
      <c r="V959" s="1515"/>
      <c r="W959" s="1515"/>
      <c r="X959" s="1515"/>
      <c r="Y959" s="1515"/>
      <c r="Z959" s="1515"/>
      <c r="AA959" s="1515"/>
      <c r="AB959" s="1433">
        <f>CM649+CH649</f>
        <v>0</v>
      </c>
      <c r="AC959" s="1434"/>
      <c r="AD959" s="1434"/>
      <c r="AE959" s="1434"/>
      <c r="AF959" s="1434"/>
      <c r="AG959" s="1434"/>
      <c r="AH959" s="1434"/>
      <c r="AI959" s="1435"/>
      <c r="AJ959" s="1446">
        <f>IF(ISERROR((R959*AB959)),0,(R959*AB959))</f>
        <v>0</v>
      </c>
      <c r="AK959" s="1447"/>
      <c r="AL959" s="1447"/>
      <c r="AM959" s="1447"/>
      <c r="AN959" s="1447"/>
      <c r="AO959" s="1447"/>
      <c r="AP959" s="1447"/>
      <c r="AQ959" s="1448"/>
      <c r="AR959" s="68"/>
      <c r="AS959" s="68"/>
      <c r="AT959" s="68"/>
      <c r="AU959" s="68"/>
      <c r="AV959" s="68"/>
      <c r="AW959" s="68"/>
      <c r="AX959" s="68"/>
      <c r="AY959" s="68"/>
      <c r="AZ959" s="30"/>
      <c r="BB959" s="14"/>
      <c r="BC959" s="14"/>
      <c r="BD959" s="14"/>
      <c r="BE959" s="14"/>
      <c r="BF959" s="14"/>
      <c r="BG959" s="14"/>
      <c r="BH959" s="14"/>
      <c r="BI959" s="14"/>
      <c r="BJ959" s="14"/>
      <c r="BK959" s="14"/>
      <c r="BL959" s="14"/>
      <c r="BM959" s="14"/>
      <c r="BN959" s="1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A960" s="14"/>
      <c r="B960" s="1494" t="s">
        <v>815</v>
      </c>
      <c r="C960" s="1495"/>
      <c r="D960" s="1495"/>
      <c r="E960" s="1495"/>
      <c r="F960" s="1495"/>
      <c r="G960" s="1495"/>
      <c r="H960" s="1495"/>
      <c r="I960" s="1495"/>
      <c r="J960" s="1495"/>
      <c r="K960" s="1495"/>
      <c r="L960" s="1495"/>
      <c r="M960" s="1495"/>
      <c r="N960" s="1495"/>
      <c r="O960" s="1495"/>
      <c r="P960" s="1495"/>
      <c r="Q960" s="1495"/>
      <c r="R960" s="1495"/>
      <c r="S960" s="1495"/>
      <c r="T960" s="1495"/>
      <c r="U960" s="1495"/>
      <c r="V960" s="1495"/>
      <c r="W960" s="1495"/>
      <c r="X960" s="1495"/>
      <c r="Y960" s="1495"/>
      <c r="Z960" s="1495"/>
      <c r="AA960" s="1496"/>
      <c r="AB960" s="1433">
        <f>SUM(AB955:AI959)</f>
        <v>168</v>
      </c>
      <c r="AC960" s="1434"/>
      <c r="AD960" s="1434"/>
      <c r="AE960" s="1434"/>
      <c r="AF960" s="1434"/>
      <c r="AG960" s="1434"/>
      <c r="AH960" s="1434"/>
      <c r="AI960" s="1435"/>
      <c r="AJ960" s="1446"/>
      <c r="AK960" s="1447"/>
      <c r="AL960" s="1447"/>
      <c r="AM960" s="1447"/>
      <c r="AN960" s="1447"/>
      <c r="AO960" s="1447"/>
      <c r="AP960" s="1447"/>
      <c r="AQ960" s="1448"/>
      <c r="AR960" s="68"/>
      <c r="AS960" s="68"/>
      <c r="AT960" s="68"/>
      <c r="AU960" s="68"/>
      <c r="AV960" s="68"/>
      <c r="AW960" s="68"/>
      <c r="AX960" s="68"/>
      <c r="AY960" s="68"/>
      <c r="AZ960" s="30"/>
      <c r="BB960" s="14"/>
      <c r="BC960" s="14"/>
      <c r="BD960" s="14"/>
      <c r="BE960" s="14"/>
      <c r="BF960" s="14"/>
      <c r="BG960" s="14"/>
      <c r="BH960" s="14"/>
      <c r="BI960" s="14"/>
      <c r="BJ960" s="14"/>
      <c r="BK960" s="14"/>
      <c r="BL960" s="14"/>
      <c r="BM960" s="14"/>
      <c r="BN960" s="1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10" ht="12.95" customHeight="1">
      <c r="A961" s="14"/>
      <c r="B961" s="1512" t="s">
        <v>521</v>
      </c>
      <c r="C961" s="1513"/>
      <c r="D961" s="1513"/>
      <c r="E961" s="1513"/>
      <c r="F961" s="1513"/>
      <c r="G961" s="1513"/>
      <c r="H961" s="1513"/>
      <c r="I961" s="1513"/>
      <c r="J961" s="1513"/>
      <c r="K961" s="1513"/>
      <c r="L961" s="1513"/>
      <c r="M961" s="1513"/>
      <c r="N961" s="1513"/>
      <c r="O961" s="1513"/>
      <c r="P961" s="1513"/>
      <c r="Q961" s="1513"/>
      <c r="R961" s="1513"/>
      <c r="S961" s="1513"/>
      <c r="T961" s="1513"/>
      <c r="U961" s="1513"/>
      <c r="V961" s="1513"/>
      <c r="W961" s="1513"/>
      <c r="X961" s="1513"/>
      <c r="Y961" s="1513"/>
      <c r="Z961" s="1513"/>
      <c r="AA961" s="1513"/>
      <c r="AB961" s="1513"/>
      <c r="AC961" s="1513"/>
      <c r="AD961" s="1513"/>
      <c r="AE961" s="1513"/>
      <c r="AF961" s="1513"/>
      <c r="AG961" s="1513"/>
      <c r="AH961" s="1513"/>
      <c r="AI961" s="1514"/>
      <c r="AJ961" s="1446">
        <f>SUM(AJ955:AQ959)</f>
        <v>78477978</v>
      </c>
      <c r="AK961" s="1447"/>
      <c r="AL961" s="1447"/>
      <c r="AM961" s="1447"/>
      <c r="AN961" s="1447"/>
      <c r="AO961" s="1447"/>
      <c r="AP961" s="1447"/>
      <c r="AQ961" s="1448"/>
      <c r="AR961" s="68"/>
      <c r="AS961" s="68"/>
      <c r="AT961" s="68"/>
      <c r="AU961" s="68"/>
      <c r="AV961" s="68"/>
      <c r="AW961" s="68"/>
      <c r="AX961" s="68"/>
      <c r="AY961" s="68"/>
      <c r="AZ961" s="30"/>
      <c r="BB961" s="14"/>
      <c r="BC961" s="14"/>
      <c r="BD961" s="14"/>
      <c r="BE961" s="14"/>
      <c r="BF961" s="14"/>
      <c r="BG961" s="14"/>
      <c r="BH961" s="14"/>
      <c r="BI961" s="14"/>
      <c r="BJ961" s="14"/>
      <c r="BK961" s="14"/>
      <c r="BL961" s="14"/>
      <c r="BM961" s="14"/>
      <c r="BN961" s="1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10" ht="12.95" customHeight="1">
      <c r="A962" s="14"/>
      <c r="B962" s="1449"/>
      <c r="C962" s="1450"/>
      <c r="D962" s="1450"/>
      <c r="E962" s="1450"/>
      <c r="F962" s="1450"/>
      <c r="G962" s="1450"/>
      <c r="H962" s="1450"/>
      <c r="I962" s="1450"/>
      <c r="J962" s="1450"/>
      <c r="K962" s="1450"/>
      <c r="L962" s="1450"/>
      <c r="M962" s="1450"/>
      <c r="N962" s="1450"/>
      <c r="O962" s="1450"/>
      <c r="P962" s="1450"/>
      <c r="Q962" s="1450"/>
      <c r="R962" s="1450"/>
      <c r="S962" s="1450"/>
      <c r="T962" s="1450"/>
      <c r="U962" s="1450"/>
      <c r="V962" s="1450"/>
      <c r="W962" s="1450"/>
      <c r="X962" s="1450"/>
      <c r="Y962" s="1450"/>
      <c r="Z962" s="1450"/>
      <c r="AA962" s="1450"/>
      <c r="AB962" s="1450"/>
      <c r="AC962" s="1450"/>
      <c r="AD962" s="1450"/>
      <c r="AE962" s="1451"/>
      <c r="AF962" s="1455" t="s">
        <v>675</v>
      </c>
      <c r="AG962" s="1456"/>
      <c r="AH962" s="1456"/>
      <c r="AI962" s="1457"/>
      <c r="AJ962" s="1449"/>
      <c r="AK962" s="1450"/>
      <c r="AL962" s="1450"/>
      <c r="AM962" s="1450"/>
      <c r="AN962" s="1450"/>
      <c r="AO962" s="1450"/>
      <c r="AP962" s="1450"/>
      <c r="AQ962" s="1451"/>
      <c r="AR962" s="68"/>
      <c r="AS962" s="68"/>
      <c r="AT962" s="68"/>
      <c r="AU962" s="68"/>
      <c r="AV962" s="68"/>
      <c r="AW962" s="68"/>
      <c r="AX962" s="68"/>
      <c r="AY962" s="68"/>
      <c r="AZ962" s="30"/>
      <c r="BB962" s="14"/>
      <c r="BC962" s="14"/>
      <c r="BD962" s="14"/>
      <c r="BE962" s="14"/>
      <c r="BF962" s="14"/>
      <c r="BG962" s="14"/>
      <c r="BH962" s="14"/>
      <c r="BI962" s="14"/>
      <c r="BJ962" s="14"/>
      <c r="BK962" s="14"/>
      <c r="BL962" s="14"/>
      <c r="BM962" s="14"/>
      <c r="BN962" s="1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10" ht="12.95" customHeight="1">
      <c r="A963" s="14"/>
      <c r="B963" s="73"/>
      <c r="C963" s="964" t="s">
        <v>677</v>
      </c>
      <c r="D963" s="1462" t="s">
        <v>1364</v>
      </c>
      <c r="E963" s="1463"/>
      <c r="F963" s="1463"/>
      <c r="G963" s="1463"/>
      <c r="H963" s="1463"/>
      <c r="I963" s="1463"/>
      <c r="J963" s="1463"/>
      <c r="K963" s="1463"/>
      <c r="L963" s="1463"/>
      <c r="M963" s="1463"/>
      <c r="N963" s="1463"/>
      <c r="O963" s="1463"/>
      <c r="P963" s="1463"/>
      <c r="Q963" s="1463"/>
      <c r="R963" s="1463"/>
      <c r="S963" s="1463"/>
      <c r="T963" s="1463"/>
      <c r="U963" s="1463"/>
      <c r="V963" s="1463"/>
      <c r="W963" s="1463"/>
      <c r="X963" s="1463"/>
      <c r="Y963" s="1463"/>
      <c r="Z963" s="1463"/>
      <c r="AA963" s="1463"/>
      <c r="AB963" s="1463"/>
      <c r="AC963" s="1463"/>
      <c r="AD963" s="1463"/>
      <c r="AE963" s="1464"/>
      <c r="AF963" s="79"/>
      <c r="AG963" s="1458" t="s">
        <v>678</v>
      </c>
      <c r="AH963" s="1459"/>
      <c r="AI963" s="87"/>
      <c r="AJ963" s="1485">
        <f>ROUND(IF(AND(AG963="yes",D965&gt;0),AJ961*0.2,0),0)</f>
        <v>0</v>
      </c>
      <c r="AK963" s="1486"/>
      <c r="AL963" s="1486"/>
      <c r="AM963" s="1486"/>
      <c r="AN963" s="1486"/>
      <c r="AO963" s="1486"/>
      <c r="AP963" s="1486"/>
      <c r="AQ963" s="1487"/>
      <c r="AR963" s="68"/>
      <c r="AS963" s="68"/>
      <c r="AT963" s="68"/>
      <c r="AU963" s="68"/>
      <c r="AV963" s="68"/>
      <c r="AW963" s="68"/>
      <c r="AX963" s="68"/>
      <c r="AY963" s="68"/>
      <c r="AZ963" s="30"/>
      <c r="BA963" s="34"/>
      <c r="BB963" s="14"/>
      <c r="BC963" s="14"/>
      <c r="BD963" s="14"/>
      <c r="BE963" s="14"/>
      <c r="BF963" s="14"/>
      <c r="BG963" s="14"/>
      <c r="BH963" s="14"/>
      <c r="BI963" s="14"/>
      <c r="BJ963" s="14"/>
      <c r="BK963" s="14"/>
      <c r="BL963" s="14"/>
      <c r="BM963" s="14"/>
      <c r="BN963" s="1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10" ht="66" customHeight="1">
      <c r="A964" s="14"/>
      <c r="B964" s="277"/>
      <c r="C964" s="276"/>
      <c r="D964" s="1497" t="s">
        <v>1365</v>
      </c>
      <c r="E964" s="1498"/>
      <c r="F964" s="1498"/>
      <c r="G964" s="1498"/>
      <c r="H964" s="1498"/>
      <c r="I964" s="1498"/>
      <c r="J964" s="1498"/>
      <c r="K964" s="1498"/>
      <c r="L964" s="1498"/>
      <c r="M964" s="1498"/>
      <c r="N964" s="1498"/>
      <c r="O964" s="1498"/>
      <c r="P964" s="1498"/>
      <c r="Q964" s="1498"/>
      <c r="R964" s="1498"/>
      <c r="S964" s="1498"/>
      <c r="T964" s="1498"/>
      <c r="U964" s="1498"/>
      <c r="V964" s="1498"/>
      <c r="W964" s="1498"/>
      <c r="X964" s="1498"/>
      <c r="Y964" s="1498"/>
      <c r="Z964" s="1498"/>
      <c r="AA964" s="1498"/>
      <c r="AB964" s="1498"/>
      <c r="AC964" s="1498"/>
      <c r="AD964" s="1498"/>
      <c r="AE964" s="1499"/>
      <c r="AF964" s="73"/>
      <c r="AG964" s="14"/>
      <c r="AH964" s="14"/>
      <c r="AI964" s="83"/>
      <c r="AJ964" s="1488"/>
      <c r="AK964" s="1489"/>
      <c r="AL964" s="1489"/>
      <c r="AM964" s="1489"/>
      <c r="AN964" s="1489"/>
      <c r="AO964" s="1489"/>
      <c r="AP964" s="1489"/>
      <c r="AQ964" s="1490"/>
      <c r="AR964" s="68"/>
      <c r="AS964" s="68"/>
      <c r="AT964" s="68"/>
      <c r="AU964" s="68"/>
      <c r="AV964" s="68"/>
      <c r="AW964" s="68"/>
      <c r="AX964" s="68"/>
      <c r="AY964" s="68"/>
      <c r="AZ964" s="30"/>
      <c r="BB964" s="14"/>
      <c r="BC964" s="14"/>
      <c r="BD964" s="14"/>
      <c r="BE964" s="14"/>
      <c r="BF964" s="14"/>
      <c r="BG964" s="14"/>
      <c r="BH964" s="14"/>
      <c r="BI964" s="14"/>
      <c r="BJ964" s="14"/>
      <c r="BK964" s="14"/>
      <c r="BL964" s="14"/>
      <c r="BM964" s="14"/>
      <c r="BN964" s="1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row>
    <row r="965" spans="1:110" ht="12.95" customHeight="1">
      <c r="A965" s="14"/>
      <c r="B965" s="277"/>
      <c r="C965" s="276"/>
      <c r="D965" s="1500"/>
      <c r="E965" s="1501"/>
      <c r="F965" s="1501"/>
      <c r="G965" s="1501"/>
      <c r="H965" s="1501"/>
      <c r="I965" s="1501"/>
      <c r="J965" s="1501"/>
      <c r="K965" s="1501"/>
      <c r="L965" s="1501"/>
      <c r="M965" s="1501"/>
      <c r="N965" s="1501"/>
      <c r="O965" s="1501"/>
      <c r="P965" s="1501"/>
      <c r="Q965" s="1501"/>
      <c r="R965" s="1501"/>
      <c r="S965" s="1501"/>
      <c r="T965" s="1501"/>
      <c r="U965" s="1501"/>
      <c r="V965" s="1501"/>
      <c r="W965" s="1501"/>
      <c r="X965" s="1501"/>
      <c r="Y965" s="1501"/>
      <c r="Z965" s="1501"/>
      <c r="AA965" s="1501"/>
      <c r="AB965" s="1501"/>
      <c r="AC965" s="1501"/>
      <c r="AD965" s="1501"/>
      <c r="AE965" s="1502"/>
      <c r="AF965" s="77"/>
      <c r="AG965" s="7"/>
      <c r="AH965" s="7"/>
      <c r="AI965" s="78"/>
      <c r="AJ965" s="1491"/>
      <c r="AK965" s="1492"/>
      <c r="AL965" s="1492"/>
      <c r="AM965" s="1492"/>
      <c r="AN965" s="1492"/>
      <c r="AO965" s="1492"/>
      <c r="AP965" s="1492"/>
      <c r="AQ965" s="1493"/>
      <c r="AR965" s="68"/>
      <c r="AS965" s="68"/>
      <c r="AT965" s="68"/>
      <c r="AU965" s="68"/>
      <c r="AV965" s="68"/>
      <c r="AW965" s="68"/>
      <c r="AX965" s="68"/>
      <c r="AY965" s="68"/>
      <c r="AZ965" s="34"/>
      <c r="BA965" s="34"/>
      <c r="BB965" s="14"/>
      <c r="BC965" s="14"/>
      <c r="BD965" s="14"/>
      <c r="BE965" s="14"/>
      <c r="BF965" s="1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row>
    <row r="966" spans="1:110" ht="12.95" customHeight="1">
      <c r="A966" s="14"/>
      <c r="B966" s="275"/>
      <c r="C966" s="345"/>
      <c r="D966" s="1452" t="s">
        <v>1450</v>
      </c>
      <c r="E966" s="1453"/>
      <c r="F966" s="1453"/>
      <c r="G966" s="1453"/>
      <c r="H966" s="1453"/>
      <c r="I966" s="1453"/>
      <c r="J966" s="1453"/>
      <c r="K966" s="1453"/>
      <c r="L966" s="1453"/>
      <c r="M966" s="1453"/>
      <c r="N966" s="1453"/>
      <c r="O966" s="1453"/>
      <c r="P966" s="1453"/>
      <c r="Q966" s="1453"/>
      <c r="R966" s="1453"/>
      <c r="S966" s="1453"/>
      <c r="T966" s="1453"/>
      <c r="U966" s="1453"/>
      <c r="V966" s="1453"/>
      <c r="W966" s="1453"/>
      <c r="X966" s="1453"/>
      <c r="Y966" s="1453"/>
      <c r="Z966" s="1453"/>
      <c r="AA966" s="1453"/>
      <c r="AB966" s="1453"/>
      <c r="AC966" s="1453"/>
      <c r="AD966" s="1453"/>
      <c r="AE966" s="1454"/>
      <c r="AF966" s="79"/>
      <c r="AG966" s="1460" t="s">
        <v>678</v>
      </c>
      <c r="AH966" s="1461"/>
      <c r="AI966" s="87"/>
      <c r="AJ966" s="1485">
        <f>ROUND(IF(AG966="yes",AJ961*0.05,0),0)</f>
        <v>0</v>
      </c>
      <c r="AK966" s="1486"/>
      <c r="AL966" s="1486"/>
      <c r="AM966" s="1486"/>
      <c r="AN966" s="1486"/>
      <c r="AO966" s="1486"/>
      <c r="AP966" s="1486"/>
      <c r="AQ966" s="1487"/>
      <c r="AR966" s="68"/>
      <c r="AS966" s="68"/>
      <c r="AT966" s="68"/>
      <c r="AU966" s="68"/>
      <c r="AV966" s="68"/>
      <c r="AW966" s="68"/>
      <c r="AX966" s="68"/>
      <c r="AY966" s="68"/>
      <c r="AZ966" s="34"/>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row>
    <row r="967" spans="1:110" ht="12.95" customHeight="1">
      <c r="A967" s="14"/>
      <c r="B967" s="277"/>
      <c r="C967" s="82"/>
      <c r="D967" s="1497" t="s">
        <v>1448</v>
      </c>
      <c r="E967" s="1498"/>
      <c r="F967" s="1498"/>
      <c r="G967" s="1498"/>
      <c r="H967" s="1498"/>
      <c r="I967" s="1498"/>
      <c r="J967" s="1498"/>
      <c r="K967" s="1498"/>
      <c r="L967" s="1498"/>
      <c r="M967" s="1498"/>
      <c r="N967" s="1498"/>
      <c r="O967" s="1498"/>
      <c r="P967" s="1498"/>
      <c r="Q967" s="1498"/>
      <c r="R967" s="1498"/>
      <c r="S967" s="1498"/>
      <c r="T967" s="1498"/>
      <c r="U967" s="1498"/>
      <c r="V967" s="1498"/>
      <c r="W967" s="1498"/>
      <c r="X967" s="1498"/>
      <c r="Y967" s="1498"/>
      <c r="Z967" s="1498"/>
      <c r="AA967" s="1498"/>
      <c r="AB967" s="1498"/>
      <c r="AC967" s="1498"/>
      <c r="AD967" s="1498"/>
      <c r="AE967" s="1499"/>
      <c r="AF967" s="73"/>
      <c r="AG967" s="14"/>
      <c r="AH967" s="14"/>
      <c r="AI967" s="83"/>
      <c r="AJ967" s="1488"/>
      <c r="AK967" s="1489"/>
      <c r="AL967" s="1489"/>
      <c r="AM967" s="1489"/>
      <c r="AN967" s="1489"/>
      <c r="AO967" s="1489"/>
      <c r="AP967" s="1489"/>
      <c r="AQ967" s="1490"/>
      <c r="AR967" s="68"/>
      <c r="AS967" s="68"/>
      <c r="AT967" s="68"/>
      <c r="AU967" s="68"/>
      <c r="AV967" s="68"/>
      <c r="AW967" s="68"/>
      <c r="AX967" s="68"/>
      <c r="AY967" s="68"/>
      <c r="AZ967" s="34"/>
      <c r="BA967" s="34"/>
      <c r="BB967" s="34"/>
      <c r="BC967" s="34"/>
      <c r="BD967" s="34"/>
      <c r="BE967" s="34"/>
      <c r="BF967" s="34"/>
      <c r="BG967" s="34"/>
      <c r="BH967" s="34"/>
      <c r="BI967" s="34"/>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row>
    <row r="968" spans="1:110" ht="12.95" customHeight="1">
      <c r="A968" s="14"/>
      <c r="B968" s="277"/>
      <c r="C968" s="82"/>
      <c r="D968" s="1497"/>
      <c r="E968" s="1498"/>
      <c r="F968" s="1498"/>
      <c r="G968" s="1498"/>
      <c r="H968" s="1498"/>
      <c r="I968" s="1498"/>
      <c r="J968" s="1498"/>
      <c r="K968" s="1498"/>
      <c r="L968" s="1498"/>
      <c r="M968" s="1498"/>
      <c r="N968" s="1498"/>
      <c r="O968" s="1498"/>
      <c r="P968" s="1498"/>
      <c r="Q968" s="1498"/>
      <c r="R968" s="1498"/>
      <c r="S968" s="1498"/>
      <c r="T968" s="1498"/>
      <c r="U968" s="1498"/>
      <c r="V968" s="1498"/>
      <c r="W968" s="1498"/>
      <c r="X968" s="1498"/>
      <c r="Y968" s="1498"/>
      <c r="Z968" s="1498"/>
      <c r="AA968" s="1498"/>
      <c r="AB968" s="1498"/>
      <c r="AC968" s="1498"/>
      <c r="AD968" s="1498"/>
      <c r="AE968" s="1499"/>
      <c r="AF968" s="73"/>
      <c r="AG968" s="14"/>
      <c r="AH968" s="14"/>
      <c r="AI968" s="83"/>
      <c r="AJ968" s="1488"/>
      <c r="AK968" s="1489"/>
      <c r="AL968" s="1489"/>
      <c r="AM968" s="1489"/>
      <c r="AN968" s="1489"/>
      <c r="AO968" s="1489"/>
      <c r="AP968" s="1489"/>
      <c r="AQ968" s="1490"/>
      <c r="AR968" s="68"/>
      <c r="AS968" s="68"/>
      <c r="AT968" s="68"/>
      <c r="AU968" s="68"/>
      <c r="AV968" s="68"/>
      <c r="AW968" s="68"/>
      <c r="AX968" s="68"/>
      <c r="AY968" s="68"/>
      <c r="AZ968" s="34"/>
      <c r="BA968" s="34"/>
      <c r="BB968" s="34"/>
      <c r="BC968" s="34"/>
      <c r="BD968" s="34"/>
      <c r="BE968" s="34"/>
      <c r="BF968" s="34"/>
      <c r="BG968" s="34"/>
      <c r="BH968" s="34"/>
      <c r="BI968" s="34"/>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row>
    <row r="969" spans="1:110" ht="12.95" customHeight="1">
      <c r="A969" s="14"/>
      <c r="B969" s="277"/>
      <c r="C969" s="82"/>
      <c r="D969" s="1497"/>
      <c r="E969" s="1498"/>
      <c r="F969" s="1498"/>
      <c r="G969" s="1498"/>
      <c r="H969" s="1498"/>
      <c r="I969" s="1498"/>
      <c r="J969" s="1498"/>
      <c r="K969" s="1498"/>
      <c r="L969" s="1498"/>
      <c r="M969" s="1498"/>
      <c r="N969" s="1498"/>
      <c r="O969" s="1498"/>
      <c r="P969" s="1498"/>
      <c r="Q969" s="1498"/>
      <c r="R969" s="1498"/>
      <c r="S969" s="1498"/>
      <c r="T969" s="1498"/>
      <c r="U969" s="1498"/>
      <c r="V969" s="1498"/>
      <c r="W969" s="1498"/>
      <c r="X969" s="1498"/>
      <c r="Y969" s="1498"/>
      <c r="Z969" s="1498"/>
      <c r="AA969" s="1498"/>
      <c r="AB969" s="1498"/>
      <c r="AC969" s="1498"/>
      <c r="AD969" s="1498"/>
      <c r="AE969" s="1499"/>
      <c r="AF969" s="73"/>
      <c r="AG969" s="14"/>
      <c r="AH969" s="14"/>
      <c r="AI969" s="83"/>
      <c r="AJ969" s="1488"/>
      <c r="AK969" s="1489"/>
      <c r="AL969" s="1489"/>
      <c r="AM969" s="1489"/>
      <c r="AN969" s="1489"/>
      <c r="AO969" s="1489"/>
      <c r="AP969" s="1489"/>
      <c r="AQ969" s="1490"/>
      <c r="AR969" s="68"/>
      <c r="AS969" s="68"/>
      <c r="AT969" s="68"/>
      <c r="AU969" s="68"/>
      <c r="AV969" s="68"/>
      <c r="AW969" s="68"/>
      <c r="AX969" s="68"/>
      <c r="AY969" s="68"/>
      <c r="AZ969" s="34"/>
      <c r="BA969" s="34"/>
      <c r="BB969" s="34"/>
      <c r="BC969" s="34"/>
      <c r="BD969" s="34"/>
      <c r="BE969" s="34"/>
      <c r="BF969" s="34"/>
      <c r="BG969" s="34"/>
      <c r="BH969" s="34"/>
      <c r="BI969" s="34"/>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row>
    <row r="970" spans="1:110" ht="12.95" customHeight="1">
      <c r="A970" s="14"/>
      <c r="B970" s="277"/>
      <c r="C970" s="82"/>
      <c r="D970" s="1497"/>
      <c r="E970" s="1498"/>
      <c r="F970" s="1498"/>
      <c r="G970" s="1498"/>
      <c r="H970" s="1498"/>
      <c r="I970" s="1498"/>
      <c r="J970" s="1498"/>
      <c r="K970" s="1498"/>
      <c r="L970" s="1498"/>
      <c r="M970" s="1498"/>
      <c r="N970" s="1498"/>
      <c r="O970" s="1498"/>
      <c r="P970" s="1498"/>
      <c r="Q970" s="1498"/>
      <c r="R970" s="1498"/>
      <c r="S970" s="1498"/>
      <c r="T970" s="1498"/>
      <c r="U970" s="1498"/>
      <c r="V970" s="1498"/>
      <c r="W970" s="1498"/>
      <c r="X970" s="1498"/>
      <c r="Y970" s="1498"/>
      <c r="Z970" s="1498"/>
      <c r="AA970" s="1498"/>
      <c r="AB970" s="1498"/>
      <c r="AC970" s="1498"/>
      <c r="AD970" s="1498"/>
      <c r="AE970" s="1499"/>
      <c r="AF970" s="73"/>
      <c r="AG970" s="14"/>
      <c r="AH970" s="14"/>
      <c r="AI970" s="83"/>
      <c r="AJ970" s="1488"/>
      <c r="AK970" s="1489"/>
      <c r="AL970" s="1489"/>
      <c r="AM970" s="1489"/>
      <c r="AN970" s="1489"/>
      <c r="AO970" s="1489"/>
      <c r="AP970" s="1489"/>
      <c r="AQ970" s="1490"/>
      <c r="AR970" s="68"/>
      <c r="AS970" s="68"/>
      <c r="AT970" s="68"/>
      <c r="AU970" s="68"/>
      <c r="AV970" s="68"/>
      <c r="AW970" s="68"/>
      <c r="AX970" s="68"/>
      <c r="AY970" s="68"/>
      <c r="AZ970" s="34"/>
      <c r="BA970" s="34"/>
      <c r="BB970" s="34"/>
      <c r="BC970" s="34"/>
      <c r="BD970" s="34"/>
      <c r="BE970" s="34"/>
      <c r="BF970" s="34"/>
      <c r="BG970" s="34"/>
      <c r="BH970" s="34"/>
      <c r="BI970" s="34"/>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row>
    <row r="971" spans="1:110" ht="12.95" customHeight="1">
      <c r="A971" s="14"/>
      <c r="B971" s="75"/>
      <c r="C971" s="76"/>
      <c r="D971" s="1503"/>
      <c r="E971" s="1504"/>
      <c r="F971" s="1504"/>
      <c r="G971" s="1504"/>
      <c r="H971" s="1504"/>
      <c r="I971" s="1504"/>
      <c r="J971" s="1504"/>
      <c r="K971" s="1504"/>
      <c r="L971" s="1504"/>
      <c r="M971" s="1504"/>
      <c r="N971" s="1504"/>
      <c r="O971" s="1504"/>
      <c r="P971" s="1504"/>
      <c r="Q971" s="1504"/>
      <c r="R971" s="1504"/>
      <c r="S971" s="1504"/>
      <c r="T971" s="1504"/>
      <c r="U971" s="1504"/>
      <c r="V971" s="1504"/>
      <c r="W971" s="1504"/>
      <c r="X971" s="1504"/>
      <c r="Y971" s="1504"/>
      <c r="Z971" s="1504"/>
      <c r="AA971" s="1504"/>
      <c r="AB971" s="1504"/>
      <c r="AC971" s="1504"/>
      <c r="AD971" s="1504"/>
      <c r="AE971" s="1505"/>
      <c r="AF971" s="77"/>
      <c r="AG971" s="7"/>
      <c r="AH971" s="7"/>
      <c r="AI971" s="78"/>
      <c r="AJ971" s="1491"/>
      <c r="AK971" s="1492"/>
      <c r="AL971" s="1492"/>
      <c r="AM971" s="1492"/>
      <c r="AN971" s="1492"/>
      <c r="AO971" s="1492"/>
      <c r="AP971" s="1492"/>
      <c r="AQ971" s="1493"/>
      <c r="AR971" s="68"/>
      <c r="AS971" s="68"/>
      <c r="AT971" s="68"/>
      <c r="AU971" s="68"/>
      <c r="AV971" s="68"/>
      <c r="AW971" s="68"/>
      <c r="AX971" s="68"/>
      <c r="AY971" s="68"/>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row>
    <row r="972" spans="1:110" ht="12.95" customHeight="1">
      <c r="A972" s="14"/>
      <c r="B972" s="275"/>
      <c r="C972" s="80" t="s">
        <v>681</v>
      </c>
      <c r="D972" s="1452" t="s">
        <v>1943</v>
      </c>
      <c r="E972" s="1453"/>
      <c r="F972" s="1453"/>
      <c r="G972" s="1453"/>
      <c r="H972" s="1453"/>
      <c r="I972" s="1453"/>
      <c r="J972" s="1453"/>
      <c r="K972" s="1453"/>
      <c r="L972" s="1453"/>
      <c r="M972" s="1453"/>
      <c r="N972" s="1453"/>
      <c r="O972" s="1453"/>
      <c r="P972" s="1453"/>
      <c r="Q972" s="1453"/>
      <c r="R972" s="1453"/>
      <c r="S972" s="1453"/>
      <c r="T972" s="1453"/>
      <c r="U972" s="1453"/>
      <c r="V972" s="1453"/>
      <c r="W972" s="1453"/>
      <c r="X972" s="1453"/>
      <c r="Y972" s="1453"/>
      <c r="Z972" s="1453"/>
      <c r="AA972" s="1453"/>
      <c r="AB972" s="1453"/>
      <c r="AC972" s="1453"/>
      <c r="AD972" s="1453"/>
      <c r="AE972" s="1454"/>
      <c r="AF972" s="86"/>
      <c r="AG972" s="1460" t="s">
        <v>678</v>
      </c>
      <c r="AH972" s="1461"/>
      <c r="AI972" s="87"/>
      <c r="AJ972" s="1485">
        <f>ROUND(IF(AG972="yes",AJ961*0.1,0),0)</f>
        <v>0</v>
      </c>
      <c r="AK972" s="1486"/>
      <c r="AL972" s="1486"/>
      <c r="AM972" s="1486"/>
      <c r="AN972" s="1486"/>
      <c r="AO972" s="1486"/>
      <c r="AP972" s="1486"/>
      <c r="AQ972" s="1487"/>
      <c r="AR972" s="68"/>
      <c r="AS972" s="68"/>
      <c r="AT972" s="68"/>
      <c r="AU972" s="68"/>
      <c r="AV972" s="68"/>
      <c r="AW972" s="68"/>
      <c r="AX972" s="68"/>
      <c r="AY972" s="68"/>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row>
    <row r="973" spans="1:110" ht="12.95" customHeight="1">
      <c r="A973" s="14"/>
      <c r="B973" s="73"/>
      <c r="C973" s="74"/>
      <c r="D973" s="1440" t="s">
        <v>1449</v>
      </c>
      <c r="E973" s="1441"/>
      <c r="F973" s="1441"/>
      <c r="G973" s="1441"/>
      <c r="H973" s="1441"/>
      <c r="I973" s="1441"/>
      <c r="J973" s="1441"/>
      <c r="K973" s="1441"/>
      <c r="L973" s="1441"/>
      <c r="M973" s="1441"/>
      <c r="N973" s="1441"/>
      <c r="O973" s="1441"/>
      <c r="P973" s="1441"/>
      <c r="Q973" s="1441"/>
      <c r="R973" s="1441"/>
      <c r="S973" s="1441"/>
      <c r="T973" s="1441"/>
      <c r="U973" s="1441"/>
      <c r="V973" s="1441"/>
      <c r="W973" s="1441"/>
      <c r="X973" s="1441"/>
      <c r="Y973" s="1441"/>
      <c r="Z973" s="1441"/>
      <c r="AA973" s="1441"/>
      <c r="AB973" s="1441"/>
      <c r="AC973" s="1441"/>
      <c r="AD973" s="1441"/>
      <c r="AE973" s="1442"/>
      <c r="AF973" s="73"/>
      <c r="AI973" s="83"/>
      <c r="AJ973" s="1488"/>
      <c r="AK973" s="1489"/>
      <c r="AL973" s="1489"/>
      <c r="AM973" s="1489"/>
      <c r="AN973" s="1489"/>
      <c r="AO973" s="1489"/>
      <c r="AP973" s="1489"/>
      <c r="AQ973" s="1490"/>
      <c r="AR973" s="68"/>
      <c r="AS973" s="68"/>
      <c r="AT973" s="68"/>
      <c r="AU973" s="68"/>
      <c r="AV973" s="68"/>
      <c r="AW973" s="68"/>
      <c r="AX973" s="68"/>
      <c r="AY973" s="68"/>
      <c r="AZ973" s="34"/>
      <c r="BA973" s="951">
        <f>G739+O782</f>
        <v>166</v>
      </c>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10" ht="12.95" customHeight="1">
      <c r="A974" s="14"/>
      <c r="B974" s="73"/>
      <c r="C974" s="74"/>
      <c r="D974" s="1440"/>
      <c r="E974" s="1441"/>
      <c r="F974" s="1441"/>
      <c r="G974" s="1441"/>
      <c r="H974" s="1441"/>
      <c r="I974" s="1441"/>
      <c r="J974" s="1441"/>
      <c r="K974" s="1441"/>
      <c r="L974" s="1441"/>
      <c r="M974" s="1441"/>
      <c r="N974" s="1441"/>
      <c r="O974" s="1441"/>
      <c r="P974" s="1441"/>
      <c r="Q974" s="1441"/>
      <c r="R974" s="1441"/>
      <c r="S974" s="1441"/>
      <c r="T974" s="1441"/>
      <c r="U974" s="1441"/>
      <c r="V974" s="1441"/>
      <c r="W974" s="1441"/>
      <c r="X974" s="1441"/>
      <c r="Y974" s="1441"/>
      <c r="Z974" s="1441"/>
      <c r="AA974" s="1441"/>
      <c r="AB974" s="1441"/>
      <c r="AC974" s="1441"/>
      <c r="AD974" s="1441"/>
      <c r="AE974" s="1442"/>
      <c r="AF974" s="73"/>
      <c r="AG974" s="14"/>
      <c r="AH974" s="14"/>
      <c r="AI974" s="83"/>
      <c r="AJ974" s="1488"/>
      <c r="AK974" s="1489"/>
      <c r="AL974" s="1489"/>
      <c r="AM974" s="1489"/>
      <c r="AN974" s="1489"/>
      <c r="AO974" s="1489"/>
      <c r="AP974" s="1489"/>
      <c r="AQ974" s="1490"/>
      <c r="AR974" s="68"/>
      <c r="AS974" s="68"/>
      <c r="AT974" s="68"/>
      <c r="AU974" s="68"/>
      <c r="AV974" s="68"/>
      <c r="AW974" s="68"/>
      <c r="AX974" s="68"/>
      <c r="AY974" s="68"/>
      <c r="AZ974" s="34"/>
      <c r="BA974" s="14"/>
      <c r="BB974" s="34"/>
      <c r="BC974" s="34"/>
      <c r="BD974" s="34"/>
      <c r="BE974" s="34"/>
      <c r="BF974" s="34"/>
      <c r="BH974" s="34"/>
      <c r="BI974" s="34"/>
      <c r="BJ974" s="34"/>
      <c r="BK974" s="34"/>
      <c r="BL974" s="34"/>
      <c r="BM974" s="34"/>
      <c r="BN974" s="34"/>
      <c r="BO974" s="34"/>
      <c r="BP974" s="34"/>
      <c r="BQ974" s="34"/>
      <c r="BR974" s="34"/>
      <c r="BS974" s="34"/>
      <c r="BT974" s="34"/>
      <c r="BU974" s="34"/>
      <c r="BV974" s="34"/>
      <c r="BW974" s="34"/>
      <c r="BX974" s="34"/>
      <c r="BY974" s="34"/>
      <c r="BZ974" s="34"/>
      <c r="CA974" s="34"/>
      <c r="CB974" s="34"/>
      <c r="CC974" s="34"/>
      <c r="CD974" s="34"/>
      <c r="CE974" s="34"/>
      <c r="CF974" s="34"/>
      <c r="CG974" s="34"/>
      <c r="CH974" s="34"/>
      <c r="CI974" s="34"/>
      <c r="CJ974" s="34"/>
      <c r="CK974" s="34"/>
      <c r="CL974" s="34"/>
      <c r="CM974" s="34"/>
      <c r="CN974" s="34"/>
      <c r="CO974" s="34"/>
      <c r="CP974" s="34"/>
      <c r="CQ974" s="34"/>
      <c r="CR974" s="34"/>
      <c r="CS974" s="34"/>
      <c r="CT974" s="34"/>
      <c r="CU974" s="34"/>
      <c r="CV974" s="34"/>
      <c r="CW974" s="34"/>
      <c r="CX974" s="34"/>
      <c r="CY974" s="34"/>
      <c r="CZ974" s="34"/>
      <c r="DA974" s="34"/>
      <c r="DB974" s="34"/>
      <c r="DC974" s="34"/>
      <c r="DD974" s="34"/>
      <c r="DE974" s="34"/>
      <c r="DF974" s="34"/>
    </row>
    <row r="975" spans="1:110" ht="12.95" customHeight="1">
      <c r="A975" s="14"/>
      <c r="B975" s="85"/>
      <c r="C975" s="76"/>
      <c r="D975" s="1465"/>
      <c r="E975" s="1466"/>
      <c r="F975" s="1466"/>
      <c r="G975" s="1466"/>
      <c r="H975" s="1466"/>
      <c r="I975" s="1466"/>
      <c r="J975" s="1466"/>
      <c r="K975" s="1466"/>
      <c r="L975" s="1466"/>
      <c r="M975" s="1466"/>
      <c r="N975" s="1466"/>
      <c r="O975" s="1466"/>
      <c r="P975" s="1466"/>
      <c r="Q975" s="1466"/>
      <c r="R975" s="1466"/>
      <c r="S975" s="1466"/>
      <c r="T975" s="1466"/>
      <c r="U975" s="1466"/>
      <c r="V975" s="1466"/>
      <c r="W975" s="1466"/>
      <c r="X975" s="1466"/>
      <c r="Y975" s="1466"/>
      <c r="Z975" s="1466"/>
      <c r="AA975" s="1466"/>
      <c r="AB975" s="1466"/>
      <c r="AC975" s="1466"/>
      <c r="AD975" s="1466"/>
      <c r="AE975" s="1467"/>
      <c r="AF975" s="77"/>
      <c r="AG975" s="7"/>
      <c r="AH975" s="7"/>
      <c r="AI975" s="78"/>
      <c r="AJ975" s="1491"/>
      <c r="AK975" s="1492"/>
      <c r="AL975" s="1492"/>
      <c r="AM975" s="1492"/>
      <c r="AN975" s="1492"/>
      <c r="AO975" s="1492"/>
      <c r="AP975" s="1492"/>
      <c r="AQ975" s="1493"/>
      <c r="AR975" s="68"/>
      <c r="AS975" s="68"/>
      <c r="AT975" s="68"/>
      <c r="AU975" s="68"/>
      <c r="AV975" s="68"/>
      <c r="AW975" s="68"/>
      <c r="AX975" s="68"/>
      <c r="AY975" s="68"/>
      <c r="AZ975" s="34"/>
      <c r="BA975" s="950">
        <f>ROUNDDOWN(X1013/I1013,2)</f>
        <v>0.3</v>
      </c>
      <c r="BB975" s="34"/>
      <c r="BC975" s="34"/>
      <c r="BD975" s="34"/>
      <c r="BE975" s="34"/>
      <c r="BF975" s="34"/>
      <c r="BH975" s="34"/>
      <c r="BI975" s="34"/>
      <c r="BJ975" s="34"/>
      <c r="BK975" s="34"/>
      <c r="BL975" s="34"/>
      <c r="BM975" s="34"/>
      <c r="BN975" s="34"/>
      <c r="BO975" s="34"/>
      <c r="BP975" s="34"/>
      <c r="BQ975" s="34"/>
      <c r="BR975" s="34"/>
      <c r="BS975" s="34"/>
      <c r="BT975" s="34"/>
      <c r="BU975" s="34"/>
      <c r="BV975" s="34"/>
      <c r="BW975" s="34"/>
      <c r="BX975" s="34"/>
      <c r="BY975" s="34"/>
      <c r="BZ975" s="34"/>
      <c r="CA975" s="34"/>
      <c r="CB975" s="34"/>
      <c r="CC975" s="34"/>
      <c r="CD975" s="34"/>
      <c r="CE975" s="34"/>
      <c r="CF975" s="34"/>
      <c r="CG975" s="34"/>
      <c r="CH975" s="34"/>
      <c r="CI975" s="34"/>
      <c r="CJ975" s="34"/>
      <c r="CK975" s="34"/>
      <c r="CL975" s="34"/>
      <c r="CM975" s="34"/>
      <c r="CN975" s="34"/>
      <c r="CO975" s="34"/>
      <c r="CP975" s="34"/>
      <c r="CQ975" s="34"/>
      <c r="CR975" s="34"/>
      <c r="CS975" s="34"/>
      <c r="CT975" s="34"/>
      <c r="CU975" s="34"/>
      <c r="CV975" s="34"/>
      <c r="CW975" s="34"/>
      <c r="CX975" s="34"/>
      <c r="CY975" s="34"/>
      <c r="CZ975" s="34"/>
      <c r="DA975" s="34"/>
      <c r="DB975" s="34"/>
      <c r="DC975" s="34"/>
      <c r="DD975" s="34"/>
      <c r="DE975" s="34"/>
      <c r="DF975" s="34"/>
    </row>
    <row r="976" spans="1:110" ht="12.95" customHeight="1">
      <c r="A976" s="14"/>
      <c r="B976" s="79"/>
      <c r="C976" s="80" t="s">
        <v>213</v>
      </c>
      <c r="D976" s="1452" t="s">
        <v>1451</v>
      </c>
      <c r="E976" s="1453"/>
      <c r="F976" s="1453"/>
      <c r="G976" s="1453"/>
      <c r="H976" s="1453"/>
      <c r="I976" s="1453"/>
      <c r="J976" s="1453"/>
      <c r="K976" s="1453"/>
      <c r="L976" s="1453"/>
      <c r="M976" s="1453"/>
      <c r="N976" s="1453"/>
      <c r="O976" s="1453"/>
      <c r="P976" s="1453"/>
      <c r="Q976" s="1453"/>
      <c r="R976" s="1453"/>
      <c r="S976" s="1453"/>
      <c r="T976" s="1453"/>
      <c r="U976" s="1453"/>
      <c r="V976" s="1453"/>
      <c r="W976" s="1453"/>
      <c r="X976" s="1453"/>
      <c r="Y976" s="1453"/>
      <c r="Z976" s="1453"/>
      <c r="AA976" s="1453"/>
      <c r="AB976" s="1453"/>
      <c r="AC976" s="1453"/>
      <c r="AD976" s="1453"/>
      <c r="AE976" s="1454"/>
      <c r="AF976" s="79"/>
      <c r="AG976" s="1460" t="s">
        <v>678</v>
      </c>
      <c r="AH976" s="1461"/>
      <c r="AI976" s="87"/>
      <c r="AJ976" s="1485">
        <f>ROUND(IF(AG976="yes",AJ961*0.02,0),0)</f>
        <v>0</v>
      </c>
      <c r="AK976" s="1486"/>
      <c r="AL976" s="1486"/>
      <c r="AM976" s="1486"/>
      <c r="AN976" s="1486"/>
      <c r="AO976" s="1486"/>
      <c r="AP976" s="1486"/>
      <c r="AQ976" s="1487"/>
      <c r="AR976" s="68"/>
      <c r="AS976" s="68"/>
      <c r="AT976" s="68"/>
      <c r="AU976" s="68"/>
      <c r="AV976" s="68"/>
      <c r="AW976" s="68"/>
      <c r="AX976" s="68"/>
      <c r="AY976" s="68"/>
      <c r="AZ976" s="34"/>
      <c r="BA976" s="950">
        <f>ROUNDDOWN(X1017/I1017,2)</f>
        <v>0.1</v>
      </c>
      <c r="BB976" s="34"/>
      <c r="BC976" s="34"/>
      <c r="BD976" s="34"/>
      <c r="BE976" s="34"/>
      <c r="BF976" s="34"/>
      <c r="BH976" s="34"/>
      <c r="BI976" s="34"/>
      <c r="BJ976" s="34"/>
      <c r="BK976" s="34"/>
      <c r="BL976" s="34"/>
      <c r="BM976" s="34"/>
      <c r="BN976" s="34"/>
      <c r="BO976" s="34"/>
      <c r="BP976" s="34"/>
      <c r="BQ976" s="34"/>
      <c r="BR976" s="34"/>
      <c r="BS976" s="34"/>
      <c r="BT976" s="34"/>
      <c r="BU976" s="34"/>
      <c r="BV976" s="34"/>
      <c r="BW976" s="34"/>
      <c r="BX976" s="34"/>
      <c r="BY976" s="34"/>
      <c r="BZ976" s="34"/>
      <c r="CA976" s="34"/>
      <c r="CB976" s="34"/>
      <c r="CC976" s="34"/>
      <c r="CD976" s="34"/>
      <c r="CE976" s="34"/>
      <c r="CF976" s="34"/>
      <c r="CG976" s="34"/>
      <c r="CH976" s="34"/>
      <c r="CI976" s="34"/>
      <c r="CJ976" s="34"/>
      <c r="CK976" s="34"/>
      <c r="CL976" s="34"/>
      <c r="CM976" s="34"/>
      <c r="CN976" s="34"/>
      <c r="CO976" s="34"/>
      <c r="CP976" s="34"/>
      <c r="CQ976" s="34"/>
      <c r="CR976" s="34"/>
      <c r="CS976" s="34"/>
      <c r="CT976" s="34"/>
      <c r="CU976" s="34"/>
      <c r="CV976" s="34"/>
      <c r="CW976" s="34"/>
      <c r="CX976" s="34"/>
      <c r="CY976" s="34"/>
      <c r="CZ976" s="34"/>
      <c r="DA976" s="34"/>
      <c r="DB976" s="34"/>
      <c r="DC976" s="34"/>
      <c r="DD976" s="34"/>
      <c r="DE976" s="34"/>
      <c r="DF976" s="34"/>
    </row>
    <row r="977" spans="1:58" ht="12.95" customHeight="1">
      <c r="A977" s="14"/>
      <c r="B977" s="73"/>
      <c r="C977" s="74"/>
      <c r="D977" s="1465" t="s">
        <v>1452</v>
      </c>
      <c r="E977" s="1466"/>
      <c r="F977" s="1466"/>
      <c r="G977" s="1466"/>
      <c r="H977" s="1466"/>
      <c r="I977" s="1466"/>
      <c r="J977" s="1466"/>
      <c r="K977" s="1466"/>
      <c r="L977" s="1466"/>
      <c r="M977" s="1466"/>
      <c r="N977" s="1466"/>
      <c r="O977" s="1466"/>
      <c r="P977" s="1466"/>
      <c r="Q977" s="1466"/>
      <c r="R977" s="1466"/>
      <c r="S977" s="1466"/>
      <c r="T977" s="1466"/>
      <c r="U977" s="1466"/>
      <c r="V977" s="1466"/>
      <c r="W977" s="1466"/>
      <c r="X977" s="1466"/>
      <c r="Y977" s="1466"/>
      <c r="Z977" s="1466"/>
      <c r="AA977" s="1466"/>
      <c r="AB977" s="1466"/>
      <c r="AC977" s="1466"/>
      <c r="AD977" s="1466"/>
      <c r="AE977" s="1467"/>
      <c r="AF977" s="77"/>
      <c r="AG977" s="7"/>
      <c r="AH977" s="7"/>
      <c r="AI977" s="78"/>
      <c r="AJ977" s="1491"/>
      <c r="AK977" s="1492"/>
      <c r="AL977" s="1492"/>
      <c r="AM977" s="1492"/>
      <c r="AN977" s="1492"/>
      <c r="AO977" s="1492"/>
      <c r="AP977" s="1492"/>
      <c r="AQ977" s="1493"/>
      <c r="AR977" s="68"/>
      <c r="AS977" s="68"/>
      <c r="AT977" s="68"/>
      <c r="AU977" s="68"/>
      <c r="AV977" s="68"/>
      <c r="AW977" s="68"/>
      <c r="AX977" s="68"/>
      <c r="AY977" s="68"/>
      <c r="BB977" s="34"/>
      <c r="BC977" s="34"/>
      <c r="BD977" s="34"/>
      <c r="BE977" s="34"/>
      <c r="BF977" s="34"/>
    </row>
    <row r="978" spans="1:58" ht="12.95" customHeight="1">
      <c r="A978" s="14"/>
      <c r="B978" s="79"/>
      <c r="C978" s="80" t="s">
        <v>216</v>
      </c>
      <c r="D978" s="1452" t="s">
        <v>1453</v>
      </c>
      <c r="E978" s="1453"/>
      <c r="F978" s="1453"/>
      <c r="G978" s="1453"/>
      <c r="H978" s="1453"/>
      <c r="I978" s="1453"/>
      <c r="J978" s="1453"/>
      <c r="K978" s="1453"/>
      <c r="L978" s="1453"/>
      <c r="M978" s="1453"/>
      <c r="N978" s="1453"/>
      <c r="O978" s="1453"/>
      <c r="P978" s="1453"/>
      <c r="Q978" s="1453"/>
      <c r="R978" s="1453"/>
      <c r="S978" s="1453"/>
      <c r="T978" s="1453"/>
      <c r="U978" s="1453"/>
      <c r="V978" s="1453"/>
      <c r="W978" s="1453"/>
      <c r="X978" s="1453"/>
      <c r="Y978" s="1453"/>
      <c r="Z978" s="1453"/>
      <c r="AA978" s="1453"/>
      <c r="AB978" s="1453"/>
      <c r="AC978" s="1453"/>
      <c r="AD978" s="1453"/>
      <c r="AE978" s="1454"/>
      <c r="AF978" s="79"/>
      <c r="AG978" s="1460" t="s">
        <v>678</v>
      </c>
      <c r="AH978" s="1461"/>
      <c r="AI978" s="79"/>
      <c r="AJ978" s="1485">
        <f>ROUND(IF(AG978="yes",AJ961*0.02,0),0)</f>
        <v>0</v>
      </c>
      <c r="AK978" s="1486"/>
      <c r="AL978" s="1486"/>
      <c r="AM978" s="1486"/>
      <c r="AN978" s="1486"/>
      <c r="AO978" s="1486"/>
      <c r="AP978" s="1486"/>
      <c r="AQ978" s="1487"/>
      <c r="AR978" s="68"/>
      <c r="AS978" s="68"/>
      <c r="AT978" s="68"/>
      <c r="AU978" s="68"/>
      <c r="AV978" s="68"/>
      <c r="AW978" s="68"/>
      <c r="AX978" s="68"/>
      <c r="AY978" s="68"/>
    </row>
    <row r="979" spans="1:58" ht="12.95" customHeight="1">
      <c r="A979" s="14"/>
      <c r="B979" s="73"/>
      <c r="C979" s="74"/>
      <c r="D979" s="1440" t="s">
        <v>1454</v>
      </c>
      <c r="E979" s="1441"/>
      <c r="F979" s="1441"/>
      <c r="G979" s="1441"/>
      <c r="H979" s="1441"/>
      <c r="I979" s="1441"/>
      <c r="J979" s="1441"/>
      <c r="K979" s="1441"/>
      <c r="L979" s="1441"/>
      <c r="M979" s="1441"/>
      <c r="N979" s="1441"/>
      <c r="O979" s="1441"/>
      <c r="P979" s="1441"/>
      <c r="Q979" s="1441"/>
      <c r="R979" s="1441"/>
      <c r="S979" s="1441"/>
      <c r="T979" s="1441"/>
      <c r="U979" s="1441"/>
      <c r="V979" s="1441"/>
      <c r="W979" s="1441"/>
      <c r="X979" s="1441"/>
      <c r="Y979" s="1441"/>
      <c r="Z979" s="1441"/>
      <c r="AA979" s="1441"/>
      <c r="AB979" s="1441"/>
      <c r="AC979" s="1441"/>
      <c r="AD979" s="1441"/>
      <c r="AE979" s="1442"/>
      <c r="AF979" s="73"/>
      <c r="AI979" s="14"/>
      <c r="AJ979" s="1488"/>
      <c r="AK979" s="1489"/>
      <c r="AL979" s="1489"/>
      <c r="AM979" s="1489"/>
      <c r="AN979" s="1489"/>
      <c r="AO979" s="1489"/>
      <c r="AP979" s="1489"/>
      <c r="AQ979" s="1490"/>
      <c r="AR979" s="68"/>
      <c r="AS979" s="68"/>
      <c r="AT979" s="68"/>
      <c r="AU979" s="68"/>
      <c r="AV979" s="68"/>
      <c r="AW979" s="68"/>
      <c r="AX979" s="68"/>
      <c r="AY979" s="68"/>
    </row>
    <row r="980" spans="1:58" ht="12.95" customHeight="1">
      <c r="A980" s="14"/>
      <c r="B980" s="75"/>
      <c r="C980" s="76"/>
      <c r="D980" s="1465"/>
      <c r="E980" s="1466"/>
      <c r="F980" s="1466"/>
      <c r="G980" s="1466"/>
      <c r="H980" s="1466"/>
      <c r="I980" s="1466"/>
      <c r="J980" s="1466"/>
      <c r="K980" s="1466"/>
      <c r="L980" s="1466"/>
      <c r="M980" s="1466"/>
      <c r="N980" s="1466"/>
      <c r="O980" s="1466"/>
      <c r="P980" s="1466"/>
      <c r="Q980" s="1466"/>
      <c r="R980" s="1466"/>
      <c r="S980" s="1466"/>
      <c r="T980" s="1466"/>
      <c r="U980" s="1466"/>
      <c r="V980" s="1466"/>
      <c r="W980" s="1466"/>
      <c r="X980" s="1466"/>
      <c r="Y980" s="1466"/>
      <c r="Z980" s="1466"/>
      <c r="AA980" s="1466"/>
      <c r="AB980" s="1466"/>
      <c r="AC980" s="1466"/>
      <c r="AD980" s="1466"/>
      <c r="AE980" s="1467"/>
      <c r="AF980" s="77"/>
      <c r="AG980" s="7"/>
      <c r="AH980" s="7"/>
      <c r="AI980" s="78"/>
      <c r="AJ980" s="1491"/>
      <c r="AK980" s="1492"/>
      <c r="AL980" s="1492"/>
      <c r="AM980" s="1492"/>
      <c r="AN980" s="1492"/>
      <c r="AO980" s="1492"/>
      <c r="AP980" s="1492"/>
      <c r="AQ980" s="1493"/>
      <c r="AR980" s="68"/>
      <c r="AS980" s="68"/>
      <c r="AT980" s="68"/>
      <c r="AU980" s="68"/>
      <c r="AV980" s="68"/>
      <c r="AW980" s="68"/>
      <c r="AX980" s="68"/>
      <c r="AY980" s="68"/>
    </row>
    <row r="981" spans="1:58" ht="12.95" customHeight="1">
      <c r="A981" s="14"/>
      <c r="B981" s="79"/>
      <c r="C981" s="80" t="s">
        <v>219</v>
      </c>
      <c r="D981" s="1462" t="s">
        <v>1455</v>
      </c>
      <c r="E981" s="1463"/>
      <c r="F981" s="1463"/>
      <c r="G981" s="1463"/>
      <c r="H981" s="1463"/>
      <c r="I981" s="1463"/>
      <c r="J981" s="1463"/>
      <c r="K981" s="1463"/>
      <c r="L981" s="1463"/>
      <c r="M981" s="1463"/>
      <c r="N981" s="1463"/>
      <c r="O981" s="1463"/>
      <c r="P981" s="1463"/>
      <c r="Q981" s="1463"/>
      <c r="R981" s="1463"/>
      <c r="S981" s="1463"/>
      <c r="T981" s="1463"/>
      <c r="U981" s="1463"/>
      <c r="V981" s="1463"/>
      <c r="W981" s="1463"/>
      <c r="X981" s="1463"/>
      <c r="Y981" s="1463"/>
      <c r="Z981" s="1463"/>
      <c r="AA981" s="1463"/>
      <c r="AB981" s="1463"/>
      <c r="AC981" s="1463"/>
      <c r="AD981" s="1463"/>
      <c r="AE981" s="1464"/>
      <c r="AF981" s="79"/>
      <c r="AG981" s="1460" t="s">
        <v>678</v>
      </c>
      <c r="AH981" s="1461"/>
      <c r="AI981" s="87"/>
      <c r="AJ981" s="1485">
        <f>IF(AG981="yes",AJ961*BA981,0)</f>
        <v>0</v>
      </c>
      <c r="AK981" s="1486"/>
      <c r="AL981" s="1486"/>
      <c r="AM981" s="1486"/>
      <c r="AN981" s="1486"/>
      <c r="AO981" s="1486"/>
      <c r="AP981" s="1486"/>
      <c r="AQ981" s="1487"/>
      <c r="AR981" s="68"/>
      <c r="AS981" s="68"/>
      <c r="AT981" s="68"/>
      <c r="AU981" s="68"/>
      <c r="AV981" s="68"/>
      <c r="AW981" s="68"/>
      <c r="AX981" s="68"/>
      <c r="AY981" s="68"/>
      <c r="BA981" s="215">
        <f>IF(SUM(BA983:BA991)&lt;=0.1,SUM(BA983:BA991),0.1)</f>
        <v>0</v>
      </c>
    </row>
    <row r="982" spans="1:58" ht="12.95" customHeight="1">
      <c r="A982" s="14"/>
      <c r="B982" s="73"/>
      <c r="C982" s="74"/>
      <c r="D982" s="1440" t="s">
        <v>1456</v>
      </c>
      <c r="E982" s="1441"/>
      <c r="F982" s="1441"/>
      <c r="G982" s="1441"/>
      <c r="H982" s="1441"/>
      <c r="I982" s="1441"/>
      <c r="J982" s="1441"/>
      <c r="K982" s="1441"/>
      <c r="L982" s="1441"/>
      <c r="M982" s="1441"/>
      <c r="N982" s="1441"/>
      <c r="O982" s="1441"/>
      <c r="P982" s="1441"/>
      <c r="Q982" s="1441"/>
      <c r="R982" s="1441"/>
      <c r="S982" s="1441"/>
      <c r="T982" s="1441"/>
      <c r="U982" s="1441"/>
      <c r="V982" s="1441"/>
      <c r="W982" s="1441"/>
      <c r="X982" s="1441"/>
      <c r="Y982" s="1441"/>
      <c r="Z982" s="1441"/>
      <c r="AA982" s="1441"/>
      <c r="AB982" s="1441"/>
      <c r="AC982" s="1441"/>
      <c r="AD982" s="1441"/>
      <c r="AE982" s="1442"/>
      <c r="AF982" s="73"/>
      <c r="AG982" s="14"/>
      <c r="AH982" s="14"/>
      <c r="AI982" s="83"/>
      <c r="AJ982" s="1488"/>
      <c r="AK982" s="1489"/>
      <c r="AL982" s="1489"/>
      <c r="AM982" s="1489"/>
      <c r="AN982" s="1489"/>
      <c r="AO982" s="1489"/>
      <c r="AP982" s="1489"/>
      <c r="AQ982" s="1490"/>
      <c r="AR982" s="68"/>
      <c r="AS982" s="68"/>
      <c r="AT982" s="68"/>
      <c r="AU982" s="68"/>
      <c r="AV982" s="68"/>
      <c r="AW982" s="68"/>
      <c r="AX982" s="68"/>
      <c r="AY982" s="68"/>
    </row>
    <row r="983" spans="1:58" ht="12.95" customHeight="1">
      <c r="A983" s="14"/>
      <c r="B983" s="73"/>
      <c r="C983" s="74"/>
      <c r="D983" s="1440"/>
      <c r="E983" s="1441"/>
      <c r="F983" s="1441"/>
      <c r="G983" s="1441"/>
      <c r="H983" s="1441"/>
      <c r="I983" s="1441"/>
      <c r="J983" s="1441"/>
      <c r="K983" s="1441"/>
      <c r="L983" s="1441"/>
      <c r="M983" s="1441"/>
      <c r="N983" s="1441"/>
      <c r="O983" s="1441"/>
      <c r="P983" s="1441"/>
      <c r="Q983" s="1441"/>
      <c r="R983" s="1441"/>
      <c r="S983" s="1441"/>
      <c r="T983" s="1441"/>
      <c r="U983" s="1441"/>
      <c r="V983" s="1441"/>
      <c r="W983" s="1441"/>
      <c r="X983" s="1441"/>
      <c r="Y983" s="1441"/>
      <c r="Z983" s="1441"/>
      <c r="AA983" s="1441"/>
      <c r="AB983" s="1441"/>
      <c r="AC983" s="1441"/>
      <c r="AD983" s="1441"/>
      <c r="AE983" s="1442"/>
      <c r="AF983" s="73"/>
      <c r="AG983" s="14"/>
      <c r="AH983" s="14"/>
      <c r="AI983" s="83"/>
      <c r="AJ983" s="1488"/>
      <c r="AK983" s="1489"/>
      <c r="AL983" s="1489"/>
      <c r="AM983" s="1489"/>
      <c r="AN983" s="1489"/>
      <c r="AO983" s="1489"/>
      <c r="AP983" s="1489"/>
      <c r="AQ983" s="1490"/>
      <c r="AR983" s="68"/>
      <c r="AS983" s="68"/>
      <c r="AT983" s="68"/>
      <c r="AU983" s="68"/>
      <c r="AV983" s="68"/>
      <c r="AW983" s="68"/>
      <c r="AX983" s="68"/>
      <c r="AY983" s="68"/>
      <c r="BA983" s="213">
        <f>IF(A1030="Yes",0.05,0)</f>
        <v>0</v>
      </c>
    </row>
    <row r="984" spans="1:58" ht="12.95" customHeight="1">
      <c r="A984" s="14"/>
      <c r="B984" s="81"/>
      <c r="C984" s="82"/>
      <c r="D984" s="1465"/>
      <c r="E984" s="1466"/>
      <c r="F984" s="1466"/>
      <c r="G984" s="1466"/>
      <c r="H984" s="1466"/>
      <c r="I984" s="1466"/>
      <c r="J984" s="1466"/>
      <c r="K984" s="1466"/>
      <c r="L984" s="1466"/>
      <c r="M984" s="1466"/>
      <c r="N984" s="1466"/>
      <c r="O984" s="1466"/>
      <c r="P984" s="1466"/>
      <c r="Q984" s="1466"/>
      <c r="R984" s="1466"/>
      <c r="S984" s="1466"/>
      <c r="T984" s="1466"/>
      <c r="U984" s="1466"/>
      <c r="V984" s="1466"/>
      <c r="W984" s="1466"/>
      <c r="X984" s="1466"/>
      <c r="Y984" s="1466"/>
      <c r="Z984" s="1466"/>
      <c r="AA984" s="1466"/>
      <c r="AB984" s="1466"/>
      <c r="AC984" s="1466"/>
      <c r="AD984" s="1466"/>
      <c r="AE984" s="1467"/>
      <c r="AF984" s="77"/>
      <c r="AG984" s="7"/>
      <c r="AH984" s="7"/>
      <c r="AI984" s="78"/>
      <c r="AJ984" s="1491"/>
      <c r="AK984" s="1492"/>
      <c r="AL984" s="1492"/>
      <c r="AM984" s="1492"/>
      <c r="AN984" s="1492"/>
      <c r="AO984" s="1492"/>
      <c r="AP984" s="1492"/>
      <c r="AQ984" s="1493"/>
      <c r="AR984" s="68"/>
      <c r="AS984" s="68"/>
      <c r="AT984" s="68"/>
      <c r="AU984" s="68"/>
      <c r="AV984" s="68"/>
      <c r="AW984" s="68"/>
      <c r="AX984" s="68"/>
      <c r="AY984" s="68"/>
      <c r="BA984" s="213">
        <f>IF(A1036="Yes",0.02,0)</f>
        <v>0</v>
      </c>
    </row>
    <row r="985" spans="1:58" ht="12.95" customHeight="1">
      <c r="A985" s="14"/>
      <c r="B985" s="79"/>
      <c r="C985" s="80" t="s">
        <v>224</v>
      </c>
      <c r="D985" s="1506" t="s">
        <v>1457</v>
      </c>
      <c r="E985" s="1507"/>
      <c r="F985" s="1507"/>
      <c r="G985" s="1507"/>
      <c r="H985" s="1507"/>
      <c r="I985" s="1507"/>
      <c r="J985" s="1507"/>
      <c r="K985" s="1507"/>
      <c r="L985" s="1507"/>
      <c r="M985" s="1507"/>
      <c r="N985" s="1507"/>
      <c r="O985" s="1507"/>
      <c r="P985" s="1507"/>
      <c r="Q985" s="1507"/>
      <c r="R985" s="1507"/>
      <c r="S985" s="1507"/>
      <c r="T985" s="1507"/>
      <c r="U985" s="1507"/>
      <c r="V985" s="1507"/>
      <c r="W985" s="1507"/>
      <c r="X985" s="1507"/>
      <c r="Y985" s="1507"/>
      <c r="Z985" s="1507"/>
      <c r="AA985" s="1507"/>
      <c r="AB985" s="1507"/>
      <c r="AC985" s="1507"/>
      <c r="AD985" s="1507"/>
      <c r="AE985" s="1508"/>
      <c r="AF985" s="79"/>
      <c r="AG985" s="1460" t="s">
        <v>678</v>
      </c>
      <c r="AH985" s="1461"/>
      <c r="AI985" s="87"/>
      <c r="AJ985" s="1485">
        <f>ROUND(IF(AG985="Yes",MIN(AF988,(0.15*AJ961)),0),0)</f>
        <v>0</v>
      </c>
      <c r="AK985" s="1486"/>
      <c r="AL985" s="1486"/>
      <c r="AM985" s="1486"/>
      <c r="AN985" s="1486"/>
      <c r="AO985" s="1486"/>
      <c r="AP985" s="1486"/>
      <c r="AQ985" s="1487"/>
      <c r="AR985" s="68"/>
      <c r="AS985" s="68"/>
      <c r="AT985" s="68"/>
      <c r="AU985" s="68"/>
      <c r="AV985" s="68"/>
      <c r="AW985" s="68"/>
      <c r="AX985" s="68"/>
      <c r="AY985" s="68"/>
      <c r="BA985" s="213">
        <f>IF(A1042="Yes",0.04,0)</f>
        <v>0</v>
      </c>
    </row>
    <row r="986" spans="1:58" ht="12.95" customHeight="1">
      <c r="A986" s="14"/>
      <c r="B986" s="81"/>
      <c r="C986" s="84"/>
      <c r="D986" s="1509"/>
      <c r="E986" s="1510"/>
      <c r="F986" s="1510"/>
      <c r="G986" s="1510"/>
      <c r="H986" s="1510"/>
      <c r="I986" s="1510"/>
      <c r="J986" s="1510"/>
      <c r="K986" s="1510"/>
      <c r="L986" s="1510"/>
      <c r="M986" s="1510"/>
      <c r="N986" s="1510"/>
      <c r="O986" s="1510"/>
      <c r="P986" s="1510"/>
      <c r="Q986" s="1510"/>
      <c r="R986" s="1510"/>
      <c r="S986" s="1510"/>
      <c r="T986" s="1510"/>
      <c r="U986" s="1510"/>
      <c r="V986" s="1510"/>
      <c r="W986" s="1510"/>
      <c r="X986" s="1510"/>
      <c r="Y986" s="1510"/>
      <c r="Z986" s="1510"/>
      <c r="AA986" s="1510"/>
      <c r="AB986" s="1510"/>
      <c r="AC986" s="1510"/>
      <c r="AD986" s="1510"/>
      <c r="AE986" s="1511"/>
      <c r="AF986" s="1468" t="str">
        <f>IF(AG985="yes","Please Select Type and Enter Amount:","")</f>
        <v/>
      </c>
      <c r="AG986" s="1469"/>
      <c r="AH986" s="1469"/>
      <c r="AI986" s="1470"/>
      <c r="AJ986" s="1488"/>
      <c r="AK986" s="1489"/>
      <c r="AL986" s="1489"/>
      <c r="AM986" s="1489"/>
      <c r="AN986" s="1489"/>
      <c r="AO986" s="1489"/>
      <c r="AP986" s="1489"/>
      <c r="AQ986" s="1490"/>
      <c r="AR986" s="68"/>
      <c r="AS986" s="68"/>
      <c r="AT986" s="68"/>
      <c r="AU986" s="68"/>
      <c r="AV986" s="68"/>
      <c r="AW986" s="68"/>
      <c r="AX986" s="68"/>
      <c r="AY986" s="68"/>
      <c r="BA986" s="213">
        <f>IF(A1049="Yes",0.04,0)</f>
        <v>0</v>
      </c>
    </row>
    <row r="987" spans="1:58" ht="12.95" customHeight="1">
      <c r="A987" s="14"/>
      <c r="B987" s="81"/>
      <c r="C987" s="84"/>
      <c r="D987" s="1440" t="s">
        <v>1458</v>
      </c>
      <c r="E987" s="1441"/>
      <c r="F987" s="1441"/>
      <c r="G987" s="1441"/>
      <c r="H987" s="1441"/>
      <c r="I987" s="1441"/>
      <c r="J987" s="1441"/>
      <c r="K987" s="1441"/>
      <c r="L987" s="1441"/>
      <c r="M987" s="1441"/>
      <c r="N987" s="1441"/>
      <c r="O987" s="1441"/>
      <c r="P987" s="1441"/>
      <c r="Q987" s="1441"/>
      <c r="R987" s="1441"/>
      <c r="S987" s="1441"/>
      <c r="T987" s="1441"/>
      <c r="U987" s="1441"/>
      <c r="V987" s="1441"/>
      <c r="W987" s="1441"/>
      <c r="X987" s="1441"/>
      <c r="Y987" s="1441"/>
      <c r="Z987" s="1441"/>
      <c r="AA987" s="1441"/>
      <c r="AB987" s="1441"/>
      <c r="AC987" s="1441"/>
      <c r="AD987" s="1441"/>
      <c r="AE987" s="1442"/>
      <c r="AF987" s="1468"/>
      <c r="AG987" s="1469"/>
      <c r="AH987" s="1469"/>
      <c r="AI987" s="1470"/>
      <c r="AJ987" s="1488"/>
      <c r="AK987" s="1489"/>
      <c r="AL987" s="1489"/>
      <c r="AM987" s="1489"/>
      <c r="AN987" s="1489"/>
      <c r="AO987" s="1489"/>
      <c r="AP987" s="1489"/>
      <c r="AQ987" s="1490"/>
      <c r="AR987" s="68"/>
      <c r="AS987" s="68"/>
      <c r="AT987" s="68"/>
      <c r="AU987" s="68"/>
      <c r="AV987" s="68"/>
      <c r="AW987" s="68"/>
      <c r="AX987" s="68"/>
      <c r="AY987" s="68"/>
      <c r="BA987" s="213">
        <f>IF(A1052="Yes",0.01,0)</f>
        <v>0</v>
      </c>
    </row>
    <row r="988" spans="1:58" ht="12.95" customHeight="1">
      <c r="A988" s="14"/>
      <c r="B988" s="81"/>
      <c r="C988" s="84"/>
      <c r="D988" s="1440"/>
      <c r="E988" s="1441"/>
      <c r="F988" s="1441"/>
      <c r="G988" s="1441"/>
      <c r="H988" s="1441"/>
      <c r="I988" s="1441"/>
      <c r="J988" s="1441"/>
      <c r="K988" s="1441"/>
      <c r="L988" s="1441"/>
      <c r="M988" s="1441"/>
      <c r="N988" s="1441"/>
      <c r="O988" s="1441"/>
      <c r="P988" s="1441"/>
      <c r="Q988" s="1441"/>
      <c r="R988" s="1441"/>
      <c r="S988" s="1441"/>
      <c r="T988" s="1441"/>
      <c r="U988" s="1441"/>
      <c r="V988" s="1441"/>
      <c r="W988" s="1441"/>
      <c r="X988" s="1441"/>
      <c r="Y988" s="1441"/>
      <c r="Z988" s="1441"/>
      <c r="AA988" s="1441"/>
      <c r="AB988" s="1441"/>
      <c r="AC988" s="1441"/>
      <c r="AD988" s="1441"/>
      <c r="AE988" s="1442"/>
      <c r="AF988" s="1432"/>
      <c r="AG988" s="1432"/>
      <c r="AH988" s="1432"/>
      <c r="AI988" s="1432"/>
      <c r="AJ988" s="1488"/>
      <c r="AK988" s="1489"/>
      <c r="AL988" s="1489"/>
      <c r="AM988" s="1489"/>
      <c r="AN988" s="1489"/>
      <c r="AO988" s="1489"/>
      <c r="AP988" s="1489"/>
      <c r="AQ988" s="1490"/>
      <c r="AR988" s="68"/>
      <c r="AS988" s="68"/>
      <c r="AT988" s="68"/>
      <c r="AU988" s="68"/>
      <c r="AV988" s="68"/>
      <c r="AW988" s="68"/>
      <c r="AX988" s="68"/>
      <c r="AY988" s="68"/>
      <c r="BA988" s="213">
        <f>IF(A1057="Yes",0.01,0)</f>
        <v>0</v>
      </c>
    </row>
    <row r="989" spans="1:58" ht="12.95" customHeight="1">
      <c r="A989" s="14"/>
      <c r="B989" s="81"/>
      <c r="C989" s="84"/>
      <c r="D989" s="561" t="s">
        <v>360</v>
      </c>
      <c r="E989" s="90"/>
      <c r="F989" s="90"/>
      <c r="G989" s="104"/>
      <c r="H989" s="104"/>
      <c r="I989" s="49"/>
      <c r="J989" s="1443" t="s">
        <v>600</v>
      </c>
      <c r="K989" s="1444"/>
      <c r="L989" s="1444"/>
      <c r="M989" s="1444"/>
      <c r="N989" s="1444"/>
      <c r="O989" s="1444"/>
      <c r="P989" s="1444"/>
      <c r="Q989" s="1444"/>
      <c r="R989" s="1444"/>
      <c r="S989" s="1444"/>
      <c r="T989" s="1444"/>
      <c r="U989" s="1444"/>
      <c r="V989" s="1444"/>
      <c r="W989" s="1444"/>
      <c r="X989" s="1444"/>
      <c r="Y989" s="1444"/>
      <c r="Z989" s="1444"/>
      <c r="AA989" s="1444"/>
      <c r="AB989" s="1444"/>
      <c r="AC989" s="1444"/>
      <c r="AD989" s="1444"/>
      <c r="AE989" s="1445"/>
      <c r="AF989" s="1432"/>
      <c r="AG989" s="1432"/>
      <c r="AH989" s="1432"/>
      <c r="AI989" s="1432"/>
      <c r="AJ989" s="1491"/>
      <c r="AK989" s="1492"/>
      <c r="AL989" s="1492"/>
      <c r="AM989" s="1492"/>
      <c r="AN989" s="1492"/>
      <c r="AO989" s="1492"/>
      <c r="AP989" s="1492"/>
      <c r="AQ989" s="1493"/>
      <c r="AR989" s="68"/>
      <c r="AS989" s="68"/>
      <c r="AT989" s="68"/>
      <c r="AU989" s="68"/>
      <c r="AV989" s="68"/>
      <c r="AW989" s="68"/>
      <c r="AX989" s="68"/>
      <c r="AY989" s="68"/>
      <c r="BA989" s="213">
        <f>IF(A1060="Yes",0.01,0)</f>
        <v>0</v>
      </c>
    </row>
    <row r="990" spans="1:58" ht="12.95" customHeight="1">
      <c r="A990" s="14"/>
      <c r="B990" s="79"/>
      <c r="C990" s="80" t="s">
        <v>230</v>
      </c>
      <c r="D990" s="1452" t="s">
        <v>1459</v>
      </c>
      <c r="E990" s="1453"/>
      <c r="F990" s="1453"/>
      <c r="G990" s="1453"/>
      <c r="H990" s="1453"/>
      <c r="I990" s="1453"/>
      <c r="J990" s="1453"/>
      <c r="K990" s="1453"/>
      <c r="L990" s="1453"/>
      <c r="M990" s="1453"/>
      <c r="N990" s="1453"/>
      <c r="O990" s="1453"/>
      <c r="P990" s="1453"/>
      <c r="Q990" s="1453"/>
      <c r="R990" s="1453"/>
      <c r="S990" s="1453"/>
      <c r="T990" s="1453"/>
      <c r="U990" s="1453"/>
      <c r="V990" s="1453"/>
      <c r="W990" s="1453"/>
      <c r="X990" s="1453"/>
      <c r="Y990" s="1453"/>
      <c r="Z990" s="1453"/>
      <c r="AA990" s="1453"/>
      <c r="AB990" s="1453"/>
      <c r="AC990" s="1453"/>
      <c r="AD990" s="1453"/>
      <c r="AE990" s="1454"/>
      <c r="AF990" s="79"/>
      <c r="AG990" s="1460" t="s">
        <v>554</v>
      </c>
      <c r="AH990" s="1461"/>
      <c r="AI990" s="87"/>
      <c r="AJ990" s="1485">
        <f>ROUND(IF(AG990="Yes",AF992,0),0)</f>
        <v>8225287</v>
      </c>
      <c r="AK990" s="1486"/>
      <c r="AL990" s="1486"/>
      <c r="AM990" s="1486"/>
      <c r="AN990" s="1486"/>
      <c r="AO990" s="1486"/>
      <c r="AP990" s="1486"/>
      <c r="AQ990" s="1487"/>
      <c r="AR990" s="68"/>
      <c r="AS990" s="68"/>
      <c r="AT990" s="68"/>
      <c r="AU990" s="68"/>
      <c r="AV990" s="68"/>
      <c r="AW990" s="68"/>
      <c r="AX990" s="68"/>
      <c r="AY990" s="68"/>
      <c r="BA990" s="213">
        <f>IF(A1064="Yes",0.02,0)</f>
        <v>0</v>
      </c>
    </row>
    <row r="991" spans="1:58" ht="12.95" customHeight="1">
      <c r="A991" s="14"/>
      <c r="B991" s="73"/>
      <c r="C991" s="74"/>
      <c r="D991" s="1440" t="s">
        <v>1950</v>
      </c>
      <c r="E991" s="1441"/>
      <c r="F991" s="1441"/>
      <c r="G991" s="1441"/>
      <c r="H991" s="1441"/>
      <c r="I991" s="1441"/>
      <c r="J991" s="1441"/>
      <c r="K991" s="1441"/>
      <c r="L991" s="1441"/>
      <c r="M991" s="1441"/>
      <c r="N991" s="1441"/>
      <c r="O991" s="1441"/>
      <c r="P991" s="1441"/>
      <c r="Q991" s="1441"/>
      <c r="R991" s="1441"/>
      <c r="S991" s="1441"/>
      <c r="T991" s="1441"/>
      <c r="U991" s="1441"/>
      <c r="V991" s="1441"/>
      <c r="W991" s="1441"/>
      <c r="X991" s="1441"/>
      <c r="Y991" s="1441"/>
      <c r="Z991" s="1441"/>
      <c r="AA991" s="1441"/>
      <c r="AB991" s="1441"/>
      <c r="AC991" s="1441"/>
      <c r="AD991" s="1441"/>
      <c r="AE991" s="1442"/>
      <c r="AF991" s="1471" t="str">
        <f>IF(AG990="yes","Enter Amount:","")</f>
        <v>Enter Amount:</v>
      </c>
      <c r="AG991" s="1472"/>
      <c r="AH991" s="1472"/>
      <c r="AI991" s="1473"/>
      <c r="AJ991" s="1488"/>
      <c r="AK991" s="1489"/>
      <c r="AL991" s="1489"/>
      <c r="AM991" s="1489"/>
      <c r="AN991" s="1489"/>
      <c r="AO991" s="1489"/>
      <c r="AP991" s="1489"/>
      <c r="AQ991" s="1490"/>
      <c r="AR991" s="68"/>
      <c r="AS991" s="68"/>
      <c r="AT991" s="68"/>
      <c r="AU991" s="68"/>
      <c r="AV991" s="68"/>
      <c r="AW991" s="68"/>
      <c r="AX991" s="68"/>
      <c r="AY991" s="68"/>
      <c r="BA991" s="214">
        <f>IF(A1068="Yes",0.02,0)</f>
        <v>0</v>
      </c>
    </row>
    <row r="992" spans="1:58" ht="12.95" customHeight="1">
      <c r="A992" s="14"/>
      <c r="B992" s="73"/>
      <c r="C992" s="74"/>
      <c r="D992" s="1440"/>
      <c r="E992" s="1441"/>
      <c r="F992" s="1441"/>
      <c r="G992" s="1441"/>
      <c r="H992" s="1441"/>
      <c r="I992" s="1441"/>
      <c r="J992" s="1441"/>
      <c r="K992" s="1441"/>
      <c r="L992" s="1441"/>
      <c r="M992" s="1441"/>
      <c r="N992" s="1441"/>
      <c r="O992" s="1441"/>
      <c r="P992" s="1441"/>
      <c r="Q992" s="1441"/>
      <c r="R992" s="1441"/>
      <c r="S992" s="1441"/>
      <c r="T992" s="1441"/>
      <c r="U992" s="1441"/>
      <c r="V992" s="1441"/>
      <c r="W992" s="1441"/>
      <c r="X992" s="1441"/>
      <c r="Y992" s="1441"/>
      <c r="Z992" s="1441"/>
      <c r="AA992" s="1441"/>
      <c r="AB992" s="1441"/>
      <c r="AC992" s="1441"/>
      <c r="AD992" s="1441"/>
      <c r="AE992" s="1442"/>
      <c r="AF992" s="1432">
        <v>8225287</v>
      </c>
      <c r="AG992" s="1432"/>
      <c r="AH992" s="1432"/>
      <c r="AI992" s="1432"/>
      <c r="AJ992" s="1488"/>
      <c r="AK992" s="1489"/>
      <c r="AL992" s="1489"/>
      <c r="AM992" s="1489"/>
      <c r="AN992" s="1489"/>
      <c r="AO992" s="1489"/>
      <c r="AP992" s="1489"/>
      <c r="AQ992" s="1490"/>
      <c r="AR992" s="68"/>
      <c r="AS992" s="68"/>
      <c r="AT992" s="68"/>
      <c r="AU992" s="68"/>
      <c r="AV992" s="68"/>
      <c r="AW992" s="68"/>
      <c r="AX992" s="68"/>
      <c r="AY992" s="68"/>
    </row>
    <row r="993" spans="1:51" ht="12.95" customHeight="1">
      <c r="A993" s="14"/>
      <c r="B993" s="85"/>
      <c r="C993" s="84"/>
      <c r="D993" s="1465"/>
      <c r="E993" s="1466"/>
      <c r="F993" s="1466"/>
      <c r="G993" s="1466"/>
      <c r="H993" s="1466"/>
      <c r="I993" s="1466"/>
      <c r="J993" s="1466"/>
      <c r="K993" s="1466"/>
      <c r="L993" s="1466"/>
      <c r="M993" s="1466"/>
      <c r="N993" s="1466"/>
      <c r="O993" s="1466"/>
      <c r="P993" s="1466"/>
      <c r="Q993" s="1466"/>
      <c r="R993" s="1466"/>
      <c r="S993" s="1466"/>
      <c r="T993" s="1466"/>
      <c r="U993" s="1466"/>
      <c r="V993" s="1466"/>
      <c r="W993" s="1466"/>
      <c r="X993" s="1466"/>
      <c r="Y993" s="1466"/>
      <c r="Z993" s="1466"/>
      <c r="AA993" s="1466"/>
      <c r="AB993" s="1466"/>
      <c r="AC993" s="1466"/>
      <c r="AD993" s="1466"/>
      <c r="AE993" s="1467"/>
      <c r="AF993" s="1432"/>
      <c r="AG993" s="1432"/>
      <c r="AH993" s="1432"/>
      <c r="AI993" s="1432"/>
      <c r="AJ993" s="1491"/>
      <c r="AK993" s="1492"/>
      <c r="AL993" s="1492"/>
      <c r="AM993" s="1492"/>
      <c r="AN993" s="1492"/>
      <c r="AO993" s="1492"/>
      <c r="AP993" s="1492"/>
      <c r="AQ993" s="1493"/>
      <c r="AR993" s="68"/>
      <c r="AS993" s="68"/>
      <c r="AT993" s="68"/>
      <c r="AU993" s="68"/>
      <c r="AV993" s="68"/>
      <c r="AW993" s="68"/>
      <c r="AX993" s="68"/>
      <c r="AY993" s="68"/>
    </row>
    <row r="994" spans="1:51" ht="12.95" customHeight="1">
      <c r="A994" s="14"/>
      <c r="B994" s="79"/>
      <c r="C994" s="80" t="s">
        <v>235</v>
      </c>
      <c r="D994" s="1462" t="s">
        <v>1460</v>
      </c>
      <c r="E994" s="1463"/>
      <c r="F994" s="1463"/>
      <c r="G994" s="1463"/>
      <c r="H994" s="1463"/>
      <c r="I994" s="1463"/>
      <c r="J994" s="1463"/>
      <c r="K994" s="1463"/>
      <c r="L994" s="1463"/>
      <c r="M994" s="1463"/>
      <c r="N994" s="1463"/>
      <c r="O994" s="1463"/>
      <c r="P994" s="1463"/>
      <c r="Q994" s="1463"/>
      <c r="R994" s="1463"/>
      <c r="S994" s="1463"/>
      <c r="T994" s="1463"/>
      <c r="U994" s="1463"/>
      <c r="V994" s="1463"/>
      <c r="W994" s="1463"/>
      <c r="X994" s="1463"/>
      <c r="Y994" s="1463"/>
      <c r="Z994" s="1463"/>
      <c r="AA994" s="1463"/>
      <c r="AB994" s="1463"/>
      <c r="AC994" s="1463"/>
      <c r="AD994" s="1463"/>
      <c r="AE994" s="1464"/>
      <c r="AF994" s="79"/>
      <c r="AG994" s="1460" t="s">
        <v>554</v>
      </c>
      <c r="AH994" s="1461"/>
      <c r="AI994" s="87"/>
      <c r="AJ994" s="1485">
        <f>ROUND(IF(AG994="yes",(AJ961*0.1),0),0)</f>
        <v>7847798</v>
      </c>
      <c r="AK994" s="1486"/>
      <c r="AL994" s="1486"/>
      <c r="AM994" s="1486"/>
      <c r="AN994" s="1486"/>
      <c r="AO994" s="1486"/>
      <c r="AP994" s="1486"/>
      <c r="AQ994" s="1487"/>
      <c r="AR994" s="68"/>
      <c r="AS994" s="68"/>
      <c r="AT994" s="68"/>
      <c r="AU994" s="68"/>
      <c r="AV994" s="68"/>
      <c r="AW994" s="68"/>
      <c r="AX994" s="68"/>
      <c r="AY994" s="68"/>
    </row>
    <row r="995" spans="1:51" ht="12.95" customHeight="1">
      <c r="A995" s="14"/>
      <c r="B995" s="73"/>
      <c r="C995" s="74"/>
      <c r="D995" s="1440" t="s">
        <v>1461</v>
      </c>
      <c r="E995" s="1441"/>
      <c r="F995" s="1441"/>
      <c r="G995" s="1441"/>
      <c r="H995" s="1441"/>
      <c r="I995" s="1441"/>
      <c r="J995" s="1441"/>
      <c r="K995" s="1441"/>
      <c r="L995" s="1441"/>
      <c r="M995" s="1441"/>
      <c r="N995" s="1441"/>
      <c r="O995" s="1441"/>
      <c r="P995" s="1441"/>
      <c r="Q995" s="1441"/>
      <c r="R995" s="1441"/>
      <c r="S995" s="1441"/>
      <c r="T995" s="1441"/>
      <c r="U995" s="1441"/>
      <c r="V995" s="1441"/>
      <c r="W995" s="1441"/>
      <c r="X995" s="1441"/>
      <c r="Y995" s="1441"/>
      <c r="Z995" s="1441"/>
      <c r="AA995" s="1441"/>
      <c r="AB995" s="1441"/>
      <c r="AC995" s="1441"/>
      <c r="AD995" s="1441"/>
      <c r="AE995" s="1442"/>
      <c r="AF995" s="73"/>
      <c r="AG995" s="14"/>
      <c r="AH995" s="14"/>
      <c r="AI995" s="83"/>
      <c r="AJ995" s="1488"/>
      <c r="AK995" s="1489"/>
      <c r="AL995" s="1489"/>
      <c r="AM995" s="1489"/>
      <c r="AN995" s="1489"/>
      <c r="AO995" s="1489"/>
      <c r="AP995" s="1489"/>
      <c r="AQ995" s="1490"/>
      <c r="AR995" s="68"/>
      <c r="AS995" s="68"/>
      <c r="AT995" s="68"/>
      <c r="AU995" s="68"/>
      <c r="AV995" s="68"/>
      <c r="AW995" s="68"/>
      <c r="AX995" s="68"/>
      <c r="AY995" s="68"/>
    </row>
    <row r="996" spans="1:51" ht="12.95" customHeight="1">
      <c r="A996" s="14"/>
      <c r="B996" s="77"/>
      <c r="C996" s="74"/>
      <c r="D996" s="1465"/>
      <c r="E996" s="1466"/>
      <c r="F996" s="1466"/>
      <c r="G996" s="1466"/>
      <c r="H996" s="1466"/>
      <c r="I996" s="1466"/>
      <c r="J996" s="1466"/>
      <c r="K996" s="1466"/>
      <c r="L996" s="1466"/>
      <c r="M996" s="1466"/>
      <c r="N996" s="1466"/>
      <c r="O996" s="1466"/>
      <c r="P996" s="1466"/>
      <c r="Q996" s="1466"/>
      <c r="R996" s="1466"/>
      <c r="S996" s="1466"/>
      <c r="T996" s="1466"/>
      <c r="U996" s="1466"/>
      <c r="V996" s="1466"/>
      <c r="W996" s="1466"/>
      <c r="X996" s="1466"/>
      <c r="Y996" s="1466"/>
      <c r="Z996" s="1466"/>
      <c r="AA996" s="1466"/>
      <c r="AB996" s="1466"/>
      <c r="AC996" s="1466"/>
      <c r="AD996" s="1466"/>
      <c r="AE996" s="1467"/>
      <c r="AF996" s="73"/>
      <c r="AG996" s="14"/>
      <c r="AH996" s="14"/>
      <c r="AI996" s="83"/>
      <c r="AJ996" s="1491"/>
      <c r="AK996" s="1492"/>
      <c r="AL996" s="1492"/>
      <c r="AM996" s="1492"/>
      <c r="AN996" s="1492"/>
      <c r="AO996" s="1492"/>
      <c r="AP996" s="1492"/>
      <c r="AQ996" s="1493"/>
      <c r="AR996" s="68"/>
      <c r="AS996" s="68"/>
      <c r="AT996" s="68"/>
      <c r="AU996" s="68"/>
      <c r="AV996" s="68"/>
      <c r="AW996" s="68"/>
      <c r="AX996" s="68"/>
      <c r="AY996" s="68"/>
    </row>
    <row r="997" spans="1:51" ht="12.95" customHeight="1">
      <c r="A997" s="14"/>
      <c r="B997" s="73"/>
      <c r="C997" s="368" t="s">
        <v>697</v>
      </c>
      <c r="D997" s="1452" t="s">
        <v>1946</v>
      </c>
      <c r="E997" s="1453"/>
      <c r="F997" s="1453"/>
      <c r="G997" s="1453"/>
      <c r="H997" s="1453"/>
      <c r="I997" s="1453"/>
      <c r="J997" s="1453"/>
      <c r="K997" s="1453"/>
      <c r="L997" s="1453"/>
      <c r="M997" s="1453"/>
      <c r="N997" s="1453"/>
      <c r="O997" s="1453"/>
      <c r="P997" s="1453"/>
      <c r="Q997" s="1453"/>
      <c r="R997" s="1453"/>
      <c r="S997" s="1453"/>
      <c r="T997" s="1453"/>
      <c r="U997" s="1453"/>
      <c r="V997" s="1453"/>
      <c r="W997" s="1453"/>
      <c r="X997" s="1453"/>
      <c r="Y997" s="1453"/>
      <c r="Z997" s="1453"/>
      <c r="AA997" s="1453"/>
      <c r="AB997" s="1453"/>
      <c r="AC997" s="1453"/>
      <c r="AD997" s="1453"/>
      <c r="AE997" s="1454"/>
      <c r="AF997" s="79"/>
      <c r="AG997" s="1460" t="s">
        <v>678</v>
      </c>
      <c r="AH997" s="1461"/>
      <c r="AI997" s="87"/>
      <c r="AJ997" s="1485">
        <f>ROUND(IF(AG997="yes",(AJ961*0.15),0),0)</f>
        <v>0</v>
      </c>
      <c r="AK997" s="1486"/>
      <c r="AL997" s="1486"/>
      <c r="AM997" s="1486"/>
      <c r="AN997" s="1486"/>
      <c r="AO997" s="1486"/>
      <c r="AP997" s="1486"/>
      <c r="AQ997" s="1487"/>
      <c r="AR997" s="68"/>
      <c r="AS997" s="68"/>
      <c r="AT997" s="68"/>
      <c r="AU997" s="68"/>
      <c r="AV997" s="68"/>
      <c r="AW997" s="68"/>
      <c r="AX997" s="68"/>
      <c r="AY997" s="68"/>
    </row>
    <row r="998" spans="1:51" ht="12.95" customHeight="1">
      <c r="A998" s="14"/>
      <c r="B998" s="73"/>
      <c r="C998" s="74"/>
      <c r="D998" s="1480" t="s">
        <v>1947</v>
      </c>
      <c r="E998" s="1266"/>
      <c r="F998" s="1266"/>
      <c r="G998" s="1266"/>
      <c r="H998" s="1266"/>
      <c r="I998" s="1266"/>
      <c r="J998" s="1266"/>
      <c r="K998" s="1266"/>
      <c r="L998" s="1266"/>
      <c r="M998" s="1266"/>
      <c r="N998" s="1266"/>
      <c r="O998" s="1266"/>
      <c r="P998" s="1266"/>
      <c r="Q998" s="1266"/>
      <c r="R998" s="1266"/>
      <c r="S998" s="1266"/>
      <c r="T998" s="1266"/>
      <c r="U998" s="1266"/>
      <c r="V998" s="1266"/>
      <c r="W998" s="1266"/>
      <c r="X998" s="1266"/>
      <c r="Y998" s="1266"/>
      <c r="Z998" s="1266"/>
      <c r="AA998" s="1266"/>
      <c r="AB998" s="1266"/>
      <c r="AC998" s="1266"/>
      <c r="AD998" s="1266"/>
      <c r="AE998" s="1481"/>
      <c r="AF998" s="952"/>
      <c r="AG998" s="953"/>
      <c r="AH998" s="953"/>
      <c r="AI998" s="954"/>
      <c r="AJ998" s="1488"/>
      <c r="AK998" s="1489"/>
      <c r="AL998" s="1489"/>
      <c r="AM998" s="1489"/>
      <c r="AN998" s="1489"/>
      <c r="AO998" s="1489"/>
      <c r="AP998" s="1489"/>
      <c r="AQ998" s="1490"/>
      <c r="AR998" s="68"/>
      <c r="AS998" s="68"/>
      <c r="AT998" s="68"/>
      <c r="AU998" s="68"/>
      <c r="AV998" s="68"/>
      <c r="AW998" s="68"/>
      <c r="AX998" s="68"/>
      <c r="AY998" s="68"/>
    </row>
    <row r="999" spans="1:51" ht="12.95" customHeight="1">
      <c r="A999" s="14"/>
      <c r="B999" s="73"/>
      <c r="C999" s="74"/>
      <c r="D999" s="1480"/>
      <c r="E999" s="1266"/>
      <c r="F999" s="1266"/>
      <c r="G999" s="1266"/>
      <c r="H999" s="1266"/>
      <c r="I999" s="1266"/>
      <c r="J999" s="1266"/>
      <c r="K999" s="1266"/>
      <c r="L999" s="1266"/>
      <c r="M999" s="1266"/>
      <c r="N999" s="1266"/>
      <c r="O999" s="1266"/>
      <c r="P999" s="1266"/>
      <c r="Q999" s="1266"/>
      <c r="R999" s="1266"/>
      <c r="S999" s="1266"/>
      <c r="T999" s="1266"/>
      <c r="U999" s="1266"/>
      <c r="V999" s="1266"/>
      <c r="W999" s="1266"/>
      <c r="X999" s="1266"/>
      <c r="Y999" s="1266"/>
      <c r="Z999" s="1266"/>
      <c r="AA999" s="1266"/>
      <c r="AB999" s="1266"/>
      <c r="AC999" s="1266"/>
      <c r="AD999" s="1266"/>
      <c r="AE999" s="1481"/>
      <c r="AF999" s="952"/>
      <c r="AG999" s="953"/>
      <c r="AH999" s="953"/>
      <c r="AI999" s="954"/>
      <c r="AJ999" s="1488"/>
      <c r="AK999" s="1489"/>
      <c r="AL999" s="1489"/>
      <c r="AM999" s="1489"/>
      <c r="AN999" s="1489"/>
      <c r="AO999" s="1489"/>
      <c r="AP999" s="1489"/>
      <c r="AQ999" s="1490"/>
      <c r="AR999" s="68"/>
      <c r="AS999" s="68"/>
      <c r="AT999" s="68"/>
      <c r="AU999" s="68"/>
      <c r="AV999" s="68"/>
      <c r="AW999" s="68"/>
      <c r="AX999" s="68"/>
      <c r="AY999" s="68"/>
    </row>
    <row r="1000" spans="1:51" ht="12.95" customHeight="1">
      <c r="A1000" s="14"/>
      <c r="B1000" s="73"/>
      <c r="C1000" s="74"/>
      <c r="D1000" s="1482"/>
      <c r="E1000" s="1483"/>
      <c r="F1000" s="1483"/>
      <c r="G1000" s="1483"/>
      <c r="H1000" s="1483"/>
      <c r="I1000" s="1483"/>
      <c r="J1000" s="1483"/>
      <c r="K1000" s="1483"/>
      <c r="L1000" s="1483"/>
      <c r="M1000" s="1483"/>
      <c r="N1000" s="1483"/>
      <c r="O1000" s="1483"/>
      <c r="P1000" s="1483"/>
      <c r="Q1000" s="1483"/>
      <c r="R1000" s="1483"/>
      <c r="S1000" s="1483"/>
      <c r="T1000" s="1483"/>
      <c r="U1000" s="1483"/>
      <c r="V1000" s="1483"/>
      <c r="W1000" s="1483"/>
      <c r="X1000" s="1483"/>
      <c r="Y1000" s="1483"/>
      <c r="Z1000" s="1483"/>
      <c r="AA1000" s="1483"/>
      <c r="AB1000" s="1483"/>
      <c r="AC1000" s="1483"/>
      <c r="AD1000" s="1483"/>
      <c r="AE1000" s="1484"/>
      <c r="AF1000" s="955"/>
      <c r="AG1000" s="956"/>
      <c r="AH1000" s="956"/>
      <c r="AI1000" s="957"/>
      <c r="AJ1000" s="1491"/>
      <c r="AK1000" s="1492"/>
      <c r="AL1000" s="1492"/>
      <c r="AM1000" s="1492"/>
      <c r="AN1000" s="1492"/>
      <c r="AO1000" s="1492"/>
      <c r="AP1000" s="1492"/>
      <c r="AQ1000" s="1493"/>
      <c r="AR1000" s="68"/>
      <c r="AS1000" s="68"/>
      <c r="AT1000" s="68"/>
      <c r="AU1000" s="68"/>
      <c r="AV1000" s="68"/>
      <c r="AW1000" s="68"/>
      <c r="AX1000" s="68"/>
      <c r="AY1000" s="68"/>
    </row>
    <row r="1001" spans="1:51" ht="12.95" customHeight="1">
      <c r="A1001" s="14"/>
      <c r="B1001" s="73"/>
      <c r="C1001" s="368" t="s">
        <v>697</v>
      </c>
      <c r="D1001" s="1462" t="s">
        <v>1948</v>
      </c>
      <c r="E1001" s="1463"/>
      <c r="F1001" s="1463"/>
      <c r="G1001" s="1463"/>
      <c r="H1001" s="1463"/>
      <c r="I1001" s="1463"/>
      <c r="J1001" s="1463"/>
      <c r="K1001" s="1463"/>
      <c r="L1001" s="1463"/>
      <c r="M1001" s="1463"/>
      <c r="N1001" s="1463"/>
      <c r="O1001" s="1463"/>
      <c r="P1001" s="1463"/>
      <c r="Q1001" s="1463"/>
      <c r="R1001" s="1463"/>
      <c r="S1001" s="1463"/>
      <c r="T1001" s="1463"/>
      <c r="U1001" s="1463"/>
      <c r="V1001" s="1463"/>
      <c r="W1001" s="1463"/>
      <c r="X1001" s="1463"/>
      <c r="Y1001" s="1463"/>
      <c r="Z1001" s="1463"/>
      <c r="AA1001" s="1463"/>
      <c r="AB1001" s="1463"/>
      <c r="AC1001" s="1463"/>
      <c r="AD1001" s="1463"/>
      <c r="AE1001" s="1464"/>
      <c r="AF1001" s="73"/>
      <c r="AG1001" s="1559" t="s">
        <v>678</v>
      </c>
      <c r="AH1001" s="1560"/>
      <c r="AI1001" s="83"/>
      <c r="AJ1001" s="1485">
        <f>ROUND(IF(AND(AG1001="yes",AJ997=0),(AJ961*0.1),0),0)</f>
        <v>0</v>
      </c>
      <c r="AK1001" s="1486"/>
      <c r="AL1001" s="1486"/>
      <c r="AM1001" s="1486"/>
      <c r="AN1001" s="1486"/>
      <c r="AO1001" s="1486"/>
      <c r="AP1001" s="1486"/>
      <c r="AQ1001" s="1487"/>
      <c r="AR1001" s="68"/>
      <c r="AS1001" s="68"/>
      <c r="AT1001" s="68"/>
      <c r="AU1001" s="68"/>
      <c r="AV1001" s="68"/>
      <c r="AW1001" s="68"/>
      <c r="AX1001" s="68"/>
      <c r="AY1001" s="68"/>
    </row>
    <row r="1002" spans="1:51" ht="12.95" customHeight="1">
      <c r="A1002" s="14"/>
      <c r="B1002" s="73"/>
      <c r="C1002" s="74"/>
      <c r="D1002" s="1480" t="s">
        <v>1949</v>
      </c>
      <c r="E1002" s="1266"/>
      <c r="F1002" s="1266"/>
      <c r="G1002" s="1266"/>
      <c r="H1002" s="1266"/>
      <c r="I1002" s="1266"/>
      <c r="J1002" s="1266"/>
      <c r="K1002" s="1266"/>
      <c r="L1002" s="1266"/>
      <c r="M1002" s="1266"/>
      <c r="N1002" s="1266"/>
      <c r="O1002" s="1266"/>
      <c r="P1002" s="1266"/>
      <c r="Q1002" s="1266"/>
      <c r="R1002" s="1266"/>
      <c r="S1002" s="1266"/>
      <c r="T1002" s="1266"/>
      <c r="U1002" s="1266"/>
      <c r="V1002" s="1266"/>
      <c r="W1002" s="1266"/>
      <c r="X1002" s="1266"/>
      <c r="Y1002" s="1266"/>
      <c r="Z1002" s="1266"/>
      <c r="AA1002" s="1266"/>
      <c r="AB1002" s="1266"/>
      <c r="AC1002" s="1266"/>
      <c r="AD1002" s="1266"/>
      <c r="AE1002" s="1481"/>
      <c r="AF1002" s="73"/>
      <c r="AG1002" s="14"/>
      <c r="AH1002" s="14"/>
      <c r="AI1002" s="83"/>
      <c r="AJ1002" s="1488"/>
      <c r="AK1002" s="1489"/>
      <c r="AL1002" s="1489"/>
      <c r="AM1002" s="1489"/>
      <c r="AN1002" s="1489"/>
      <c r="AO1002" s="1489"/>
      <c r="AP1002" s="1489"/>
      <c r="AQ1002" s="1490"/>
      <c r="AR1002" s="68"/>
      <c r="AS1002" s="68"/>
      <c r="AT1002" s="68"/>
      <c r="AU1002" s="68"/>
      <c r="AV1002" s="68"/>
      <c r="AW1002" s="68"/>
      <c r="AX1002" s="68"/>
      <c r="AY1002" s="68"/>
    </row>
    <row r="1003" spans="1:51" ht="12.95" customHeight="1">
      <c r="A1003" s="14"/>
      <c r="B1003" s="73"/>
      <c r="C1003" s="74"/>
      <c r="D1003" s="1480"/>
      <c r="E1003" s="1266"/>
      <c r="F1003" s="1266"/>
      <c r="G1003" s="1266"/>
      <c r="H1003" s="1266"/>
      <c r="I1003" s="1266"/>
      <c r="J1003" s="1266"/>
      <c r="K1003" s="1266"/>
      <c r="L1003" s="1266"/>
      <c r="M1003" s="1266"/>
      <c r="N1003" s="1266"/>
      <c r="O1003" s="1266"/>
      <c r="P1003" s="1266"/>
      <c r="Q1003" s="1266"/>
      <c r="R1003" s="1266"/>
      <c r="S1003" s="1266"/>
      <c r="T1003" s="1266"/>
      <c r="U1003" s="1266"/>
      <c r="V1003" s="1266"/>
      <c r="W1003" s="1266"/>
      <c r="X1003" s="1266"/>
      <c r="Y1003" s="1266"/>
      <c r="Z1003" s="1266"/>
      <c r="AA1003" s="1266"/>
      <c r="AB1003" s="1266"/>
      <c r="AC1003" s="1266"/>
      <c r="AD1003" s="1266"/>
      <c r="AE1003" s="1481"/>
      <c r="AF1003" s="73"/>
      <c r="AG1003" s="14"/>
      <c r="AH1003" s="14"/>
      <c r="AI1003" s="83"/>
      <c r="AJ1003" s="1488"/>
      <c r="AK1003" s="1489"/>
      <c r="AL1003" s="1489"/>
      <c r="AM1003" s="1489"/>
      <c r="AN1003" s="1489"/>
      <c r="AO1003" s="1489"/>
      <c r="AP1003" s="1489"/>
      <c r="AQ1003" s="1490"/>
      <c r="AR1003" s="68"/>
      <c r="AS1003" s="68"/>
      <c r="AT1003" s="68"/>
      <c r="AU1003" s="68"/>
      <c r="AV1003" s="68"/>
      <c r="AW1003" s="68"/>
      <c r="AX1003" s="68"/>
      <c r="AY1003" s="68"/>
    </row>
    <row r="1004" spans="1:51" ht="12.95" customHeight="1">
      <c r="A1004" s="14"/>
      <c r="B1004" s="73"/>
      <c r="C1004" s="74"/>
      <c r="D1004" s="1480"/>
      <c r="E1004" s="1266"/>
      <c r="F1004" s="1266"/>
      <c r="G1004" s="1266"/>
      <c r="H1004" s="1266"/>
      <c r="I1004" s="1266"/>
      <c r="J1004" s="1266"/>
      <c r="K1004" s="1266"/>
      <c r="L1004" s="1266"/>
      <c r="M1004" s="1266"/>
      <c r="N1004" s="1266"/>
      <c r="O1004" s="1266"/>
      <c r="P1004" s="1266"/>
      <c r="Q1004" s="1266"/>
      <c r="R1004" s="1266"/>
      <c r="S1004" s="1266"/>
      <c r="T1004" s="1266"/>
      <c r="U1004" s="1266"/>
      <c r="V1004" s="1266"/>
      <c r="W1004" s="1266"/>
      <c r="X1004" s="1266"/>
      <c r="Y1004" s="1266"/>
      <c r="Z1004" s="1266"/>
      <c r="AA1004" s="1266"/>
      <c r="AB1004" s="1266"/>
      <c r="AC1004" s="1266"/>
      <c r="AD1004" s="1266"/>
      <c r="AE1004" s="1481"/>
      <c r="AF1004" s="73"/>
      <c r="AG1004" s="14"/>
      <c r="AH1004" s="14"/>
      <c r="AI1004" s="83"/>
      <c r="AJ1004" s="1488"/>
      <c r="AK1004" s="1489"/>
      <c r="AL1004" s="1489"/>
      <c r="AM1004" s="1489"/>
      <c r="AN1004" s="1489"/>
      <c r="AO1004" s="1489"/>
      <c r="AP1004" s="1489"/>
      <c r="AQ1004" s="1490"/>
      <c r="AR1004" s="68"/>
      <c r="AS1004" s="68"/>
      <c r="AT1004" s="68"/>
      <c r="AU1004" s="68"/>
      <c r="AV1004" s="68"/>
      <c r="AW1004" s="68"/>
      <c r="AX1004" s="68"/>
      <c r="AY1004" s="68"/>
    </row>
    <row r="1005" spans="1:51" ht="12.95" customHeight="1">
      <c r="A1005" s="14"/>
      <c r="B1005" s="73"/>
      <c r="C1005" s="74"/>
      <c r="D1005" s="1482"/>
      <c r="E1005" s="1483"/>
      <c r="F1005" s="1483"/>
      <c r="G1005" s="1483"/>
      <c r="H1005" s="1483"/>
      <c r="I1005" s="1483"/>
      <c r="J1005" s="1483"/>
      <c r="K1005" s="1483"/>
      <c r="L1005" s="1483"/>
      <c r="M1005" s="1483"/>
      <c r="N1005" s="1483"/>
      <c r="O1005" s="1483"/>
      <c r="P1005" s="1483"/>
      <c r="Q1005" s="1483"/>
      <c r="R1005" s="1483"/>
      <c r="S1005" s="1483"/>
      <c r="T1005" s="1483"/>
      <c r="U1005" s="1483"/>
      <c r="V1005" s="1483"/>
      <c r="W1005" s="1483"/>
      <c r="X1005" s="1483"/>
      <c r="Y1005" s="1483"/>
      <c r="Z1005" s="1483"/>
      <c r="AA1005" s="1483"/>
      <c r="AB1005" s="1483"/>
      <c r="AC1005" s="1483"/>
      <c r="AD1005" s="1483"/>
      <c r="AE1005" s="1484"/>
      <c r="AF1005" s="73"/>
      <c r="AG1005" s="14"/>
      <c r="AH1005" s="14"/>
      <c r="AI1005" s="83"/>
      <c r="AJ1005" s="1488"/>
      <c r="AK1005" s="1489"/>
      <c r="AL1005" s="1489"/>
      <c r="AM1005" s="1489"/>
      <c r="AN1005" s="1489"/>
      <c r="AO1005" s="1489"/>
      <c r="AP1005" s="1489"/>
      <c r="AQ1005" s="1490"/>
      <c r="AR1005" s="68"/>
      <c r="AS1005" s="68"/>
      <c r="AT1005" s="68"/>
      <c r="AU1005" s="68"/>
      <c r="AV1005" s="68"/>
      <c r="AW1005" s="68"/>
      <c r="AX1005" s="68"/>
      <c r="AY1005" s="68"/>
    </row>
    <row r="1006" spans="1:51" ht="12.95" customHeight="1">
      <c r="A1006" s="14"/>
      <c r="B1006" s="79"/>
      <c r="C1006" s="131" t="s">
        <v>1067</v>
      </c>
      <c r="D1006" s="1452" t="s">
        <v>1462</v>
      </c>
      <c r="E1006" s="1453"/>
      <c r="F1006" s="1453"/>
      <c r="G1006" s="1453"/>
      <c r="H1006" s="1453"/>
      <c r="I1006" s="1453"/>
      <c r="J1006" s="1453"/>
      <c r="K1006" s="1453"/>
      <c r="L1006" s="1453"/>
      <c r="M1006" s="1453"/>
      <c r="N1006" s="1453"/>
      <c r="O1006" s="1453"/>
      <c r="P1006" s="1453"/>
      <c r="Q1006" s="1453"/>
      <c r="R1006" s="1453"/>
      <c r="S1006" s="1453"/>
      <c r="T1006" s="1453"/>
      <c r="U1006" s="1453"/>
      <c r="V1006" s="1453"/>
      <c r="W1006" s="1453"/>
      <c r="X1006" s="1453"/>
      <c r="Y1006" s="1453"/>
      <c r="Z1006" s="1453"/>
      <c r="AA1006" s="1453"/>
      <c r="AB1006" s="1453"/>
      <c r="AC1006" s="1453"/>
      <c r="AD1006" s="1453"/>
      <c r="AE1006" s="1454"/>
      <c r="AF1006" s="79"/>
      <c r="AG1006" s="1460" t="s">
        <v>678</v>
      </c>
      <c r="AH1006" s="1461"/>
      <c r="AI1006" s="87"/>
      <c r="AJ1006" s="1485">
        <f>ROUND(IF(AG1006="yes",(AJ961*0.1),0),0)</f>
        <v>0</v>
      </c>
      <c r="AK1006" s="1486"/>
      <c r="AL1006" s="1486"/>
      <c r="AM1006" s="1486"/>
      <c r="AN1006" s="1486"/>
      <c r="AO1006" s="1486"/>
      <c r="AP1006" s="1486"/>
      <c r="AQ1006" s="1487"/>
      <c r="AR1006" s="68"/>
      <c r="AS1006" s="68"/>
      <c r="AT1006" s="68"/>
      <c r="AU1006" s="68"/>
      <c r="AV1006" s="68"/>
      <c r="AW1006" s="68"/>
      <c r="AX1006" s="68"/>
      <c r="AY1006" s="68"/>
    </row>
    <row r="1007" spans="1:51" ht="12.95" customHeight="1">
      <c r="A1007" s="14"/>
      <c r="B1007" s="73"/>
      <c r="C1007" s="74"/>
      <c r="D1007" s="1440" t="s">
        <v>2515</v>
      </c>
      <c r="E1007" s="1441"/>
      <c r="F1007" s="1441"/>
      <c r="G1007" s="1441"/>
      <c r="H1007" s="1441"/>
      <c r="I1007" s="1441"/>
      <c r="J1007" s="1441"/>
      <c r="K1007" s="1441"/>
      <c r="L1007" s="1441"/>
      <c r="M1007" s="1441"/>
      <c r="N1007" s="1441"/>
      <c r="O1007" s="1441"/>
      <c r="P1007" s="1441"/>
      <c r="Q1007" s="1441"/>
      <c r="R1007" s="1441"/>
      <c r="S1007" s="1441"/>
      <c r="T1007" s="1441"/>
      <c r="U1007" s="1441"/>
      <c r="V1007" s="1441"/>
      <c r="W1007" s="1441"/>
      <c r="X1007" s="1441"/>
      <c r="Y1007" s="1441"/>
      <c r="Z1007" s="1441"/>
      <c r="AA1007" s="1441"/>
      <c r="AB1007" s="1441"/>
      <c r="AC1007" s="1441"/>
      <c r="AD1007" s="1441"/>
      <c r="AE1007" s="1442"/>
      <c r="AF1007" s="73"/>
      <c r="AG1007" s="14"/>
      <c r="AH1007" s="14"/>
      <c r="AI1007" s="83"/>
      <c r="AJ1007" s="1488"/>
      <c r="AK1007" s="1489"/>
      <c r="AL1007" s="1489"/>
      <c r="AM1007" s="1489"/>
      <c r="AN1007" s="1489"/>
      <c r="AO1007" s="1489"/>
      <c r="AP1007" s="1489"/>
      <c r="AQ1007" s="1490"/>
      <c r="AR1007" s="68"/>
      <c r="AS1007" s="68"/>
      <c r="AT1007" s="68"/>
      <c r="AU1007" s="68"/>
      <c r="AV1007" s="68"/>
      <c r="AW1007" s="68"/>
      <c r="AX1007" s="68"/>
      <c r="AY1007" s="68"/>
    </row>
    <row r="1008" spans="1:51" ht="12.95" customHeight="1">
      <c r="A1008" s="14"/>
      <c r="B1008" s="73"/>
      <c r="C1008" s="74"/>
      <c r="D1008" s="1440"/>
      <c r="E1008" s="1441"/>
      <c r="F1008" s="1441"/>
      <c r="G1008" s="1441"/>
      <c r="H1008" s="1441"/>
      <c r="I1008" s="1441"/>
      <c r="J1008" s="1441"/>
      <c r="K1008" s="1441"/>
      <c r="L1008" s="1441"/>
      <c r="M1008" s="1441"/>
      <c r="N1008" s="1441"/>
      <c r="O1008" s="1441"/>
      <c r="P1008" s="1441"/>
      <c r="Q1008" s="1441"/>
      <c r="R1008" s="1441"/>
      <c r="S1008" s="1441"/>
      <c r="T1008" s="1441"/>
      <c r="U1008" s="1441"/>
      <c r="V1008" s="1441"/>
      <c r="W1008" s="1441"/>
      <c r="X1008" s="1441"/>
      <c r="Y1008" s="1441"/>
      <c r="Z1008" s="1441"/>
      <c r="AA1008" s="1441"/>
      <c r="AB1008" s="1441"/>
      <c r="AC1008" s="1441"/>
      <c r="AD1008" s="1441"/>
      <c r="AE1008" s="1442"/>
      <c r="AF1008" s="73"/>
      <c r="AG1008" s="14"/>
      <c r="AH1008" s="14"/>
      <c r="AI1008" s="83"/>
      <c r="AJ1008" s="1488"/>
      <c r="AK1008" s="1489"/>
      <c r="AL1008" s="1489"/>
      <c r="AM1008" s="1489"/>
      <c r="AN1008" s="1489"/>
      <c r="AO1008" s="1489"/>
      <c r="AP1008" s="1489"/>
      <c r="AQ1008" s="1490"/>
      <c r="AR1008" s="68"/>
      <c r="AS1008" s="68"/>
      <c r="AT1008" s="68"/>
      <c r="AU1008" s="68"/>
      <c r="AV1008" s="68"/>
      <c r="AW1008" s="68"/>
      <c r="AX1008" s="68"/>
      <c r="AY1008" s="68"/>
    </row>
    <row r="1009" spans="1:51" ht="12.95" customHeight="1">
      <c r="A1009" s="14"/>
      <c r="B1009" s="73"/>
      <c r="C1009" s="74"/>
      <c r="D1009" s="1465"/>
      <c r="E1009" s="1466"/>
      <c r="F1009" s="1466"/>
      <c r="G1009" s="1466"/>
      <c r="H1009" s="1466"/>
      <c r="I1009" s="1466"/>
      <c r="J1009" s="1466"/>
      <c r="K1009" s="1466"/>
      <c r="L1009" s="1466"/>
      <c r="M1009" s="1466"/>
      <c r="N1009" s="1466"/>
      <c r="O1009" s="1466"/>
      <c r="P1009" s="1466"/>
      <c r="Q1009" s="1466"/>
      <c r="R1009" s="1466"/>
      <c r="S1009" s="1466"/>
      <c r="T1009" s="1466"/>
      <c r="U1009" s="1466"/>
      <c r="V1009" s="1466"/>
      <c r="W1009" s="1466"/>
      <c r="X1009" s="1466"/>
      <c r="Y1009" s="1466"/>
      <c r="Z1009" s="1466"/>
      <c r="AA1009" s="1466"/>
      <c r="AB1009" s="1466"/>
      <c r="AC1009" s="1466"/>
      <c r="AD1009" s="1466"/>
      <c r="AE1009" s="1467"/>
      <c r="AF1009" s="73"/>
      <c r="AG1009" s="14"/>
      <c r="AH1009" s="14"/>
      <c r="AI1009" s="83"/>
      <c r="AJ1009" s="1491"/>
      <c r="AK1009" s="1492"/>
      <c r="AL1009" s="1492"/>
      <c r="AM1009" s="1492"/>
      <c r="AN1009" s="1492"/>
      <c r="AO1009" s="1492"/>
      <c r="AP1009" s="1492"/>
      <c r="AQ1009" s="1493"/>
      <c r="AR1009" s="68"/>
      <c r="AS1009" s="68"/>
      <c r="AT1009" s="68"/>
      <c r="AU1009" s="68"/>
      <c r="AV1009" s="68"/>
      <c r="AW1009" s="68"/>
      <c r="AX1009" s="68"/>
      <c r="AY1009" s="68"/>
    </row>
    <row r="1010" spans="1:51" ht="12.95" customHeight="1">
      <c r="A1010" s="14"/>
      <c r="B1010" s="79"/>
      <c r="C1010" s="131" t="s">
        <v>1944</v>
      </c>
      <c r="D1010" s="1462" t="s">
        <v>2128</v>
      </c>
      <c r="E1010" s="1463"/>
      <c r="F1010" s="1463"/>
      <c r="G1010" s="1463"/>
      <c r="H1010" s="1463"/>
      <c r="I1010" s="1463"/>
      <c r="J1010" s="1463"/>
      <c r="K1010" s="1463"/>
      <c r="L1010" s="1463"/>
      <c r="M1010" s="1463"/>
      <c r="N1010" s="1463"/>
      <c r="O1010" s="1463"/>
      <c r="P1010" s="1463"/>
      <c r="Q1010" s="1463"/>
      <c r="R1010" s="1463"/>
      <c r="S1010" s="1463"/>
      <c r="T1010" s="1463"/>
      <c r="U1010" s="1463"/>
      <c r="V1010" s="1463"/>
      <c r="W1010" s="1463"/>
      <c r="X1010" s="1463"/>
      <c r="Y1010" s="1463"/>
      <c r="Z1010" s="1463"/>
      <c r="AA1010" s="1463"/>
      <c r="AB1010" s="1463"/>
      <c r="AC1010" s="1463"/>
      <c r="AD1010" s="1463"/>
      <c r="AE1010" s="1464"/>
      <c r="AF1010" s="79"/>
      <c r="AG1010" s="1557" t="str">
        <f>IF(X1013&gt;0,"Yes","No")</f>
        <v>Yes</v>
      </c>
      <c r="AH1010" s="1558"/>
      <c r="AI1010" s="87"/>
      <c r="AJ1010" s="1485">
        <f>IF((X1013=0),0,BA975*AJ961)</f>
        <v>23543393.399999999</v>
      </c>
      <c r="AK1010" s="1486"/>
      <c r="AL1010" s="1486"/>
      <c r="AM1010" s="1486"/>
      <c r="AN1010" s="1486"/>
      <c r="AO1010" s="1486"/>
      <c r="AP1010" s="1486"/>
      <c r="AQ1010" s="1487"/>
      <c r="AR1010" s="68"/>
      <c r="AS1010" s="68"/>
      <c r="AT1010" s="68"/>
      <c r="AU1010" s="68"/>
      <c r="AV1010" s="68"/>
      <c r="AW1010" s="68"/>
      <c r="AX1010" s="68"/>
      <c r="AY1010" s="68"/>
    </row>
    <row r="1011" spans="1:51" ht="12.95" customHeight="1">
      <c r="A1011" s="14"/>
      <c r="B1011" s="73"/>
      <c r="C1011" s="477"/>
      <c r="D1011" s="1440" t="s">
        <v>1464</v>
      </c>
      <c r="E1011" s="1441"/>
      <c r="F1011" s="1441"/>
      <c r="G1011" s="1441"/>
      <c r="H1011" s="1441"/>
      <c r="I1011" s="1441"/>
      <c r="J1011" s="1441"/>
      <c r="K1011" s="1441"/>
      <c r="L1011" s="1441"/>
      <c r="M1011" s="1441"/>
      <c r="N1011" s="1441"/>
      <c r="O1011" s="1441"/>
      <c r="P1011" s="1441"/>
      <c r="Q1011" s="1441"/>
      <c r="R1011" s="1441"/>
      <c r="S1011" s="1441"/>
      <c r="T1011" s="1441"/>
      <c r="U1011" s="1441"/>
      <c r="V1011" s="1441"/>
      <c r="W1011" s="1441"/>
      <c r="X1011" s="1441"/>
      <c r="Y1011" s="1441"/>
      <c r="Z1011" s="1441"/>
      <c r="AA1011" s="1441"/>
      <c r="AB1011" s="1441"/>
      <c r="AC1011" s="1441"/>
      <c r="AD1011" s="1441"/>
      <c r="AE1011" s="1442"/>
      <c r="AF1011" s="73"/>
      <c r="AG1011" s="478"/>
      <c r="AH1011" s="478"/>
      <c r="AI1011" s="83"/>
      <c r="AJ1011" s="1488"/>
      <c r="AK1011" s="1489"/>
      <c r="AL1011" s="1489"/>
      <c r="AM1011" s="1489"/>
      <c r="AN1011" s="1489"/>
      <c r="AO1011" s="1489"/>
      <c r="AP1011" s="1489"/>
      <c r="AQ1011" s="1490"/>
      <c r="AR1011" s="68"/>
      <c r="AS1011" s="68"/>
      <c r="AT1011" s="68"/>
      <c r="AU1011" s="68"/>
      <c r="AV1011" s="68"/>
      <c r="AW1011" s="68"/>
      <c r="AX1011" s="68"/>
      <c r="AY1011" s="68"/>
    </row>
    <row r="1012" spans="1:51" ht="12.95" customHeight="1">
      <c r="A1012" s="14"/>
      <c r="B1012" s="73"/>
      <c r="C1012" s="477"/>
      <c r="D1012" s="1440"/>
      <c r="E1012" s="1441"/>
      <c r="F1012" s="1441"/>
      <c r="G1012" s="1441"/>
      <c r="H1012" s="1441"/>
      <c r="I1012" s="1441"/>
      <c r="J1012" s="1441"/>
      <c r="K1012" s="1441"/>
      <c r="L1012" s="1441"/>
      <c r="M1012" s="1441"/>
      <c r="N1012" s="1441"/>
      <c r="O1012" s="1441"/>
      <c r="P1012" s="1441"/>
      <c r="Q1012" s="1441"/>
      <c r="R1012" s="1441"/>
      <c r="S1012" s="1441"/>
      <c r="T1012" s="1441"/>
      <c r="U1012" s="1441"/>
      <c r="V1012" s="1441"/>
      <c r="W1012" s="1441"/>
      <c r="X1012" s="1441"/>
      <c r="Y1012" s="1441"/>
      <c r="Z1012" s="1441"/>
      <c r="AA1012" s="1441"/>
      <c r="AB1012" s="1441"/>
      <c r="AC1012" s="1441"/>
      <c r="AD1012" s="1441"/>
      <c r="AE1012" s="1442"/>
      <c r="AF1012" s="73"/>
      <c r="AG1012" s="478"/>
      <c r="AH1012" s="478"/>
      <c r="AI1012" s="83"/>
      <c r="AJ1012" s="1488"/>
      <c r="AK1012" s="1489"/>
      <c r="AL1012" s="1489"/>
      <c r="AM1012" s="1489"/>
      <c r="AN1012" s="1489"/>
      <c r="AO1012" s="1489"/>
      <c r="AP1012" s="1489"/>
      <c r="AQ1012" s="1490"/>
      <c r="AR1012" s="68"/>
      <c r="AS1012" s="68"/>
      <c r="AT1012" s="68"/>
      <c r="AU1012" s="68"/>
      <c r="AV1012" s="68"/>
      <c r="AW1012" s="68"/>
      <c r="AX1012" s="68"/>
      <c r="AY1012" s="68"/>
    </row>
    <row r="1013" spans="1:51" ht="12.95" customHeight="1">
      <c r="A1013" s="14"/>
      <c r="B1013" s="77"/>
      <c r="C1013" s="78"/>
      <c r="D1013" s="132" t="s">
        <v>1012</v>
      </c>
      <c r="E1013" s="133"/>
      <c r="F1013" s="133"/>
      <c r="G1013" s="133"/>
      <c r="H1013" s="133"/>
      <c r="I1013" s="1555">
        <f>BA973</f>
        <v>166</v>
      </c>
      <c r="J1013" s="1556"/>
      <c r="K1013" s="7"/>
      <c r="L1013" s="133"/>
      <c r="M1013" s="133"/>
      <c r="N1013" s="133"/>
      <c r="O1013" s="133"/>
      <c r="P1013" s="133"/>
      <c r="Q1013" s="133"/>
      <c r="R1013" s="133"/>
      <c r="S1013" s="133"/>
      <c r="T1013" s="133"/>
      <c r="U1013" s="133"/>
      <c r="V1013" s="134" t="s">
        <v>1013</v>
      </c>
      <c r="W1013" s="48"/>
      <c r="X1013" s="1553">
        <f>BG621</f>
        <v>50</v>
      </c>
      <c r="Y1013" s="1554"/>
      <c r="Z1013" s="48"/>
      <c r="AA1013" s="48"/>
      <c r="AB1013" s="48"/>
      <c r="AC1013" s="48"/>
      <c r="AD1013" s="48"/>
      <c r="AE1013" s="49"/>
      <c r="AF1013" s="961"/>
      <c r="AG1013" s="962"/>
      <c r="AH1013" s="962"/>
      <c r="AI1013" s="963"/>
      <c r="AJ1013" s="1491"/>
      <c r="AK1013" s="1492"/>
      <c r="AL1013" s="1492"/>
      <c r="AM1013" s="1492"/>
      <c r="AN1013" s="1492"/>
      <c r="AO1013" s="1492"/>
      <c r="AP1013" s="1492"/>
      <c r="AQ1013" s="1493"/>
      <c r="AR1013" s="68"/>
      <c r="AS1013" s="68"/>
      <c r="AT1013" s="68"/>
      <c r="AU1013" s="68"/>
      <c r="AV1013" s="68"/>
      <c r="AW1013" s="68"/>
      <c r="AX1013" s="68"/>
      <c r="AY1013" s="68"/>
    </row>
    <row r="1014" spans="1:51" ht="12.95" customHeight="1">
      <c r="A1014" s="14"/>
      <c r="B1014" s="79"/>
      <c r="C1014" s="131" t="s">
        <v>1945</v>
      </c>
      <c r="D1014" s="1452" t="s">
        <v>2129</v>
      </c>
      <c r="E1014" s="1453"/>
      <c r="F1014" s="1453"/>
      <c r="G1014" s="1453"/>
      <c r="H1014" s="1453"/>
      <c r="I1014" s="1453"/>
      <c r="J1014" s="1453"/>
      <c r="K1014" s="1453"/>
      <c r="L1014" s="1453"/>
      <c r="M1014" s="1453"/>
      <c r="N1014" s="1453"/>
      <c r="O1014" s="1453"/>
      <c r="P1014" s="1453"/>
      <c r="Q1014" s="1453"/>
      <c r="R1014" s="1453"/>
      <c r="S1014" s="1453"/>
      <c r="T1014" s="1453"/>
      <c r="U1014" s="1453"/>
      <c r="V1014" s="1453"/>
      <c r="W1014" s="1453"/>
      <c r="X1014" s="1453"/>
      <c r="Y1014" s="1453"/>
      <c r="Z1014" s="1453"/>
      <c r="AA1014" s="1453"/>
      <c r="AB1014" s="1453"/>
      <c r="AC1014" s="1453"/>
      <c r="AD1014" s="1453"/>
      <c r="AE1014" s="1454"/>
      <c r="AF1014" s="73"/>
      <c r="AG1014" s="1557" t="str">
        <f>IF(X1017&gt;0,"Yes","No")</f>
        <v>Yes</v>
      </c>
      <c r="AH1014" s="1558"/>
      <c r="AI1014" s="83"/>
      <c r="AJ1014" s="1485">
        <f>IF((X1017=0),0,(2*BA976)*AJ961)</f>
        <v>15695595.600000001</v>
      </c>
      <c r="AK1014" s="1486"/>
      <c r="AL1014" s="1486"/>
      <c r="AM1014" s="1486"/>
      <c r="AN1014" s="1486"/>
      <c r="AO1014" s="1486"/>
      <c r="AP1014" s="1486"/>
      <c r="AQ1014" s="1487"/>
      <c r="AR1014" s="68"/>
      <c r="AS1014" s="68"/>
      <c r="AT1014" s="68"/>
      <c r="AU1014" s="68"/>
      <c r="AV1014" s="68"/>
      <c r="AW1014" s="68"/>
      <c r="AX1014" s="68"/>
      <c r="AY1014" s="68"/>
    </row>
    <row r="1015" spans="1:51" ht="12.95" customHeight="1">
      <c r="A1015" s="14"/>
      <c r="B1015" s="73"/>
      <c r="C1015" s="477"/>
      <c r="D1015" s="1440" t="s">
        <v>1463</v>
      </c>
      <c r="E1015" s="1441"/>
      <c r="F1015" s="1441"/>
      <c r="G1015" s="1441"/>
      <c r="H1015" s="1441"/>
      <c r="I1015" s="1441"/>
      <c r="J1015" s="1441"/>
      <c r="K1015" s="1441"/>
      <c r="L1015" s="1441"/>
      <c r="M1015" s="1441"/>
      <c r="N1015" s="1441"/>
      <c r="O1015" s="1441"/>
      <c r="P1015" s="1441"/>
      <c r="Q1015" s="1441"/>
      <c r="R1015" s="1441"/>
      <c r="S1015" s="1441"/>
      <c r="T1015" s="1441"/>
      <c r="U1015" s="1441"/>
      <c r="V1015" s="1441"/>
      <c r="W1015" s="1441"/>
      <c r="X1015" s="1441"/>
      <c r="Y1015" s="1441"/>
      <c r="Z1015" s="1441"/>
      <c r="AA1015" s="1441"/>
      <c r="AB1015" s="1441"/>
      <c r="AC1015" s="1441"/>
      <c r="AD1015" s="1441"/>
      <c r="AE1015" s="1442"/>
      <c r="AF1015" s="73"/>
      <c r="AG1015" s="478"/>
      <c r="AH1015" s="478"/>
      <c r="AI1015" s="83"/>
      <c r="AJ1015" s="1488"/>
      <c r="AK1015" s="1489"/>
      <c r="AL1015" s="1489"/>
      <c r="AM1015" s="1489"/>
      <c r="AN1015" s="1489"/>
      <c r="AO1015" s="1489"/>
      <c r="AP1015" s="1489"/>
      <c r="AQ1015" s="1490"/>
      <c r="AR1015" s="68"/>
      <c r="AS1015" s="68"/>
      <c r="AT1015" s="68"/>
      <c r="AU1015" s="68"/>
      <c r="AV1015" s="68"/>
      <c r="AW1015" s="68"/>
      <c r="AX1015" s="68"/>
      <c r="AY1015" s="68"/>
    </row>
    <row r="1016" spans="1:51" ht="12.95" customHeight="1">
      <c r="A1016" s="14"/>
      <c r="B1016" s="73"/>
      <c r="C1016" s="83"/>
      <c r="D1016" s="1440"/>
      <c r="E1016" s="1441"/>
      <c r="F1016" s="1441"/>
      <c r="G1016" s="1441"/>
      <c r="H1016" s="1441"/>
      <c r="I1016" s="1441"/>
      <c r="J1016" s="1441"/>
      <c r="K1016" s="1441"/>
      <c r="L1016" s="1441"/>
      <c r="M1016" s="1441"/>
      <c r="N1016" s="1441"/>
      <c r="O1016" s="1441"/>
      <c r="P1016" s="1441"/>
      <c r="Q1016" s="1441"/>
      <c r="R1016" s="1441"/>
      <c r="S1016" s="1441"/>
      <c r="T1016" s="1441"/>
      <c r="U1016" s="1441"/>
      <c r="V1016" s="1441"/>
      <c r="W1016" s="1441"/>
      <c r="X1016" s="1441"/>
      <c r="Y1016" s="1441"/>
      <c r="Z1016" s="1441"/>
      <c r="AA1016" s="1441"/>
      <c r="AB1016" s="1441"/>
      <c r="AC1016" s="1441"/>
      <c r="AD1016" s="1441"/>
      <c r="AE1016" s="1442"/>
      <c r="AF1016" s="958"/>
      <c r="AG1016" s="959"/>
      <c r="AH1016" s="959"/>
      <c r="AI1016" s="960"/>
      <c r="AJ1016" s="1488"/>
      <c r="AK1016" s="1489"/>
      <c r="AL1016" s="1489"/>
      <c r="AM1016" s="1489"/>
      <c r="AN1016" s="1489"/>
      <c r="AO1016" s="1489"/>
      <c r="AP1016" s="1489"/>
      <c r="AQ1016" s="1490"/>
      <c r="AR1016" s="68"/>
      <c r="AS1016" s="68"/>
      <c r="AT1016" s="68"/>
      <c r="AU1016" s="68"/>
      <c r="AV1016" s="68"/>
      <c r="AW1016" s="68"/>
      <c r="AX1016" s="68"/>
      <c r="AY1016" s="68"/>
    </row>
    <row r="1017" spans="1:51" ht="12.95" customHeight="1">
      <c r="A1017" s="14"/>
      <c r="B1017" s="77"/>
      <c r="C1017" s="78"/>
      <c r="D1017" s="132" t="s">
        <v>1012</v>
      </c>
      <c r="E1017" s="133"/>
      <c r="F1017" s="133"/>
      <c r="G1017" s="133"/>
      <c r="H1017" s="133"/>
      <c r="I1017" s="1555">
        <f>BA973</f>
        <v>166</v>
      </c>
      <c r="J1017" s="1556"/>
      <c r="K1017" s="14"/>
      <c r="L1017" s="133"/>
      <c r="M1017" s="133"/>
      <c r="N1017" s="133"/>
      <c r="O1017" s="133"/>
      <c r="P1017" s="133"/>
      <c r="Q1017" s="133"/>
      <c r="R1017" s="133"/>
      <c r="S1017" s="133"/>
      <c r="T1017" s="133"/>
      <c r="U1017" s="133"/>
      <c r="V1017" s="134" t="s">
        <v>1014</v>
      </c>
      <c r="X1017" s="1553">
        <f>BK621</f>
        <v>17</v>
      </c>
      <c r="Y1017" s="1554"/>
      <c r="AF1017" s="961"/>
      <c r="AG1017" s="962"/>
      <c r="AH1017" s="962"/>
      <c r="AI1017" s="963"/>
      <c r="AJ1017" s="1491"/>
      <c r="AK1017" s="1492"/>
      <c r="AL1017" s="1492"/>
      <c r="AM1017" s="1492"/>
      <c r="AN1017" s="1492"/>
      <c r="AO1017" s="1492"/>
      <c r="AP1017" s="1492"/>
      <c r="AQ1017" s="1493"/>
      <c r="AR1017" s="68"/>
      <c r="AS1017" s="68"/>
      <c r="AT1017" s="68"/>
      <c r="AU1017" s="68"/>
      <c r="AV1017" s="68"/>
      <c r="AW1017" s="68"/>
      <c r="AX1017" s="68"/>
      <c r="AY1017" s="68"/>
    </row>
    <row r="1018" spans="1:51" ht="12.95" customHeight="1">
      <c r="A1018" s="14"/>
      <c r="B1018" s="102"/>
      <c r="C1018" s="103"/>
      <c r="D1018" s="1551" t="s">
        <v>522</v>
      </c>
      <c r="E1018" s="1551"/>
      <c r="F1018" s="1551"/>
      <c r="G1018" s="1551"/>
      <c r="H1018" s="1551"/>
      <c r="I1018" s="1551"/>
      <c r="J1018" s="1551"/>
      <c r="K1018" s="1551"/>
      <c r="L1018" s="1551"/>
      <c r="M1018" s="1551"/>
      <c r="N1018" s="1551"/>
      <c r="O1018" s="1551"/>
      <c r="P1018" s="1551"/>
      <c r="Q1018" s="1551"/>
      <c r="R1018" s="1551"/>
      <c r="S1018" s="1551"/>
      <c r="T1018" s="1551"/>
      <c r="U1018" s="1551"/>
      <c r="V1018" s="1551"/>
      <c r="W1018" s="1551"/>
      <c r="X1018" s="1551"/>
      <c r="Y1018" s="1551"/>
      <c r="Z1018" s="1551"/>
      <c r="AA1018" s="1551"/>
      <c r="AB1018" s="1551"/>
      <c r="AC1018" s="1551"/>
      <c r="AD1018" s="1551"/>
      <c r="AE1018" s="1551"/>
      <c r="AF1018" s="1551"/>
      <c r="AG1018" s="1551"/>
      <c r="AH1018" s="1551"/>
      <c r="AI1018" s="1552"/>
      <c r="AJ1018" s="1561">
        <f>SUM(AJ961:AQ1017)</f>
        <v>133790052</v>
      </c>
      <c r="AK1018" s="1562"/>
      <c r="AL1018" s="1562"/>
      <c r="AM1018" s="1562"/>
      <c r="AN1018" s="1562"/>
      <c r="AO1018" s="1562"/>
      <c r="AP1018" s="1562"/>
      <c r="AQ1018" s="1563"/>
      <c r="AR1018" s="68"/>
      <c r="AS1018" s="68"/>
      <c r="AT1018" s="68"/>
      <c r="AU1018" s="68"/>
      <c r="AV1018" s="68"/>
      <c r="AW1018" s="68"/>
      <c r="AX1018" s="68"/>
      <c r="AY1018" s="68"/>
    </row>
    <row r="1019" spans="1:51" ht="12.95" customHeight="1">
      <c r="A1019" s="14"/>
      <c r="B1019" s="14"/>
      <c r="C1019" s="223"/>
      <c r="D1019" s="228"/>
      <c r="E1019" s="228"/>
      <c r="F1019" s="228"/>
      <c r="G1019" s="228"/>
      <c r="H1019" s="228"/>
      <c r="I1019" s="228"/>
      <c r="J1019" s="228"/>
      <c r="K1019" s="228"/>
      <c r="L1019" s="228"/>
      <c r="M1019" s="228"/>
      <c r="N1019" s="228"/>
      <c r="O1019" s="228"/>
      <c r="P1019" s="228"/>
      <c r="Q1019" s="228"/>
      <c r="R1019" s="228"/>
      <c r="S1019" s="228"/>
      <c r="T1019" s="224"/>
      <c r="U1019" s="224"/>
      <c r="V1019" s="224"/>
      <c r="W1019" s="224"/>
      <c r="X1019" s="224"/>
      <c r="Y1019" s="224"/>
      <c r="Z1019" s="224"/>
      <c r="AA1019" s="224"/>
      <c r="AB1019" s="224"/>
      <c r="AC1019" s="224"/>
      <c r="AD1019" s="222"/>
      <c r="AE1019" s="222"/>
      <c r="AF1019" s="222"/>
      <c r="AG1019" s="222"/>
      <c r="AH1019" s="222"/>
      <c r="AI1019" s="222"/>
      <c r="AJ1019" s="222"/>
      <c r="AK1019" s="222"/>
      <c r="AL1019" s="68"/>
      <c r="AM1019" s="68"/>
      <c r="AN1019" s="68"/>
      <c r="AO1019" s="68"/>
      <c r="AP1019" s="68"/>
      <c r="AQ1019" s="68"/>
      <c r="AR1019" s="68"/>
      <c r="AS1019" s="68"/>
      <c r="AT1019" s="68"/>
      <c r="AU1019" s="68"/>
      <c r="AV1019" s="68"/>
      <c r="AW1019" s="68"/>
      <c r="AX1019" s="68"/>
      <c r="AY1019" s="68"/>
    </row>
    <row r="1020" spans="1:51" ht="12.95" customHeight="1">
      <c r="A1020" s="14"/>
      <c r="B1020" s="68"/>
      <c r="C1020" s="68"/>
      <c r="D1020" s="68"/>
      <c r="E1020" s="68"/>
      <c r="F1020" s="68"/>
      <c r="G1020" s="68"/>
      <c r="H1020" s="68"/>
      <c r="I1020" s="68"/>
      <c r="J1020" s="68"/>
      <c r="K1020" s="68"/>
      <c r="L1020" s="68"/>
      <c r="M1020" s="68"/>
      <c r="N1020" s="68"/>
      <c r="O1020" s="68"/>
      <c r="P1020" s="68"/>
      <c r="Q1020" s="68"/>
      <c r="R1020" s="68"/>
      <c r="S1020" s="68"/>
      <c r="T1020" s="68"/>
      <c r="U1020" s="68"/>
      <c r="V1020" s="68"/>
      <c r="W1020" s="68"/>
      <c r="X1020" s="68"/>
      <c r="Y1020" s="68"/>
      <c r="Z1020" s="68"/>
      <c r="AA1020" s="68"/>
      <c r="AB1020" s="68"/>
      <c r="AC1020" s="68"/>
      <c r="AD1020" s="68"/>
      <c r="AE1020" s="68"/>
      <c r="AF1020" s="68"/>
      <c r="AG1020" s="68"/>
      <c r="AH1020" s="68"/>
      <c r="AI1020" s="68"/>
      <c r="AJ1020" s="68"/>
      <c r="AK1020" s="68"/>
      <c r="AL1020" s="68"/>
      <c r="AM1020" s="68"/>
      <c r="AN1020" s="68"/>
      <c r="AO1020" s="68"/>
      <c r="AP1020" s="68"/>
      <c r="AQ1020" s="68"/>
      <c r="AR1020" s="68"/>
      <c r="AS1020" s="68"/>
      <c r="AT1020" s="68"/>
      <c r="AU1020" s="68"/>
      <c r="AV1020" s="68"/>
      <c r="AW1020" s="68"/>
      <c r="AX1020" s="68"/>
      <c r="AY1020" s="68"/>
    </row>
    <row r="1021" spans="1:51" ht="12.95" customHeight="1">
      <c r="A1021" s="14"/>
      <c r="B1021" s="68"/>
      <c r="C1021" s="68"/>
      <c r="D1021" s="68"/>
      <c r="E1021" s="68"/>
      <c r="F1021" s="68"/>
      <c r="G1021" s="68"/>
      <c r="H1021" s="68"/>
      <c r="I1021" s="68"/>
      <c r="J1021" s="68"/>
      <c r="K1021" s="68"/>
      <c r="L1021" s="68"/>
      <c r="M1021" s="68"/>
      <c r="N1021" s="68"/>
      <c r="O1021" s="68"/>
      <c r="P1021" s="68"/>
      <c r="Q1021" s="68"/>
      <c r="R1021" s="68"/>
      <c r="S1021" s="68"/>
      <c r="T1021" s="68"/>
      <c r="U1021" s="68"/>
      <c r="V1021" s="68"/>
      <c r="W1021" s="68"/>
      <c r="X1021" s="68"/>
      <c r="Y1021" s="68"/>
      <c r="Z1021" s="68"/>
      <c r="AA1021" s="68"/>
      <c r="AB1021" s="68"/>
      <c r="AC1021" s="68"/>
      <c r="AD1021" s="68"/>
      <c r="AE1021" s="68"/>
      <c r="AF1021" s="68"/>
      <c r="AG1021" s="68"/>
      <c r="AH1021" s="68"/>
      <c r="AI1021" s="68"/>
      <c r="AJ1021" s="68"/>
      <c r="AK1021" s="68"/>
      <c r="AL1021" s="68"/>
      <c r="AM1021" s="68"/>
      <c r="AN1021" s="68"/>
      <c r="AO1021" s="68"/>
      <c r="AP1021" s="68"/>
      <c r="AQ1021" s="68"/>
      <c r="AR1021" s="68"/>
      <c r="AS1021" s="68"/>
      <c r="AT1021" s="68"/>
      <c r="AU1021" s="68"/>
      <c r="AV1021" s="68"/>
      <c r="AW1021" s="68"/>
      <c r="AX1021" s="68"/>
      <c r="AY1021" s="68"/>
    </row>
    <row r="1022" spans="1:51" ht="12.95" customHeight="1">
      <c r="A1022" s="14"/>
      <c r="B1022" s="68"/>
      <c r="C1022" s="68"/>
      <c r="D1022" s="68"/>
      <c r="E1022" s="68"/>
      <c r="F1022" s="68"/>
      <c r="G1022" s="68"/>
      <c r="H1022" s="68"/>
      <c r="I1022" s="68"/>
      <c r="J1022" s="68"/>
      <c r="K1022" s="68"/>
      <c r="L1022" s="68"/>
      <c r="M1022" s="68"/>
      <c r="N1022" s="68"/>
      <c r="O1022" s="68"/>
      <c r="P1022" s="68"/>
      <c r="Q1022" s="68"/>
      <c r="R1022" s="68"/>
      <c r="S1022" s="68"/>
      <c r="T1022" s="68"/>
      <c r="U1022" s="68"/>
      <c r="V1022" s="68"/>
      <c r="W1022" s="68"/>
      <c r="X1022" s="68"/>
      <c r="Y1022" s="68"/>
      <c r="Z1022" s="68"/>
      <c r="AA1022" s="68"/>
      <c r="AB1022" s="68"/>
      <c r="AC1022" s="68"/>
      <c r="AD1022" s="68"/>
      <c r="AE1022" s="68"/>
      <c r="AF1022" s="68"/>
      <c r="AG1022" s="68"/>
      <c r="AH1022" s="68"/>
      <c r="AI1022" s="68"/>
      <c r="AJ1022" s="68"/>
      <c r="AK1022" s="68"/>
      <c r="AL1022" s="68"/>
      <c r="AM1022" s="68"/>
      <c r="AN1022" s="68"/>
      <c r="AO1022" s="68"/>
      <c r="AP1022" s="68"/>
      <c r="AQ1022" s="68"/>
      <c r="AR1022" s="68"/>
      <c r="AS1022" s="68"/>
      <c r="AT1022" s="68"/>
      <c r="AU1022" s="68"/>
      <c r="AV1022" s="68"/>
      <c r="AW1022" s="68"/>
      <c r="AX1022" s="68"/>
      <c r="AY1022" s="68"/>
    </row>
    <row r="1023" spans="1:51" ht="12.95" customHeight="1">
      <c r="A1023" s="14"/>
      <c r="B1023" s="68"/>
      <c r="C1023" s="68"/>
      <c r="D1023" s="68"/>
      <c r="E1023" s="68"/>
      <c r="F1023" s="68"/>
      <c r="G1023" s="68"/>
      <c r="H1023" s="68"/>
      <c r="I1023" s="68"/>
      <c r="J1023" s="68"/>
      <c r="K1023" s="68"/>
      <c r="L1023" s="68"/>
      <c r="M1023" s="68"/>
      <c r="N1023" s="68"/>
      <c r="O1023" s="68"/>
      <c r="P1023" s="68"/>
      <c r="Q1023" s="68"/>
      <c r="R1023" s="68"/>
      <c r="S1023" s="68"/>
      <c r="T1023" s="68"/>
      <c r="U1023" s="68"/>
      <c r="V1023" s="68"/>
      <c r="W1023" s="68"/>
      <c r="X1023" s="68"/>
      <c r="Y1023" s="68"/>
      <c r="Z1023" s="68"/>
      <c r="AA1023" s="68"/>
      <c r="AB1023" s="68"/>
      <c r="AC1023" s="68"/>
      <c r="AD1023" s="68"/>
      <c r="AE1023" s="68"/>
      <c r="AF1023" s="68"/>
      <c r="AG1023" s="68"/>
      <c r="AH1023" s="68"/>
      <c r="AI1023" s="68"/>
      <c r="AJ1023" s="68"/>
      <c r="AK1023" s="68"/>
      <c r="AL1023" s="68"/>
      <c r="AM1023" s="68"/>
      <c r="AN1023" s="68"/>
      <c r="AO1023" s="68"/>
      <c r="AP1023" s="68"/>
      <c r="AQ1023" s="68"/>
      <c r="AR1023" s="68"/>
      <c r="AS1023" s="68"/>
      <c r="AT1023" s="68"/>
      <c r="AU1023" s="68"/>
      <c r="AV1023" s="68"/>
      <c r="AW1023" s="68"/>
      <c r="AX1023" s="68"/>
      <c r="AY1023" s="68"/>
    </row>
    <row r="1024" spans="1:51" ht="12.95" customHeight="1">
      <c r="A1024" s="14"/>
      <c r="B1024" s="14"/>
      <c r="C1024" s="223"/>
      <c r="D1024" s="894"/>
      <c r="E1024" s="894"/>
      <c r="F1024" s="894"/>
      <c r="G1024" s="894"/>
      <c r="H1024" s="894"/>
      <c r="I1024" s="894"/>
      <c r="J1024" s="894"/>
      <c r="K1024" s="894"/>
      <c r="L1024" s="894"/>
      <c r="M1024" s="894"/>
      <c r="N1024" s="894"/>
      <c r="O1024" s="894"/>
      <c r="P1024" s="894"/>
      <c r="Q1024" s="894"/>
      <c r="R1024" s="894"/>
      <c r="S1024" s="894"/>
      <c r="T1024" s="894"/>
      <c r="U1024" s="894"/>
      <c r="V1024" s="894"/>
      <c r="W1024" s="894"/>
      <c r="X1024" s="894"/>
      <c r="Y1024" s="894"/>
      <c r="Z1024" s="894"/>
      <c r="AA1024" s="894"/>
      <c r="AB1024" s="894"/>
      <c r="AC1024" s="894"/>
      <c r="AD1024" s="894"/>
      <c r="AE1024" s="894"/>
      <c r="AF1024" s="894"/>
      <c r="AG1024" s="894"/>
      <c r="AH1024" s="894"/>
      <c r="AI1024" s="894"/>
      <c r="AJ1024" s="894"/>
      <c r="AK1024" s="894"/>
      <c r="AL1024" s="68"/>
      <c r="AM1024" s="68"/>
      <c r="AN1024" s="68"/>
      <c r="AO1024" s="68"/>
      <c r="AP1024" s="68"/>
      <c r="AQ1024" s="68"/>
      <c r="AR1024" s="68"/>
      <c r="AS1024" s="68"/>
      <c r="AT1024" s="68"/>
      <c r="AU1024" s="68"/>
      <c r="AV1024" s="68"/>
      <c r="AW1024" s="68"/>
      <c r="AX1024" s="68"/>
      <c r="AY1024" s="68"/>
    </row>
    <row r="1025" spans="1:51" ht="12.95" customHeight="1">
      <c r="A1025" s="88"/>
      <c r="B1025" s="1640">
        <f>IF(ISNA(IF((AJ985&gt;(AJ961*0.15)),"(f) cannot be greater than 15% of unadjusted eligible basis.",0)),"",(IF((AJ985&gt;(AJ961*0.15)),"(f) cannot be greater than 15% of unadjusted eligible basis.",0)))</f>
        <v>0</v>
      </c>
      <c r="C1025" s="1640"/>
      <c r="D1025" s="1640"/>
      <c r="E1025" s="1640"/>
      <c r="F1025" s="1640"/>
      <c r="G1025" s="1640"/>
      <c r="H1025" s="1640"/>
      <c r="I1025" s="1640"/>
      <c r="J1025" s="1640"/>
      <c r="K1025" s="1640"/>
      <c r="L1025" s="1640"/>
      <c r="M1025" s="1640"/>
      <c r="N1025" s="1640"/>
      <c r="O1025" s="1640"/>
      <c r="P1025" s="1640"/>
      <c r="Q1025" s="1640"/>
      <c r="R1025" s="1640"/>
      <c r="S1025" s="1640"/>
      <c r="T1025" s="1640"/>
      <c r="U1025" s="1640"/>
      <c r="V1025" s="1640"/>
      <c r="W1025" s="1640"/>
      <c r="X1025" s="1640"/>
      <c r="Y1025" s="1640"/>
      <c r="Z1025" s="1640"/>
      <c r="AA1025" s="1640"/>
      <c r="AB1025" s="1640"/>
      <c r="AC1025" s="1640"/>
      <c r="AD1025" s="1640"/>
      <c r="AE1025" s="1640"/>
      <c r="AF1025" s="1640"/>
      <c r="AG1025" s="1640"/>
      <c r="AH1025" s="1640"/>
      <c r="AI1025" s="1640"/>
      <c r="AJ1025" s="1640"/>
      <c r="AK1025" s="1640"/>
      <c r="AL1025" s="68"/>
      <c r="AM1025" s="68"/>
      <c r="AN1025" s="68"/>
      <c r="AO1025" s="68"/>
      <c r="AP1025" s="68"/>
      <c r="AQ1025" s="68"/>
      <c r="AR1025" s="68"/>
      <c r="AS1025" s="68"/>
      <c r="AT1025" s="68"/>
      <c r="AU1025" s="68"/>
      <c r="AV1025" s="68"/>
      <c r="AW1025" s="68"/>
      <c r="AX1025" s="68"/>
      <c r="AY1025" s="68"/>
    </row>
    <row r="1026" spans="1:51" ht="12.95" customHeight="1" thickBot="1">
      <c r="A1026" s="1671" t="s">
        <v>818</v>
      </c>
      <c r="B1026" s="1671"/>
      <c r="C1026" s="1671"/>
      <c r="D1026" s="1671"/>
      <c r="E1026" s="1671"/>
      <c r="F1026" s="1671"/>
      <c r="G1026" s="1671"/>
      <c r="H1026" s="1671"/>
      <c r="I1026" s="1671"/>
      <c r="J1026" s="1671"/>
      <c r="K1026" s="1671"/>
      <c r="L1026" s="1671"/>
      <c r="M1026" s="1671"/>
      <c r="N1026" s="1671"/>
      <c r="O1026" s="1671"/>
      <c r="P1026" s="1671"/>
      <c r="Q1026" s="1671"/>
      <c r="R1026" s="1671"/>
      <c r="S1026" s="1671"/>
      <c r="T1026" s="1671"/>
      <c r="U1026" s="1671"/>
      <c r="V1026" s="1671"/>
      <c r="W1026" s="1671"/>
      <c r="X1026" s="1671"/>
      <c r="Y1026" s="1671"/>
      <c r="Z1026" s="1671"/>
      <c r="AA1026" s="1671"/>
      <c r="AB1026" s="1671"/>
      <c r="AC1026" s="1671"/>
      <c r="AD1026" s="1671"/>
      <c r="AE1026" s="1671"/>
      <c r="AF1026" s="1671"/>
      <c r="AG1026" s="1671"/>
      <c r="AH1026" s="1671"/>
      <c r="AI1026" s="1671"/>
      <c r="AJ1026" s="1671"/>
      <c r="AK1026" s="1671"/>
      <c r="AL1026" s="1671"/>
      <c r="AM1026" s="13"/>
      <c r="AN1026" s="13"/>
      <c r="AO1026" s="13"/>
      <c r="AP1026" s="13"/>
      <c r="AQ1026" s="13"/>
      <c r="AR1026" s="13"/>
      <c r="AS1026" s="13"/>
      <c r="AT1026" s="13"/>
      <c r="AU1026" s="13"/>
      <c r="AV1026" s="13"/>
      <c r="AW1026" s="13"/>
      <c r="AX1026" s="13"/>
      <c r="AY1026" s="13"/>
    </row>
    <row r="1027" spans="1:51" ht="12.95" customHeight="1" thickTop="1">
      <c r="A1027" s="14"/>
      <c r="B1027" s="14"/>
      <c r="C1027" s="14"/>
      <c r="D1027" s="14"/>
      <c r="E1027" s="14"/>
      <c r="F1027" s="14"/>
      <c r="G1027" s="14"/>
      <c r="H1027" s="14"/>
      <c r="I1027" s="14"/>
      <c r="J1027" s="14"/>
      <c r="K1027" s="14"/>
      <c r="L1027" s="14"/>
      <c r="M1027" s="14"/>
      <c r="N1027" s="14"/>
      <c r="O1027" s="14"/>
      <c r="P1027" s="14"/>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c r="AP1027" s="13"/>
      <c r="AQ1027" s="13"/>
      <c r="AR1027" s="13"/>
      <c r="AS1027" s="13"/>
      <c r="AT1027" s="13"/>
      <c r="AU1027" s="13"/>
      <c r="AV1027" s="13"/>
      <c r="AW1027" s="13"/>
      <c r="AX1027" s="13"/>
      <c r="AY1027" s="13"/>
    </row>
    <row r="1028" spans="1:51" ht="12.95" customHeight="1">
      <c r="A1028" s="57" t="s">
        <v>819</v>
      </c>
      <c r="B1028" s="13"/>
      <c r="C1028" s="13"/>
      <c r="D1028" s="13"/>
      <c r="E1028" s="13"/>
      <c r="F1028" s="13"/>
      <c r="G1028" s="13"/>
      <c r="H1028" s="13"/>
      <c r="I1028" s="13"/>
      <c r="J1028" s="13"/>
      <c r="K1028" s="13"/>
      <c r="L1028" s="13"/>
      <c r="M1028" s="13"/>
      <c r="N1028" s="13"/>
      <c r="O1028" s="13"/>
      <c r="P1028" s="13"/>
      <c r="Q1028" s="13"/>
      <c r="R1028" s="13"/>
      <c r="S1028" s="13"/>
      <c r="T1028" s="13"/>
      <c r="U1028" s="13"/>
      <c r="V1028" s="13"/>
      <c r="W1028" s="13"/>
      <c r="X1028" s="13"/>
      <c r="AJ1028" s="14"/>
      <c r="AK1028" s="14"/>
      <c r="AL1028" s="14"/>
      <c r="AM1028" s="14"/>
      <c r="AN1028" s="14"/>
      <c r="AO1028" s="14"/>
      <c r="AP1028" s="14"/>
      <c r="AQ1028" s="14"/>
      <c r="AR1028" s="14"/>
      <c r="AS1028" s="14"/>
      <c r="AT1028" s="14"/>
      <c r="AU1028" s="14"/>
      <c r="AV1028" s="14"/>
      <c r="AW1028" s="14"/>
      <c r="AX1028" s="14"/>
      <c r="AY1028" s="14"/>
    </row>
    <row r="1029" spans="1:51" ht="12.95" customHeight="1">
      <c r="A1029" s="211" t="s">
        <v>820</v>
      </c>
      <c r="B1029" s="67"/>
      <c r="C1029" s="67"/>
      <c r="D1029" s="67"/>
      <c r="E1029" s="67"/>
      <c r="F1029" s="67"/>
      <c r="G1029" s="67"/>
      <c r="H1029" s="67"/>
      <c r="I1029" s="67"/>
      <c r="J1029" s="67"/>
      <c r="K1029" s="67"/>
      <c r="L1029" s="67"/>
      <c r="M1029" s="67"/>
      <c r="N1029" s="67"/>
      <c r="O1029" s="67"/>
      <c r="P1029" s="67"/>
      <c r="Q1029" s="13"/>
      <c r="R1029" s="13"/>
      <c r="S1029" s="13"/>
      <c r="T1029" s="13"/>
      <c r="U1029" s="13"/>
      <c r="V1029" s="13"/>
      <c r="W1029" s="13"/>
      <c r="X1029" s="13"/>
      <c r="Y1029" s="4"/>
      <c r="Z1029" s="4"/>
      <c r="AA1029" s="4"/>
      <c r="AB1029" s="4"/>
      <c r="AC1029" s="4"/>
      <c r="AD1029" s="4"/>
      <c r="AE1029" s="4"/>
      <c r="AF1029" s="4"/>
      <c r="AG1029" s="4"/>
      <c r="AH1029" s="4"/>
      <c r="AI1029" s="4"/>
      <c r="AJ1029" s="14"/>
      <c r="AK1029" s="14"/>
      <c r="AL1029" s="14"/>
      <c r="AM1029" s="14"/>
      <c r="AN1029" s="14"/>
      <c r="AO1029" s="14"/>
      <c r="AP1029" s="14"/>
      <c r="AQ1029" s="14"/>
      <c r="AR1029" s="14"/>
      <c r="AS1029" s="14"/>
      <c r="AT1029" s="14"/>
      <c r="AU1029" s="14"/>
      <c r="AV1029" s="14"/>
      <c r="AW1029" s="14"/>
      <c r="AX1029" s="14"/>
      <c r="AY1029" s="14"/>
    </row>
    <row r="1030" spans="1:51" ht="12.95" customHeight="1">
      <c r="A1030" s="1353" t="s">
        <v>600</v>
      </c>
      <c r="B1030" s="1353"/>
      <c r="C1030" s="8">
        <v>1</v>
      </c>
      <c r="D1030" s="1262" t="s">
        <v>1170</v>
      </c>
      <c r="E1030" s="1262"/>
      <c r="F1030" s="1262"/>
      <c r="G1030" s="1262"/>
      <c r="H1030" s="1262"/>
      <c r="I1030" s="1262"/>
      <c r="J1030" s="1262"/>
      <c r="K1030" s="1262"/>
      <c r="L1030" s="1262"/>
      <c r="M1030" s="1262"/>
      <c r="N1030" s="1262"/>
      <c r="O1030" s="1262"/>
      <c r="P1030" s="1262"/>
      <c r="Q1030" s="1262"/>
      <c r="R1030" s="1262"/>
      <c r="S1030" s="1262"/>
      <c r="T1030" s="1262"/>
      <c r="U1030" s="1262"/>
      <c r="V1030" s="1262"/>
      <c r="W1030" s="1262"/>
      <c r="X1030" s="1262"/>
      <c r="Y1030" s="1262"/>
      <c r="Z1030" s="1262"/>
      <c r="AA1030" s="1262"/>
      <c r="AB1030" s="1262"/>
      <c r="AC1030" s="1262"/>
      <c r="AD1030" s="1262"/>
      <c r="AE1030" s="1262"/>
      <c r="AF1030" s="1262"/>
      <c r="AG1030" s="1262"/>
      <c r="AH1030" s="1262"/>
      <c r="AI1030" s="1262"/>
      <c r="AJ1030" s="1262"/>
      <c r="AK1030" s="1262"/>
      <c r="AL1030" s="68"/>
      <c r="AM1030" s="68"/>
      <c r="AN1030" s="68"/>
      <c r="AO1030" s="68"/>
      <c r="AP1030" s="68"/>
      <c r="AQ1030" s="68"/>
      <c r="AR1030" s="68"/>
      <c r="AS1030" s="68"/>
      <c r="AT1030" s="68"/>
      <c r="AU1030" s="68"/>
      <c r="AV1030" s="68"/>
      <c r="AW1030" s="68"/>
      <c r="AX1030" s="68"/>
      <c r="AY1030" s="68"/>
    </row>
    <row r="1031" spans="1:51" ht="12.95" customHeight="1">
      <c r="A1031" s="1"/>
      <c r="B1031" s="1"/>
      <c r="C1031" s="8"/>
      <c r="D1031" s="1262"/>
      <c r="E1031" s="1262"/>
      <c r="F1031" s="1262"/>
      <c r="G1031" s="1262"/>
      <c r="H1031" s="1262"/>
      <c r="I1031" s="1262"/>
      <c r="J1031" s="1262"/>
      <c r="K1031" s="1262"/>
      <c r="L1031" s="1262"/>
      <c r="M1031" s="1262"/>
      <c r="N1031" s="1262"/>
      <c r="O1031" s="1262"/>
      <c r="P1031" s="1262"/>
      <c r="Q1031" s="1262"/>
      <c r="R1031" s="1262"/>
      <c r="S1031" s="1262"/>
      <c r="T1031" s="1262"/>
      <c r="U1031" s="1262"/>
      <c r="V1031" s="1262"/>
      <c r="W1031" s="1262"/>
      <c r="X1031" s="1262"/>
      <c r="Y1031" s="1262"/>
      <c r="Z1031" s="1262"/>
      <c r="AA1031" s="1262"/>
      <c r="AB1031" s="1262"/>
      <c r="AC1031" s="1262"/>
      <c r="AD1031" s="1262"/>
      <c r="AE1031" s="1262"/>
      <c r="AF1031" s="1262"/>
      <c r="AG1031" s="1262"/>
      <c r="AH1031" s="1262"/>
      <c r="AI1031" s="1262"/>
      <c r="AJ1031" s="1262"/>
      <c r="AK1031" s="1262"/>
      <c r="AL1031" s="68"/>
      <c r="AM1031" s="68"/>
      <c r="AN1031" s="68"/>
      <c r="AO1031" s="68"/>
      <c r="AP1031" s="68"/>
      <c r="AQ1031" s="68"/>
      <c r="AR1031" s="68"/>
      <c r="AS1031" s="68"/>
      <c r="AT1031" s="68"/>
      <c r="AU1031" s="68"/>
      <c r="AV1031" s="68"/>
      <c r="AW1031" s="68"/>
      <c r="AX1031" s="68"/>
      <c r="AY1031" s="68"/>
    </row>
    <row r="1032" spans="1:51" ht="12.95" customHeight="1">
      <c r="A1032" s="1"/>
      <c r="B1032" s="1"/>
      <c r="C1032" s="8"/>
      <c r="D1032" s="1262"/>
      <c r="E1032" s="1262"/>
      <c r="F1032" s="1262"/>
      <c r="G1032" s="1262"/>
      <c r="H1032" s="1262"/>
      <c r="I1032" s="1262"/>
      <c r="J1032" s="1262"/>
      <c r="K1032" s="1262"/>
      <c r="L1032" s="1262"/>
      <c r="M1032" s="1262"/>
      <c r="N1032" s="1262"/>
      <c r="O1032" s="1262"/>
      <c r="P1032" s="1262"/>
      <c r="Q1032" s="1262"/>
      <c r="R1032" s="1262"/>
      <c r="S1032" s="1262"/>
      <c r="T1032" s="1262"/>
      <c r="U1032" s="1262"/>
      <c r="V1032" s="1262"/>
      <c r="W1032" s="1262"/>
      <c r="X1032" s="1262"/>
      <c r="Y1032" s="1262"/>
      <c r="Z1032" s="1262"/>
      <c r="AA1032" s="1262"/>
      <c r="AB1032" s="1262"/>
      <c r="AC1032" s="1262"/>
      <c r="AD1032" s="1262"/>
      <c r="AE1032" s="1262"/>
      <c r="AF1032" s="1262"/>
      <c r="AG1032" s="1262"/>
      <c r="AH1032" s="1262"/>
      <c r="AI1032" s="1262"/>
      <c r="AJ1032" s="1262"/>
      <c r="AK1032" s="1262"/>
      <c r="AL1032" s="68"/>
      <c r="AM1032" s="68"/>
      <c r="AN1032" s="68"/>
      <c r="AO1032" s="68"/>
      <c r="AP1032" s="68"/>
      <c r="AQ1032" s="68"/>
      <c r="AR1032" s="68"/>
      <c r="AS1032" s="68"/>
      <c r="AT1032" s="68"/>
      <c r="AU1032" s="68"/>
      <c r="AV1032" s="68"/>
      <c r="AW1032" s="68"/>
      <c r="AX1032" s="68"/>
      <c r="AY1032" s="68"/>
    </row>
    <row r="1033" spans="1:51" ht="12.95" customHeight="1">
      <c r="A1033" s="1"/>
      <c r="B1033" s="1"/>
      <c r="C1033" s="8"/>
      <c r="D1033" s="1262"/>
      <c r="E1033" s="1262"/>
      <c r="F1033" s="1262"/>
      <c r="G1033" s="1262"/>
      <c r="H1033" s="1262"/>
      <c r="I1033" s="1262"/>
      <c r="J1033" s="1262"/>
      <c r="K1033" s="1262"/>
      <c r="L1033" s="1262"/>
      <c r="M1033" s="1262"/>
      <c r="N1033" s="1262"/>
      <c r="O1033" s="1262"/>
      <c r="P1033" s="1262"/>
      <c r="Q1033" s="1262"/>
      <c r="R1033" s="1262"/>
      <c r="S1033" s="1262"/>
      <c r="T1033" s="1262"/>
      <c r="U1033" s="1262"/>
      <c r="V1033" s="1262"/>
      <c r="W1033" s="1262"/>
      <c r="X1033" s="1262"/>
      <c r="Y1033" s="1262"/>
      <c r="Z1033" s="1262"/>
      <c r="AA1033" s="1262"/>
      <c r="AB1033" s="1262"/>
      <c r="AC1033" s="1262"/>
      <c r="AD1033" s="1262"/>
      <c r="AE1033" s="1262"/>
      <c r="AF1033" s="1262"/>
      <c r="AG1033" s="1262"/>
      <c r="AH1033" s="1262"/>
      <c r="AI1033" s="1262"/>
      <c r="AJ1033" s="1262"/>
      <c r="AK1033" s="1262"/>
      <c r="AL1033" s="68"/>
      <c r="AM1033" s="68"/>
      <c r="AN1033" s="68"/>
      <c r="AO1033" s="68"/>
      <c r="AP1033" s="68"/>
      <c r="AQ1033" s="68"/>
      <c r="AR1033" s="68"/>
      <c r="AS1033" s="68"/>
      <c r="AT1033" s="68"/>
      <c r="AU1033" s="68"/>
      <c r="AV1033" s="68"/>
      <c r="AW1033" s="68"/>
      <c r="AX1033" s="68"/>
      <c r="AY1033" s="68"/>
    </row>
    <row r="1034" spans="1:51" ht="12.95" customHeight="1">
      <c r="A1034" s="1"/>
      <c r="B1034" s="1"/>
      <c r="C1034" s="8"/>
      <c r="D1034" s="1262"/>
      <c r="E1034" s="1262"/>
      <c r="F1034" s="1262"/>
      <c r="G1034" s="1262"/>
      <c r="H1034" s="1262"/>
      <c r="I1034" s="1262"/>
      <c r="J1034" s="1262"/>
      <c r="K1034" s="1262"/>
      <c r="L1034" s="1262"/>
      <c r="M1034" s="1262"/>
      <c r="N1034" s="1262"/>
      <c r="O1034" s="1262"/>
      <c r="P1034" s="1262"/>
      <c r="Q1034" s="1262"/>
      <c r="R1034" s="1262"/>
      <c r="S1034" s="1262"/>
      <c r="T1034" s="1262"/>
      <c r="U1034" s="1262"/>
      <c r="V1034" s="1262"/>
      <c r="W1034" s="1262"/>
      <c r="X1034" s="1262"/>
      <c r="Y1034" s="1262"/>
      <c r="Z1034" s="1262"/>
      <c r="AA1034" s="1262"/>
      <c r="AB1034" s="1262"/>
      <c r="AC1034" s="1262"/>
      <c r="AD1034" s="1262"/>
      <c r="AE1034" s="1262"/>
      <c r="AF1034" s="1262"/>
      <c r="AG1034" s="1262"/>
      <c r="AH1034" s="1262"/>
      <c r="AI1034" s="1262"/>
      <c r="AJ1034" s="1262"/>
      <c r="AK1034" s="1262"/>
      <c r="AL1034" s="68"/>
      <c r="AM1034" s="68"/>
      <c r="AN1034" s="68"/>
      <c r="AO1034" s="68"/>
      <c r="AP1034" s="68"/>
      <c r="AQ1034" s="68"/>
      <c r="AR1034" s="68"/>
      <c r="AS1034" s="68"/>
      <c r="AT1034" s="68"/>
      <c r="AU1034" s="68"/>
      <c r="AV1034" s="68"/>
      <c r="AW1034" s="68"/>
      <c r="AX1034" s="68"/>
      <c r="AY1034" s="68"/>
    </row>
    <row r="1035" spans="1:51" ht="12.95" customHeight="1">
      <c r="A1035" s="2"/>
      <c r="B1035" s="25"/>
      <c r="C1035" s="8"/>
      <c r="D1035" s="1262"/>
      <c r="E1035" s="1262"/>
      <c r="F1035" s="1262"/>
      <c r="G1035" s="1262"/>
      <c r="H1035" s="1262"/>
      <c r="I1035" s="1262"/>
      <c r="J1035" s="1262"/>
      <c r="K1035" s="1262"/>
      <c r="L1035" s="1262"/>
      <c r="M1035" s="1262"/>
      <c r="N1035" s="1262"/>
      <c r="O1035" s="1262"/>
      <c r="P1035" s="1262"/>
      <c r="Q1035" s="1262"/>
      <c r="R1035" s="1262"/>
      <c r="S1035" s="1262"/>
      <c r="T1035" s="1262"/>
      <c r="U1035" s="1262"/>
      <c r="V1035" s="1262"/>
      <c r="W1035" s="1262"/>
      <c r="X1035" s="1262"/>
      <c r="Y1035" s="1262"/>
      <c r="Z1035" s="1262"/>
      <c r="AA1035" s="1262"/>
      <c r="AB1035" s="1262"/>
      <c r="AC1035" s="1262"/>
      <c r="AD1035" s="1262"/>
      <c r="AE1035" s="1262"/>
      <c r="AF1035" s="1262"/>
      <c r="AG1035" s="1262"/>
      <c r="AH1035" s="1262"/>
      <c r="AI1035" s="1262"/>
      <c r="AJ1035" s="1262"/>
      <c r="AK1035" s="1262"/>
      <c r="AL1035" s="68"/>
      <c r="AM1035" s="68"/>
      <c r="AN1035" s="68"/>
      <c r="AO1035" s="68"/>
      <c r="AP1035" s="68"/>
      <c r="AQ1035" s="68"/>
      <c r="AR1035" s="68"/>
      <c r="AS1035" s="68"/>
      <c r="AT1035" s="68"/>
      <c r="AU1035" s="68"/>
      <c r="AV1035" s="68"/>
      <c r="AW1035" s="68"/>
      <c r="AX1035" s="68"/>
      <c r="AY1035" s="68"/>
    </row>
    <row r="1036" spans="1:51" ht="12.95" customHeight="1">
      <c r="A1036" s="1353" t="s">
        <v>600</v>
      </c>
      <c r="B1036" s="1353"/>
      <c r="C1036" s="8">
        <v>2</v>
      </c>
      <c r="D1036" s="1262" t="s">
        <v>1169</v>
      </c>
      <c r="E1036" s="1262"/>
      <c r="F1036" s="1262"/>
      <c r="G1036" s="1262"/>
      <c r="H1036" s="1262"/>
      <c r="I1036" s="1262"/>
      <c r="J1036" s="1262"/>
      <c r="K1036" s="1262"/>
      <c r="L1036" s="1262"/>
      <c r="M1036" s="1262"/>
      <c r="N1036" s="1262"/>
      <c r="O1036" s="1262"/>
      <c r="P1036" s="1262"/>
      <c r="Q1036" s="1262"/>
      <c r="R1036" s="1262"/>
      <c r="S1036" s="1262"/>
      <c r="T1036" s="1262"/>
      <c r="U1036" s="1262"/>
      <c r="V1036" s="1262"/>
      <c r="W1036" s="1262"/>
      <c r="X1036" s="1262"/>
      <c r="Y1036" s="1262"/>
      <c r="Z1036" s="1262"/>
      <c r="AA1036" s="1262"/>
      <c r="AB1036" s="1262"/>
      <c r="AC1036" s="1262"/>
      <c r="AD1036" s="1262"/>
      <c r="AE1036" s="1262"/>
      <c r="AF1036" s="1262"/>
      <c r="AG1036" s="1262"/>
      <c r="AH1036" s="1262"/>
      <c r="AI1036" s="1262"/>
      <c r="AJ1036" s="1262"/>
      <c r="AK1036" s="1262"/>
      <c r="AL1036" s="68"/>
      <c r="AM1036" s="68"/>
      <c r="AN1036" s="68"/>
      <c r="AO1036" s="68"/>
      <c r="AP1036" s="68"/>
      <c r="AQ1036" s="68"/>
      <c r="AR1036" s="68"/>
      <c r="AS1036" s="68"/>
      <c r="AT1036" s="68"/>
      <c r="AU1036" s="68"/>
      <c r="AV1036" s="68"/>
      <c r="AW1036" s="68"/>
      <c r="AX1036" s="68"/>
      <c r="AY1036" s="68"/>
    </row>
    <row r="1037" spans="1:51" ht="12.95" customHeight="1">
      <c r="A1037" s="1"/>
      <c r="B1037" s="1"/>
      <c r="C1037" s="8"/>
      <c r="D1037" s="1262"/>
      <c r="E1037" s="1262"/>
      <c r="F1037" s="1262"/>
      <c r="G1037" s="1262"/>
      <c r="H1037" s="1262"/>
      <c r="I1037" s="1262"/>
      <c r="J1037" s="1262"/>
      <c r="K1037" s="1262"/>
      <c r="L1037" s="1262"/>
      <c r="M1037" s="1262"/>
      <c r="N1037" s="1262"/>
      <c r="O1037" s="1262"/>
      <c r="P1037" s="1262"/>
      <c r="Q1037" s="1262"/>
      <c r="R1037" s="1262"/>
      <c r="S1037" s="1262"/>
      <c r="T1037" s="1262"/>
      <c r="U1037" s="1262"/>
      <c r="V1037" s="1262"/>
      <c r="W1037" s="1262"/>
      <c r="X1037" s="1262"/>
      <c r="Y1037" s="1262"/>
      <c r="Z1037" s="1262"/>
      <c r="AA1037" s="1262"/>
      <c r="AB1037" s="1262"/>
      <c r="AC1037" s="1262"/>
      <c r="AD1037" s="1262"/>
      <c r="AE1037" s="1262"/>
      <c r="AF1037" s="1262"/>
      <c r="AG1037" s="1262"/>
      <c r="AH1037" s="1262"/>
      <c r="AI1037" s="1262"/>
      <c r="AJ1037" s="1262"/>
      <c r="AK1037" s="1262"/>
      <c r="AL1037" s="68"/>
      <c r="AM1037" s="68"/>
      <c r="AN1037" s="68"/>
      <c r="AO1037" s="68"/>
      <c r="AP1037" s="68"/>
      <c r="AQ1037" s="68"/>
      <c r="AR1037" s="68"/>
      <c r="AS1037" s="68"/>
      <c r="AT1037" s="68"/>
      <c r="AU1037" s="68"/>
      <c r="AV1037" s="68"/>
      <c r="AW1037" s="68"/>
      <c r="AX1037" s="68"/>
      <c r="AY1037" s="68"/>
    </row>
    <row r="1038" spans="1:51" ht="12.95" customHeight="1">
      <c r="A1038" s="1"/>
      <c r="B1038" s="1"/>
      <c r="C1038" s="8"/>
      <c r="D1038" s="1262"/>
      <c r="E1038" s="1262"/>
      <c r="F1038" s="1262"/>
      <c r="G1038" s="1262"/>
      <c r="H1038" s="1262"/>
      <c r="I1038" s="1262"/>
      <c r="J1038" s="1262"/>
      <c r="K1038" s="1262"/>
      <c r="L1038" s="1262"/>
      <c r="M1038" s="1262"/>
      <c r="N1038" s="1262"/>
      <c r="O1038" s="1262"/>
      <c r="P1038" s="1262"/>
      <c r="Q1038" s="1262"/>
      <c r="R1038" s="1262"/>
      <c r="S1038" s="1262"/>
      <c r="T1038" s="1262"/>
      <c r="U1038" s="1262"/>
      <c r="V1038" s="1262"/>
      <c r="W1038" s="1262"/>
      <c r="X1038" s="1262"/>
      <c r="Y1038" s="1262"/>
      <c r="Z1038" s="1262"/>
      <c r="AA1038" s="1262"/>
      <c r="AB1038" s="1262"/>
      <c r="AC1038" s="1262"/>
      <c r="AD1038" s="1262"/>
      <c r="AE1038" s="1262"/>
      <c r="AF1038" s="1262"/>
      <c r="AG1038" s="1262"/>
      <c r="AH1038" s="1262"/>
      <c r="AI1038" s="1262"/>
      <c r="AJ1038" s="1262"/>
      <c r="AK1038" s="1262"/>
      <c r="AL1038" s="68"/>
      <c r="AM1038" s="68"/>
      <c r="AN1038" s="68"/>
      <c r="AO1038" s="68"/>
      <c r="AP1038" s="68"/>
      <c r="AQ1038" s="68"/>
      <c r="AR1038" s="68"/>
      <c r="AS1038" s="68"/>
      <c r="AT1038" s="68"/>
      <c r="AU1038" s="68"/>
      <c r="AV1038" s="68"/>
      <c r="AW1038" s="68"/>
      <c r="AX1038" s="68"/>
      <c r="AY1038" s="68"/>
    </row>
    <row r="1039" spans="1:51" ht="12.95" customHeight="1">
      <c r="A1039" s="1"/>
      <c r="B1039" s="1"/>
      <c r="C1039" s="8"/>
      <c r="D1039" s="1262"/>
      <c r="E1039" s="1262"/>
      <c r="F1039" s="1262"/>
      <c r="G1039" s="1262"/>
      <c r="H1039" s="1262"/>
      <c r="I1039" s="1262"/>
      <c r="J1039" s="1262"/>
      <c r="K1039" s="1262"/>
      <c r="L1039" s="1262"/>
      <c r="M1039" s="1262"/>
      <c r="N1039" s="1262"/>
      <c r="O1039" s="1262"/>
      <c r="P1039" s="1262"/>
      <c r="Q1039" s="1262"/>
      <c r="R1039" s="1262"/>
      <c r="S1039" s="1262"/>
      <c r="T1039" s="1262"/>
      <c r="U1039" s="1262"/>
      <c r="V1039" s="1262"/>
      <c r="W1039" s="1262"/>
      <c r="X1039" s="1262"/>
      <c r="Y1039" s="1262"/>
      <c r="Z1039" s="1262"/>
      <c r="AA1039" s="1262"/>
      <c r="AB1039" s="1262"/>
      <c r="AC1039" s="1262"/>
      <c r="AD1039" s="1262"/>
      <c r="AE1039" s="1262"/>
      <c r="AF1039" s="1262"/>
      <c r="AG1039" s="1262"/>
      <c r="AH1039" s="1262"/>
      <c r="AI1039" s="1262"/>
      <c r="AJ1039" s="1262"/>
      <c r="AK1039" s="1262"/>
      <c r="AL1039" s="68"/>
      <c r="AM1039" s="68"/>
      <c r="AN1039" s="68"/>
      <c r="AO1039" s="68"/>
      <c r="AP1039" s="68"/>
      <c r="AQ1039" s="68"/>
      <c r="AR1039" s="68"/>
      <c r="AS1039" s="68"/>
      <c r="AT1039" s="68"/>
      <c r="AU1039" s="68"/>
      <c r="AV1039" s="68"/>
      <c r="AW1039" s="68"/>
      <c r="AX1039" s="68"/>
      <c r="AY1039" s="68"/>
    </row>
    <row r="1040" spans="1:51" ht="12.95" customHeight="1">
      <c r="A1040" s="1"/>
      <c r="B1040" s="1"/>
      <c r="C1040" s="8"/>
      <c r="D1040" s="1262"/>
      <c r="E1040" s="1262"/>
      <c r="F1040" s="1262"/>
      <c r="G1040" s="1262"/>
      <c r="H1040" s="1262"/>
      <c r="I1040" s="1262"/>
      <c r="J1040" s="1262"/>
      <c r="K1040" s="1262"/>
      <c r="L1040" s="1262"/>
      <c r="M1040" s="1262"/>
      <c r="N1040" s="1262"/>
      <c r="O1040" s="1262"/>
      <c r="P1040" s="1262"/>
      <c r="Q1040" s="1262"/>
      <c r="R1040" s="1262"/>
      <c r="S1040" s="1262"/>
      <c r="T1040" s="1262"/>
      <c r="U1040" s="1262"/>
      <c r="V1040" s="1262"/>
      <c r="W1040" s="1262"/>
      <c r="X1040" s="1262"/>
      <c r="Y1040" s="1262"/>
      <c r="Z1040" s="1262"/>
      <c r="AA1040" s="1262"/>
      <c r="AB1040" s="1262"/>
      <c r="AC1040" s="1262"/>
      <c r="AD1040" s="1262"/>
      <c r="AE1040" s="1262"/>
      <c r="AF1040" s="1262"/>
      <c r="AG1040" s="1262"/>
      <c r="AH1040" s="1262"/>
      <c r="AI1040" s="1262"/>
      <c r="AJ1040" s="1262"/>
      <c r="AK1040" s="1262"/>
      <c r="AL1040" s="68"/>
      <c r="AM1040" s="68"/>
      <c r="AN1040" s="68"/>
      <c r="AO1040" s="68"/>
      <c r="AP1040" s="68"/>
      <c r="AQ1040" s="68"/>
      <c r="AR1040" s="68"/>
      <c r="AS1040" s="68"/>
      <c r="AT1040" s="68"/>
      <c r="AU1040" s="68"/>
      <c r="AV1040" s="68"/>
      <c r="AW1040" s="68"/>
      <c r="AX1040" s="68"/>
      <c r="AY1040" s="68"/>
    </row>
    <row r="1041" spans="1:37" ht="12.95" customHeight="1">
      <c r="A1041" s="1"/>
      <c r="B1041" s="1"/>
      <c r="C1041" s="8"/>
      <c r="D1041" s="1262"/>
      <c r="E1041" s="1262"/>
      <c r="F1041" s="1262"/>
      <c r="G1041" s="1262"/>
      <c r="H1041" s="1262"/>
      <c r="I1041" s="1262"/>
      <c r="J1041" s="1262"/>
      <c r="K1041" s="1262"/>
      <c r="L1041" s="1262"/>
      <c r="M1041" s="1262"/>
      <c r="N1041" s="1262"/>
      <c r="O1041" s="1262"/>
      <c r="P1041" s="1262"/>
      <c r="Q1041" s="1262"/>
      <c r="R1041" s="1262"/>
      <c r="S1041" s="1262"/>
      <c r="T1041" s="1262"/>
      <c r="U1041" s="1262"/>
      <c r="V1041" s="1262"/>
      <c r="W1041" s="1262"/>
      <c r="X1041" s="1262"/>
      <c r="Y1041" s="1262"/>
      <c r="Z1041" s="1262"/>
      <c r="AA1041" s="1262"/>
      <c r="AB1041" s="1262"/>
      <c r="AC1041" s="1262"/>
      <c r="AD1041" s="1262"/>
      <c r="AE1041" s="1262"/>
      <c r="AF1041" s="1262"/>
      <c r="AG1041" s="1262"/>
      <c r="AH1041" s="1262"/>
      <c r="AI1041" s="1262"/>
      <c r="AJ1041" s="1262"/>
      <c r="AK1041" s="1262"/>
    </row>
    <row r="1042" spans="1:37" ht="12.95" customHeight="1">
      <c r="A1042" s="1353" t="s">
        <v>600</v>
      </c>
      <c r="B1042" s="1353"/>
      <c r="C1042" s="8">
        <v>3</v>
      </c>
      <c r="D1042" s="1262" t="s">
        <v>2566</v>
      </c>
      <c r="E1042" s="1262"/>
      <c r="F1042" s="1262"/>
      <c r="G1042" s="1262"/>
      <c r="H1042" s="1262"/>
      <c r="I1042" s="1262"/>
      <c r="J1042" s="1262"/>
      <c r="K1042" s="1262"/>
      <c r="L1042" s="1262"/>
      <c r="M1042" s="1262"/>
      <c r="N1042" s="1262"/>
      <c r="O1042" s="1262"/>
      <c r="P1042" s="1262"/>
      <c r="Q1042" s="1262"/>
      <c r="R1042" s="1262"/>
      <c r="S1042" s="1262"/>
      <c r="T1042" s="1262"/>
      <c r="U1042" s="1262"/>
      <c r="V1042" s="1262"/>
      <c r="W1042" s="1262"/>
      <c r="X1042" s="1262"/>
      <c r="Y1042" s="1262"/>
      <c r="Z1042" s="1262"/>
      <c r="AA1042" s="1262"/>
      <c r="AB1042" s="1262"/>
      <c r="AC1042" s="1262"/>
      <c r="AD1042" s="1262"/>
      <c r="AE1042" s="1262"/>
      <c r="AF1042" s="1262"/>
      <c r="AG1042" s="1262"/>
      <c r="AH1042" s="1262"/>
      <c r="AI1042" s="1262"/>
      <c r="AJ1042" s="1262"/>
      <c r="AK1042" s="1262"/>
    </row>
    <row r="1043" spans="1:37" ht="12.95" customHeight="1">
      <c r="A1043" s="4"/>
      <c r="B1043" s="4"/>
      <c r="C1043" s="8"/>
      <c r="D1043" s="1262"/>
      <c r="E1043" s="1262"/>
      <c r="F1043" s="1262"/>
      <c r="G1043" s="1262"/>
      <c r="H1043" s="1262"/>
      <c r="I1043" s="1262"/>
      <c r="J1043" s="1262"/>
      <c r="K1043" s="1262"/>
      <c r="L1043" s="1262"/>
      <c r="M1043" s="1262"/>
      <c r="N1043" s="1262"/>
      <c r="O1043" s="1262"/>
      <c r="P1043" s="1262"/>
      <c r="Q1043" s="1262"/>
      <c r="R1043" s="1262"/>
      <c r="S1043" s="1262"/>
      <c r="T1043" s="1262"/>
      <c r="U1043" s="1262"/>
      <c r="V1043" s="1262"/>
      <c r="W1043" s="1262"/>
      <c r="X1043" s="1262"/>
      <c r="Y1043" s="1262"/>
      <c r="Z1043" s="1262"/>
      <c r="AA1043" s="1262"/>
      <c r="AB1043" s="1262"/>
      <c r="AC1043" s="1262"/>
      <c r="AD1043" s="1262"/>
      <c r="AE1043" s="1262"/>
      <c r="AF1043" s="1262"/>
      <c r="AG1043" s="1262"/>
      <c r="AH1043" s="1262"/>
      <c r="AI1043" s="1262"/>
      <c r="AJ1043" s="1262"/>
      <c r="AK1043" s="1262"/>
    </row>
    <row r="1044" spans="1:37" ht="12.95" customHeight="1">
      <c r="A1044" s="4"/>
      <c r="B1044" s="4"/>
      <c r="C1044" s="8"/>
      <c r="D1044" s="1262"/>
      <c r="E1044" s="1262"/>
      <c r="F1044" s="1262"/>
      <c r="G1044" s="1262"/>
      <c r="H1044" s="1262"/>
      <c r="I1044" s="1262"/>
      <c r="J1044" s="1262"/>
      <c r="K1044" s="1262"/>
      <c r="L1044" s="1262"/>
      <c r="M1044" s="1262"/>
      <c r="N1044" s="1262"/>
      <c r="O1044" s="1262"/>
      <c r="P1044" s="1262"/>
      <c r="Q1044" s="1262"/>
      <c r="R1044" s="1262"/>
      <c r="S1044" s="1262"/>
      <c r="T1044" s="1262"/>
      <c r="U1044" s="1262"/>
      <c r="V1044" s="1262"/>
      <c r="W1044" s="1262"/>
      <c r="X1044" s="1262"/>
      <c r="Y1044" s="1262"/>
      <c r="Z1044" s="1262"/>
      <c r="AA1044" s="1262"/>
      <c r="AB1044" s="1262"/>
      <c r="AC1044" s="1262"/>
      <c r="AD1044" s="1262"/>
      <c r="AE1044" s="1262"/>
      <c r="AF1044" s="1262"/>
      <c r="AG1044" s="1262"/>
      <c r="AH1044" s="1262"/>
      <c r="AI1044" s="1262"/>
      <c r="AJ1044" s="1262"/>
      <c r="AK1044" s="1262"/>
    </row>
    <row r="1045" spans="1:37" ht="12.95" customHeight="1">
      <c r="A1045" s="35"/>
      <c r="B1045" s="25"/>
      <c r="C1045" s="8"/>
      <c r="D1045" s="1262"/>
      <c r="E1045" s="1262"/>
      <c r="F1045" s="1262"/>
      <c r="G1045" s="1262"/>
      <c r="H1045" s="1262"/>
      <c r="I1045" s="1262"/>
      <c r="J1045" s="1262"/>
      <c r="K1045" s="1262"/>
      <c r="L1045" s="1262"/>
      <c r="M1045" s="1262"/>
      <c r="N1045" s="1262"/>
      <c r="O1045" s="1262"/>
      <c r="P1045" s="1262"/>
      <c r="Q1045" s="1262"/>
      <c r="R1045" s="1262"/>
      <c r="S1045" s="1262"/>
      <c r="T1045" s="1262"/>
      <c r="U1045" s="1262"/>
      <c r="V1045" s="1262"/>
      <c r="W1045" s="1262"/>
      <c r="X1045" s="1262"/>
      <c r="Y1045" s="1262"/>
      <c r="Z1045" s="1262"/>
      <c r="AA1045" s="1262"/>
      <c r="AB1045" s="1262"/>
      <c r="AC1045" s="1262"/>
      <c r="AD1045" s="1262"/>
      <c r="AE1045" s="1262"/>
      <c r="AF1045" s="1262"/>
      <c r="AG1045" s="1262"/>
      <c r="AH1045" s="1262"/>
      <c r="AI1045" s="1262"/>
      <c r="AJ1045" s="1262"/>
      <c r="AK1045" s="1262"/>
    </row>
    <row r="1046" spans="1:37" ht="12.95" customHeight="1">
      <c r="A1046" s="35"/>
      <c r="B1046" s="25"/>
      <c r="C1046" s="8"/>
      <c r="D1046" s="1262"/>
      <c r="E1046" s="1262"/>
      <c r="F1046" s="1262"/>
      <c r="G1046" s="1262"/>
      <c r="H1046" s="1262"/>
      <c r="I1046" s="1262"/>
      <c r="J1046" s="1262"/>
      <c r="K1046" s="1262"/>
      <c r="L1046" s="1262"/>
      <c r="M1046" s="1262"/>
      <c r="N1046" s="1262"/>
      <c r="O1046" s="1262"/>
      <c r="P1046" s="1262"/>
      <c r="Q1046" s="1262"/>
      <c r="R1046" s="1262"/>
      <c r="S1046" s="1262"/>
      <c r="T1046" s="1262"/>
      <c r="U1046" s="1262"/>
      <c r="V1046" s="1262"/>
      <c r="W1046" s="1262"/>
      <c r="X1046" s="1262"/>
      <c r="Y1046" s="1262"/>
      <c r="Z1046" s="1262"/>
      <c r="AA1046" s="1262"/>
      <c r="AB1046" s="1262"/>
      <c r="AC1046" s="1262"/>
      <c r="AD1046" s="1262"/>
      <c r="AE1046" s="1262"/>
      <c r="AF1046" s="1262"/>
      <c r="AG1046" s="1262"/>
      <c r="AH1046" s="1262"/>
      <c r="AI1046" s="1262"/>
      <c r="AJ1046" s="1262"/>
      <c r="AK1046" s="1262"/>
    </row>
    <row r="1047" spans="1:37" ht="12.95" customHeight="1">
      <c r="A1047" s="35"/>
      <c r="B1047" s="25"/>
      <c r="C1047" s="8"/>
      <c r="D1047" s="1262"/>
      <c r="E1047" s="1262"/>
      <c r="F1047" s="1262"/>
      <c r="G1047" s="1262"/>
      <c r="H1047" s="1262"/>
      <c r="I1047" s="1262"/>
      <c r="J1047" s="1262"/>
      <c r="K1047" s="1262"/>
      <c r="L1047" s="1262"/>
      <c r="M1047" s="1262"/>
      <c r="N1047" s="1262"/>
      <c r="O1047" s="1262"/>
      <c r="P1047" s="1262"/>
      <c r="Q1047" s="1262"/>
      <c r="R1047" s="1262"/>
      <c r="S1047" s="1262"/>
      <c r="T1047" s="1262"/>
      <c r="U1047" s="1262"/>
      <c r="V1047" s="1262"/>
      <c r="W1047" s="1262"/>
      <c r="X1047" s="1262"/>
      <c r="Y1047" s="1262"/>
      <c r="Z1047" s="1262"/>
      <c r="AA1047" s="1262"/>
      <c r="AB1047" s="1262"/>
      <c r="AC1047" s="1262"/>
      <c r="AD1047" s="1262"/>
      <c r="AE1047" s="1262"/>
      <c r="AF1047" s="1262"/>
      <c r="AG1047" s="1262"/>
      <c r="AH1047" s="1262"/>
      <c r="AI1047" s="1262"/>
      <c r="AJ1047" s="1262"/>
      <c r="AK1047" s="1262"/>
    </row>
    <row r="1048" spans="1:37" ht="12.95" customHeight="1">
      <c r="A1048" s="35"/>
      <c r="B1048" s="25"/>
      <c r="C1048" s="8"/>
      <c r="D1048" s="1262"/>
      <c r="E1048" s="1262"/>
      <c r="F1048" s="1262"/>
      <c r="G1048" s="1262"/>
      <c r="H1048" s="1262"/>
      <c r="I1048" s="1262"/>
      <c r="J1048" s="1262"/>
      <c r="K1048" s="1262"/>
      <c r="L1048" s="1262"/>
      <c r="M1048" s="1262"/>
      <c r="N1048" s="1262"/>
      <c r="O1048" s="1262"/>
      <c r="P1048" s="1262"/>
      <c r="Q1048" s="1262"/>
      <c r="R1048" s="1262"/>
      <c r="S1048" s="1262"/>
      <c r="T1048" s="1262"/>
      <c r="U1048" s="1262"/>
      <c r="V1048" s="1262"/>
      <c r="W1048" s="1262"/>
      <c r="X1048" s="1262"/>
      <c r="Y1048" s="1262"/>
      <c r="Z1048" s="1262"/>
      <c r="AA1048" s="1262"/>
      <c r="AB1048" s="1262"/>
      <c r="AC1048" s="1262"/>
      <c r="AD1048" s="1262"/>
      <c r="AE1048" s="1262"/>
      <c r="AF1048" s="1262"/>
      <c r="AG1048" s="1262"/>
      <c r="AH1048" s="1262"/>
      <c r="AI1048" s="1262"/>
      <c r="AJ1048" s="1262"/>
      <c r="AK1048" s="1262"/>
    </row>
    <row r="1049" spans="1:37" ht="12.95" customHeight="1">
      <c r="A1049" s="1353" t="s">
        <v>600</v>
      </c>
      <c r="B1049" s="1353"/>
      <c r="C1049" s="8">
        <v>4</v>
      </c>
      <c r="D1049" s="1262" t="s">
        <v>1155</v>
      </c>
      <c r="E1049" s="1262"/>
      <c r="F1049" s="1262"/>
      <c r="G1049" s="1262"/>
      <c r="H1049" s="1262"/>
      <c r="I1049" s="1262"/>
      <c r="J1049" s="1262"/>
      <c r="K1049" s="1262"/>
      <c r="L1049" s="1262"/>
      <c r="M1049" s="1262"/>
      <c r="N1049" s="1262"/>
      <c r="O1049" s="1262"/>
      <c r="P1049" s="1262"/>
      <c r="Q1049" s="1262"/>
      <c r="R1049" s="1262"/>
      <c r="S1049" s="1262"/>
      <c r="T1049" s="1262"/>
      <c r="U1049" s="1262"/>
      <c r="V1049" s="1262"/>
      <c r="W1049" s="1262"/>
      <c r="X1049" s="1262"/>
      <c r="Y1049" s="1262"/>
      <c r="Z1049" s="1262"/>
      <c r="AA1049" s="1262"/>
      <c r="AB1049" s="1262"/>
      <c r="AC1049" s="1262"/>
      <c r="AD1049" s="1262"/>
      <c r="AE1049" s="1262"/>
      <c r="AF1049" s="1262"/>
      <c r="AG1049" s="1262"/>
      <c r="AH1049" s="1262"/>
      <c r="AI1049" s="1262"/>
      <c r="AJ1049" s="1262"/>
      <c r="AK1049" s="1262"/>
    </row>
    <row r="1050" spans="1:37" ht="12.95" customHeight="1">
      <c r="A1050" s="1"/>
      <c r="B1050" s="1"/>
      <c r="C1050" s="8"/>
      <c r="D1050" s="1262"/>
      <c r="E1050" s="1262"/>
      <c r="F1050" s="1262"/>
      <c r="G1050" s="1262"/>
      <c r="H1050" s="1262"/>
      <c r="I1050" s="1262"/>
      <c r="J1050" s="1262"/>
      <c r="K1050" s="1262"/>
      <c r="L1050" s="1262"/>
      <c r="M1050" s="1262"/>
      <c r="N1050" s="1262"/>
      <c r="O1050" s="1262"/>
      <c r="P1050" s="1262"/>
      <c r="Q1050" s="1262"/>
      <c r="R1050" s="1262"/>
      <c r="S1050" s="1262"/>
      <c r="T1050" s="1262"/>
      <c r="U1050" s="1262"/>
      <c r="V1050" s="1262"/>
      <c r="W1050" s="1262"/>
      <c r="X1050" s="1262"/>
      <c r="Y1050" s="1262"/>
      <c r="Z1050" s="1262"/>
      <c r="AA1050" s="1262"/>
      <c r="AB1050" s="1262"/>
      <c r="AC1050" s="1262"/>
      <c r="AD1050" s="1262"/>
      <c r="AE1050" s="1262"/>
      <c r="AF1050" s="1262"/>
      <c r="AG1050" s="1262"/>
      <c r="AH1050" s="1262"/>
      <c r="AI1050" s="1262"/>
      <c r="AJ1050" s="1262"/>
      <c r="AK1050" s="1262"/>
    </row>
    <row r="1051" spans="1:37" ht="12.95" customHeight="1">
      <c r="A1051" s="35"/>
      <c r="B1051" s="25"/>
      <c r="C1051" s="8"/>
      <c r="D1051" s="1262"/>
      <c r="E1051" s="1262"/>
      <c r="F1051" s="1262"/>
      <c r="G1051" s="1262"/>
      <c r="H1051" s="1262"/>
      <c r="I1051" s="1262"/>
      <c r="J1051" s="1262"/>
      <c r="K1051" s="1262"/>
      <c r="L1051" s="1262"/>
      <c r="M1051" s="1262"/>
      <c r="N1051" s="1262"/>
      <c r="O1051" s="1262"/>
      <c r="P1051" s="1262"/>
      <c r="Q1051" s="1262"/>
      <c r="R1051" s="1262"/>
      <c r="S1051" s="1262"/>
      <c r="T1051" s="1262"/>
      <c r="U1051" s="1262"/>
      <c r="V1051" s="1262"/>
      <c r="W1051" s="1262"/>
      <c r="X1051" s="1262"/>
      <c r="Y1051" s="1262"/>
      <c r="Z1051" s="1262"/>
      <c r="AA1051" s="1262"/>
      <c r="AB1051" s="1262"/>
      <c r="AC1051" s="1262"/>
      <c r="AD1051" s="1262"/>
      <c r="AE1051" s="1262"/>
      <c r="AF1051" s="1262"/>
      <c r="AG1051" s="1262"/>
      <c r="AH1051" s="1262"/>
      <c r="AI1051" s="1262"/>
      <c r="AJ1051" s="1262"/>
      <c r="AK1051" s="1262"/>
    </row>
    <row r="1052" spans="1:37" ht="12.95" customHeight="1">
      <c r="A1052" s="1353" t="s">
        <v>600</v>
      </c>
      <c r="B1052" s="1353"/>
      <c r="C1052" s="8">
        <v>5</v>
      </c>
      <c r="D1052" s="1262" t="s">
        <v>2567</v>
      </c>
      <c r="E1052" s="1262"/>
      <c r="F1052" s="1262"/>
      <c r="G1052" s="1262"/>
      <c r="H1052" s="1262"/>
      <c r="I1052" s="1262"/>
      <c r="J1052" s="1262"/>
      <c r="K1052" s="1262"/>
      <c r="L1052" s="1262"/>
      <c r="M1052" s="1262"/>
      <c r="N1052" s="1262"/>
      <c r="O1052" s="1262"/>
      <c r="P1052" s="1262"/>
      <c r="Q1052" s="1262"/>
      <c r="R1052" s="1262"/>
      <c r="S1052" s="1262"/>
      <c r="T1052" s="1262"/>
      <c r="U1052" s="1262"/>
      <c r="V1052" s="1262"/>
      <c r="W1052" s="1262"/>
      <c r="X1052" s="1262"/>
      <c r="Y1052" s="1262"/>
      <c r="Z1052" s="1262"/>
      <c r="AA1052" s="1262"/>
      <c r="AB1052" s="1262"/>
      <c r="AC1052" s="1262"/>
      <c r="AD1052" s="1262"/>
      <c r="AE1052" s="1262"/>
      <c r="AF1052" s="1262"/>
      <c r="AG1052" s="1262"/>
      <c r="AH1052" s="1262"/>
      <c r="AI1052" s="1262"/>
      <c r="AJ1052" s="1262"/>
      <c r="AK1052" s="1262"/>
    </row>
    <row r="1053" spans="1:37" ht="12.95" customHeight="1">
      <c r="A1053" s="1"/>
      <c r="B1053" s="1"/>
      <c r="C1053" s="8"/>
      <c r="D1053" s="1262"/>
      <c r="E1053" s="1262"/>
      <c r="F1053" s="1262"/>
      <c r="G1053" s="1262"/>
      <c r="H1053" s="1262"/>
      <c r="I1053" s="1262"/>
      <c r="J1053" s="1262"/>
      <c r="K1053" s="1262"/>
      <c r="L1053" s="1262"/>
      <c r="M1053" s="1262"/>
      <c r="N1053" s="1262"/>
      <c r="O1053" s="1262"/>
      <c r="P1053" s="1262"/>
      <c r="Q1053" s="1262"/>
      <c r="R1053" s="1262"/>
      <c r="S1053" s="1262"/>
      <c r="T1053" s="1262"/>
      <c r="U1053" s="1262"/>
      <c r="V1053" s="1262"/>
      <c r="W1053" s="1262"/>
      <c r="X1053" s="1262"/>
      <c r="Y1053" s="1262"/>
      <c r="Z1053" s="1262"/>
      <c r="AA1053" s="1262"/>
      <c r="AB1053" s="1262"/>
      <c r="AC1053" s="1262"/>
      <c r="AD1053" s="1262"/>
      <c r="AE1053" s="1262"/>
      <c r="AF1053" s="1262"/>
      <c r="AG1053" s="1262"/>
      <c r="AH1053" s="1262"/>
      <c r="AI1053" s="1262"/>
      <c r="AJ1053" s="1262"/>
      <c r="AK1053" s="1262"/>
    </row>
    <row r="1054" spans="1:37" ht="12.95" customHeight="1">
      <c r="A1054" s="1"/>
      <c r="B1054" s="1"/>
      <c r="C1054" s="8"/>
      <c r="D1054" s="1262"/>
      <c r="E1054" s="1262"/>
      <c r="F1054" s="1262"/>
      <c r="G1054" s="1262"/>
      <c r="H1054" s="1262"/>
      <c r="I1054" s="1262"/>
      <c r="J1054" s="1262"/>
      <c r="K1054" s="1262"/>
      <c r="L1054" s="1262"/>
      <c r="M1054" s="1262"/>
      <c r="N1054" s="1262"/>
      <c r="O1054" s="1262"/>
      <c r="P1054" s="1262"/>
      <c r="Q1054" s="1262"/>
      <c r="R1054" s="1262"/>
      <c r="S1054" s="1262"/>
      <c r="T1054" s="1262"/>
      <c r="U1054" s="1262"/>
      <c r="V1054" s="1262"/>
      <c r="W1054" s="1262"/>
      <c r="X1054" s="1262"/>
      <c r="Y1054" s="1262"/>
      <c r="Z1054" s="1262"/>
      <c r="AA1054" s="1262"/>
      <c r="AB1054" s="1262"/>
      <c r="AC1054" s="1262"/>
      <c r="AD1054" s="1262"/>
      <c r="AE1054" s="1262"/>
      <c r="AF1054" s="1262"/>
      <c r="AG1054" s="1262"/>
      <c r="AH1054" s="1262"/>
      <c r="AI1054" s="1262"/>
      <c r="AJ1054" s="1262"/>
      <c r="AK1054" s="1262"/>
    </row>
    <row r="1055" spans="1:37" ht="12.95" hidden="1" customHeight="1">
      <c r="A1055" s="1"/>
      <c r="B1055" s="1"/>
      <c r="C1055" s="8"/>
      <c r="D1055" s="1262"/>
      <c r="E1055" s="1262"/>
      <c r="F1055" s="1262"/>
      <c r="G1055" s="1262"/>
      <c r="H1055" s="1262"/>
      <c r="I1055" s="1262"/>
      <c r="J1055" s="1262"/>
      <c r="K1055" s="1262"/>
      <c r="L1055" s="1262"/>
      <c r="M1055" s="1262"/>
      <c r="N1055" s="1262"/>
      <c r="O1055" s="1262"/>
      <c r="P1055" s="1262"/>
      <c r="Q1055" s="1262"/>
      <c r="R1055" s="1262"/>
      <c r="S1055" s="1262"/>
      <c r="T1055" s="1262"/>
      <c r="U1055" s="1262"/>
      <c r="V1055" s="1262"/>
      <c r="W1055" s="1262"/>
      <c r="X1055" s="1262"/>
      <c r="Y1055" s="1262"/>
      <c r="Z1055" s="1262"/>
      <c r="AA1055" s="1262"/>
      <c r="AB1055" s="1262"/>
      <c r="AC1055" s="1262"/>
      <c r="AD1055" s="1262"/>
      <c r="AE1055" s="1262"/>
      <c r="AF1055" s="1262"/>
      <c r="AG1055" s="1262"/>
      <c r="AH1055" s="1262"/>
      <c r="AI1055" s="1262"/>
      <c r="AJ1055" s="1262"/>
      <c r="AK1055" s="1262"/>
    </row>
    <row r="1056" spans="1:37" ht="12.95" customHeight="1">
      <c r="A1056" s="35"/>
      <c r="B1056" s="25"/>
      <c r="C1056" s="8"/>
      <c r="D1056" s="1262"/>
      <c r="E1056" s="1262"/>
      <c r="F1056" s="1262"/>
      <c r="G1056" s="1262"/>
      <c r="H1056" s="1262"/>
      <c r="I1056" s="1262"/>
      <c r="J1056" s="1262"/>
      <c r="K1056" s="1262"/>
      <c r="L1056" s="1262"/>
      <c r="M1056" s="1262"/>
      <c r="N1056" s="1262"/>
      <c r="O1056" s="1262"/>
      <c r="P1056" s="1262"/>
      <c r="Q1056" s="1262"/>
      <c r="R1056" s="1262"/>
      <c r="S1056" s="1262"/>
      <c r="T1056" s="1262"/>
      <c r="U1056" s="1262"/>
      <c r="V1056" s="1262"/>
      <c r="W1056" s="1262"/>
      <c r="X1056" s="1262"/>
      <c r="Y1056" s="1262"/>
      <c r="Z1056" s="1262"/>
      <c r="AA1056" s="1262"/>
      <c r="AB1056" s="1262"/>
      <c r="AC1056" s="1262"/>
      <c r="AD1056" s="1262"/>
      <c r="AE1056" s="1262"/>
      <c r="AF1056" s="1262"/>
      <c r="AG1056" s="1262"/>
      <c r="AH1056" s="1262"/>
      <c r="AI1056" s="1262"/>
      <c r="AJ1056" s="1262"/>
      <c r="AK1056" s="1262"/>
    </row>
    <row r="1057" spans="1:37" ht="12.95" customHeight="1">
      <c r="A1057" s="1353" t="s">
        <v>600</v>
      </c>
      <c r="B1057" s="1353"/>
      <c r="C1057" s="8">
        <v>6</v>
      </c>
      <c r="D1057" s="1262" t="s">
        <v>1156</v>
      </c>
      <c r="E1057" s="1262"/>
      <c r="F1057" s="1262"/>
      <c r="G1057" s="1262"/>
      <c r="H1057" s="1262"/>
      <c r="I1057" s="1262"/>
      <c r="J1057" s="1262"/>
      <c r="K1057" s="1262"/>
      <c r="L1057" s="1262"/>
      <c r="M1057" s="1262"/>
      <c r="N1057" s="1262"/>
      <c r="O1057" s="1262"/>
      <c r="P1057" s="1262"/>
      <c r="Q1057" s="1262"/>
      <c r="R1057" s="1262"/>
      <c r="S1057" s="1262"/>
      <c r="T1057" s="1262"/>
      <c r="U1057" s="1262"/>
      <c r="V1057" s="1262"/>
      <c r="W1057" s="1262"/>
      <c r="X1057" s="1262"/>
      <c r="Y1057" s="1262"/>
      <c r="Z1057" s="1262"/>
      <c r="AA1057" s="1262"/>
      <c r="AB1057" s="1262"/>
      <c r="AC1057" s="1262"/>
      <c r="AD1057" s="1262"/>
      <c r="AE1057" s="1262"/>
      <c r="AF1057" s="1262"/>
      <c r="AG1057" s="1262"/>
      <c r="AH1057" s="1262"/>
      <c r="AI1057" s="1262"/>
      <c r="AJ1057" s="1262"/>
      <c r="AK1057" s="1262"/>
    </row>
    <row r="1058" spans="1:37" ht="12.95" customHeight="1">
      <c r="A1058" s="35"/>
      <c r="B1058" s="25"/>
      <c r="C1058" s="8"/>
      <c r="D1058" s="1262"/>
      <c r="E1058" s="1262"/>
      <c r="F1058" s="1262"/>
      <c r="G1058" s="1262"/>
      <c r="H1058" s="1262"/>
      <c r="I1058" s="1262"/>
      <c r="J1058" s="1262"/>
      <c r="K1058" s="1262"/>
      <c r="L1058" s="1262"/>
      <c r="M1058" s="1262"/>
      <c r="N1058" s="1262"/>
      <c r="O1058" s="1262"/>
      <c r="P1058" s="1262"/>
      <c r="Q1058" s="1262"/>
      <c r="R1058" s="1262"/>
      <c r="S1058" s="1262"/>
      <c r="T1058" s="1262"/>
      <c r="U1058" s="1262"/>
      <c r="V1058" s="1262"/>
      <c r="W1058" s="1262"/>
      <c r="X1058" s="1262"/>
      <c r="Y1058" s="1262"/>
      <c r="Z1058" s="1262"/>
      <c r="AA1058" s="1262"/>
      <c r="AB1058" s="1262"/>
      <c r="AC1058" s="1262"/>
      <c r="AD1058" s="1262"/>
      <c r="AE1058" s="1262"/>
      <c r="AF1058" s="1262"/>
      <c r="AG1058" s="1262"/>
      <c r="AH1058" s="1262"/>
      <c r="AI1058" s="1262"/>
      <c r="AJ1058" s="1262"/>
      <c r="AK1058" s="1262"/>
    </row>
    <row r="1059" spans="1:37" ht="12.95" customHeight="1">
      <c r="A1059" s="35"/>
      <c r="B1059" s="25"/>
      <c r="C1059" s="8"/>
      <c r="D1059" s="1262"/>
      <c r="E1059" s="1262"/>
      <c r="F1059" s="1262"/>
      <c r="G1059" s="1262"/>
      <c r="H1059" s="1262"/>
      <c r="I1059" s="1262"/>
      <c r="J1059" s="1262"/>
      <c r="K1059" s="1262"/>
      <c r="L1059" s="1262"/>
      <c r="M1059" s="1262"/>
      <c r="N1059" s="1262"/>
      <c r="O1059" s="1262"/>
      <c r="P1059" s="1262"/>
      <c r="Q1059" s="1262"/>
      <c r="R1059" s="1262"/>
      <c r="S1059" s="1262"/>
      <c r="T1059" s="1262"/>
      <c r="U1059" s="1262"/>
      <c r="V1059" s="1262"/>
      <c r="W1059" s="1262"/>
      <c r="X1059" s="1262"/>
      <c r="Y1059" s="1262"/>
      <c r="Z1059" s="1262"/>
      <c r="AA1059" s="1262"/>
      <c r="AB1059" s="1262"/>
      <c r="AC1059" s="1262"/>
      <c r="AD1059" s="1262"/>
      <c r="AE1059" s="1262"/>
      <c r="AF1059" s="1262"/>
      <c r="AG1059" s="1262"/>
      <c r="AH1059" s="1262"/>
      <c r="AI1059" s="1262"/>
      <c r="AJ1059" s="1262"/>
      <c r="AK1059" s="1262"/>
    </row>
    <row r="1060" spans="1:37" ht="12.95" customHeight="1">
      <c r="A1060" s="1353" t="s">
        <v>600</v>
      </c>
      <c r="B1060" s="1353"/>
      <c r="C1060" s="212">
        <v>7</v>
      </c>
      <c r="D1060" s="1262" t="s">
        <v>1158</v>
      </c>
      <c r="E1060" s="1262"/>
      <c r="F1060" s="1262"/>
      <c r="G1060" s="1262"/>
      <c r="H1060" s="1262"/>
      <c r="I1060" s="1262"/>
      <c r="J1060" s="1262"/>
      <c r="K1060" s="1262"/>
      <c r="L1060" s="1262"/>
      <c r="M1060" s="1262"/>
      <c r="N1060" s="1262"/>
      <c r="O1060" s="1262"/>
      <c r="P1060" s="1262"/>
      <c r="Q1060" s="1262"/>
      <c r="R1060" s="1262"/>
      <c r="S1060" s="1262"/>
      <c r="T1060" s="1262"/>
      <c r="U1060" s="1262"/>
      <c r="V1060" s="1262"/>
      <c r="W1060" s="1262"/>
      <c r="X1060" s="1262"/>
      <c r="Y1060" s="1262"/>
      <c r="Z1060" s="1262"/>
      <c r="AA1060" s="1262"/>
      <c r="AB1060" s="1262"/>
      <c r="AC1060" s="1262"/>
      <c r="AD1060" s="1262"/>
      <c r="AE1060" s="1262"/>
      <c r="AF1060" s="1262"/>
      <c r="AG1060" s="1262"/>
      <c r="AH1060" s="1262"/>
      <c r="AI1060" s="1262"/>
      <c r="AJ1060" s="1262"/>
      <c r="AK1060" s="1262"/>
    </row>
    <row r="1061" spans="1:37" ht="12.95" customHeight="1">
      <c r="A1061" s="1"/>
      <c r="B1061" s="1"/>
      <c r="C1061" s="212"/>
      <c r="D1061" s="1262"/>
      <c r="E1061" s="1262"/>
      <c r="F1061" s="1262"/>
      <c r="G1061" s="1262"/>
      <c r="H1061" s="1262"/>
      <c r="I1061" s="1262"/>
      <c r="J1061" s="1262"/>
      <c r="K1061" s="1262"/>
      <c r="L1061" s="1262"/>
      <c r="M1061" s="1262"/>
      <c r="N1061" s="1262"/>
      <c r="O1061" s="1262"/>
      <c r="P1061" s="1262"/>
      <c r="Q1061" s="1262"/>
      <c r="R1061" s="1262"/>
      <c r="S1061" s="1262"/>
      <c r="T1061" s="1262"/>
      <c r="U1061" s="1262"/>
      <c r="V1061" s="1262"/>
      <c r="W1061" s="1262"/>
      <c r="X1061" s="1262"/>
      <c r="Y1061" s="1262"/>
      <c r="Z1061" s="1262"/>
      <c r="AA1061" s="1262"/>
      <c r="AB1061" s="1262"/>
      <c r="AC1061" s="1262"/>
      <c r="AD1061" s="1262"/>
      <c r="AE1061" s="1262"/>
      <c r="AF1061" s="1262"/>
      <c r="AG1061" s="1262"/>
      <c r="AH1061" s="1262"/>
      <c r="AI1061" s="1262"/>
      <c r="AJ1061" s="1262"/>
      <c r="AK1061" s="1262"/>
    </row>
    <row r="1062" spans="1:37" ht="12.95" customHeight="1">
      <c r="A1062" s="1"/>
      <c r="B1062" s="1"/>
      <c r="C1062" s="212"/>
      <c r="D1062" s="1262"/>
      <c r="E1062" s="1262"/>
      <c r="F1062" s="1262"/>
      <c r="G1062" s="1262"/>
      <c r="H1062" s="1262"/>
      <c r="I1062" s="1262"/>
      <c r="J1062" s="1262"/>
      <c r="K1062" s="1262"/>
      <c r="L1062" s="1262"/>
      <c r="M1062" s="1262"/>
      <c r="N1062" s="1262"/>
      <c r="O1062" s="1262"/>
      <c r="P1062" s="1262"/>
      <c r="Q1062" s="1262"/>
      <c r="R1062" s="1262"/>
      <c r="S1062" s="1262"/>
      <c r="T1062" s="1262"/>
      <c r="U1062" s="1262"/>
      <c r="V1062" s="1262"/>
      <c r="W1062" s="1262"/>
      <c r="X1062" s="1262"/>
      <c r="Y1062" s="1262"/>
      <c r="Z1062" s="1262"/>
      <c r="AA1062" s="1262"/>
      <c r="AB1062" s="1262"/>
      <c r="AC1062" s="1262"/>
      <c r="AD1062" s="1262"/>
      <c r="AE1062" s="1262"/>
      <c r="AF1062" s="1262"/>
      <c r="AG1062" s="1262"/>
      <c r="AH1062" s="1262"/>
      <c r="AI1062" s="1262"/>
      <c r="AJ1062" s="1262"/>
      <c r="AK1062" s="1262"/>
    </row>
    <row r="1063" spans="1:37" ht="12.95" customHeight="1">
      <c r="A1063" s="35"/>
      <c r="B1063" s="25"/>
      <c r="C1063" s="212"/>
      <c r="D1063" s="1262"/>
      <c r="E1063" s="1262"/>
      <c r="F1063" s="1262"/>
      <c r="G1063" s="1262"/>
      <c r="H1063" s="1262"/>
      <c r="I1063" s="1262"/>
      <c r="J1063" s="1262"/>
      <c r="K1063" s="1262"/>
      <c r="L1063" s="1262"/>
      <c r="M1063" s="1262"/>
      <c r="N1063" s="1262"/>
      <c r="O1063" s="1262"/>
      <c r="P1063" s="1262"/>
      <c r="Q1063" s="1262"/>
      <c r="R1063" s="1262"/>
      <c r="S1063" s="1262"/>
      <c r="T1063" s="1262"/>
      <c r="U1063" s="1262"/>
      <c r="V1063" s="1262"/>
      <c r="W1063" s="1262"/>
      <c r="X1063" s="1262"/>
      <c r="Y1063" s="1262"/>
      <c r="Z1063" s="1262"/>
      <c r="AA1063" s="1262"/>
      <c r="AB1063" s="1262"/>
      <c r="AC1063" s="1262"/>
      <c r="AD1063" s="1262"/>
      <c r="AE1063" s="1262"/>
      <c r="AF1063" s="1262"/>
      <c r="AG1063" s="1262"/>
      <c r="AH1063" s="1262"/>
      <c r="AI1063" s="1262"/>
      <c r="AJ1063" s="1262"/>
      <c r="AK1063" s="1262"/>
    </row>
    <row r="1064" spans="1:37" ht="12.95" customHeight="1">
      <c r="A1064" s="1353" t="s">
        <v>600</v>
      </c>
      <c r="B1064" s="1353"/>
      <c r="C1064" s="212">
        <v>8</v>
      </c>
      <c r="D1064" s="1322" t="s">
        <v>1942</v>
      </c>
      <c r="E1064" s="1322"/>
      <c r="F1064" s="1322"/>
      <c r="G1064" s="1322"/>
      <c r="H1064" s="1322"/>
      <c r="I1064" s="1322"/>
      <c r="J1064" s="1322"/>
      <c r="K1064" s="1322"/>
      <c r="L1064" s="1322"/>
      <c r="M1064" s="1322"/>
      <c r="N1064" s="1322"/>
      <c r="O1064" s="1322"/>
      <c r="P1064" s="1322"/>
      <c r="Q1064" s="1322"/>
      <c r="R1064" s="1322"/>
      <c r="S1064" s="1322"/>
      <c r="T1064" s="1322"/>
      <c r="U1064" s="1322"/>
      <c r="V1064" s="1322"/>
      <c r="W1064" s="1322"/>
      <c r="X1064" s="1322"/>
      <c r="Y1064" s="1322"/>
      <c r="Z1064" s="1322"/>
      <c r="AA1064" s="1322"/>
      <c r="AB1064" s="1322"/>
      <c r="AC1064" s="1322"/>
      <c r="AD1064" s="1322"/>
      <c r="AE1064" s="1322"/>
      <c r="AF1064" s="1322"/>
      <c r="AG1064" s="1322"/>
      <c r="AH1064" s="1322"/>
      <c r="AI1064" s="1322"/>
      <c r="AJ1064" s="1322"/>
      <c r="AK1064" s="1322"/>
    </row>
    <row r="1065" spans="1:37" ht="12.95" customHeight="1">
      <c r="A1065" s="1"/>
      <c r="B1065" s="1"/>
      <c r="C1065" s="212"/>
      <c r="D1065" s="1322"/>
      <c r="E1065" s="1322"/>
      <c r="F1065" s="1322"/>
      <c r="G1065" s="1322"/>
      <c r="H1065" s="1322"/>
      <c r="I1065" s="1322"/>
      <c r="J1065" s="1322"/>
      <c r="K1065" s="1322"/>
      <c r="L1065" s="1322"/>
      <c r="M1065" s="1322"/>
      <c r="N1065" s="1322"/>
      <c r="O1065" s="1322"/>
      <c r="P1065" s="1322"/>
      <c r="Q1065" s="1322"/>
      <c r="R1065" s="1322"/>
      <c r="S1065" s="1322"/>
      <c r="T1065" s="1322"/>
      <c r="U1065" s="1322"/>
      <c r="V1065" s="1322"/>
      <c r="W1065" s="1322"/>
      <c r="X1065" s="1322"/>
      <c r="Y1065" s="1322"/>
      <c r="Z1065" s="1322"/>
      <c r="AA1065" s="1322"/>
      <c r="AB1065" s="1322"/>
      <c r="AC1065" s="1322"/>
      <c r="AD1065" s="1322"/>
      <c r="AE1065" s="1322"/>
      <c r="AF1065" s="1322"/>
      <c r="AG1065" s="1322"/>
      <c r="AH1065" s="1322"/>
      <c r="AI1065" s="1322"/>
      <c r="AJ1065" s="1322"/>
      <c r="AK1065" s="1322"/>
    </row>
    <row r="1066" spans="1:37" ht="12.95" customHeight="1">
      <c r="A1066" s="1"/>
      <c r="B1066" s="1"/>
      <c r="C1066" s="212"/>
      <c r="D1066" s="1322"/>
      <c r="E1066" s="1322"/>
      <c r="F1066" s="1322"/>
      <c r="G1066" s="1322"/>
      <c r="H1066" s="1322"/>
      <c r="I1066" s="1322"/>
      <c r="J1066" s="1322"/>
      <c r="K1066" s="1322"/>
      <c r="L1066" s="1322"/>
      <c r="M1066" s="1322"/>
      <c r="N1066" s="1322"/>
      <c r="O1066" s="1322"/>
      <c r="P1066" s="1322"/>
      <c r="Q1066" s="1322"/>
      <c r="R1066" s="1322"/>
      <c r="S1066" s="1322"/>
      <c r="T1066" s="1322"/>
      <c r="U1066" s="1322"/>
      <c r="V1066" s="1322"/>
      <c r="W1066" s="1322"/>
      <c r="X1066" s="1322"/>
      <c r="Y1066" s="1322"/>
      <c r="Z1066" s="1322"/>
      <c r="AA1066" s="1322"/>
      <c r="AB1066" s="1322"/>
      <c r="AC1066" s="1322"/>
      <c r="AD1066" s="1322"/>
      <c r="AE1066" s="1322"/>
      <c r="AF1066" s="1322"/>
      <c r="AG1066" s="1322"/>
      <c r="AH1066" s="1322"/>
      <c r="AI1066" s="1322"/>
      <c r="AJ1066" s="1322"/>
      <c r="AK1066" s="1322"/>
    </row>
    <row r="1067" spans="1:37" ht="12.95" customHeight="1">
      <c r="A1067" s="35"/>
      <c r="B1067" s="25"/>
      <c r="C1067" s="212"/>
      <c r="D1067" s="1322"/>
      <c r="E1067" s="1322"/>
      <c r="F1067" s="1322"/>
      <c r="G1067" s="1322"/>
      <c r="H1067" s="1322"/>
      <c r="I1067" s="1322"/>
      <c r="J1067" s="1322"/>
      <c r="K1067" s="1322"/>
      <c r="L1067" s="1322"/>
      <c r="M1067" s="1322"/>
      <c r="N1067" s="1322"/>
      <c r="O1067" s="1322"/>
      <c r="P1067" s="1322"/>
      <c r="Q1067" s="1322"/>
      <c r="R1067" s="1322"/>
      <c r="S1067" s="1322"/>
      <c r="T1067" s="1322"/>
      <c r="U1067" s="1322"/>
      <c r="V1067" s="1322"/>
      <c r="W1067" s="1322"/>
      <c r="X1067" s="1322"/>
      <c r="Y1067" s="1322"/>
      <c r="Z1067" s="1322"/>
      <c r="AA1067" s="1322"/>
      <c r="AB1067" s="1322"/>
      <c r="AC1067" s="1322"/>
      <c r="AD1067" s="1322"/>
      <c r="AE1067" s="1322"/>
      <c r="AF1067" s="1322"/>
      <c r="AG1067" s="1322"/>
      <c r="AH1067" s="1322"/>
      <c r="AI1067" s="1322"/>
      <c r="AJ1067" s="1322"/>
      <c r="AK1067" s="1322"/>
    </row>
    <row r="1068" spans="1:37" ht="12.95" customHeight="1">
      <c r="A1068" s="1353" t="s">
        <v>600</v>
      </c>
      <c r="B1068" s="1353"/>
      <c r="C1068" s="212">
        <v>9</v>
      </c>
      <c r="D1068" s="1262" t="s">
        <v>1157</v>
      </c>
      <c r="E1068" s="1262"/>
      <c r="F1068" s="1262"/>
      <c r="G1068" s="1262"/>
      <c r="H1068" s="1262"/>
      <c r="I1068" s="1262"/>
      <c r="J1068" s="1262"/>
      <c r="K1068" s="1262"/>
      <c r="L1068" s="1262"/>
      <c r="M1068" s="1262"/>
      <c r="N1068" s="1262"/>
      <c r="O1068" s="1262"/>
      <c r="P1068" s="1262"/>
      <c r="Q1068" s="1262"/>
      <c r="R1068" s="1262"/>
      <c r="S1068" s="1262"/>
      <c r="T1068" s="1262"/>
      <c r="U1068" s="1262"/>
      <c r="V1068" s="1262"/>
      <c r="W1068" s="1262"/>
      <c r="X1068" s="1262"/>
      <c r="Y1068" s="1262"/>
      <c r="Z1068" s="1262"/>
      <c r="AA1068" s="1262"/>
      <c r="AB1068" s="1262"/>
      <c r="AC1068" s="1262"/>
      <c r="AD1068" s="1262"/>
      <c r="AE1068" s="1262"/>
      <c r="AF1068" s="1262"/>
      <c r="AG1068" s="1262"/>
      <c r="AH1068" s="1262"/>
      <c r="AI1068" s="1262"/>
      <c r="AJ1068" s="1262"/>
      <c r="AK1068" s="1262"/>
    </row>
    <row r="1069" spans="1:37" ht="12.95" customHeight="1">
      <c r="A1069" s="35"/>
      <c r="B1069" s="25"/>
      <c r="C1069" s="212"/>
      <c r="D1069" s="1262"/>
      <c r="E1069" s="1262"/>
      <c r="F1069" s="1262"/>
      <c r="G1069" s="1262"/>
      <c r="H1069" s="1262"/>
      <c r="I1069" s="1262"/>
      <c r="J1069" s="1262"/>
      <c r="K1069" s="1262"/>
      <c r="L1069" s="1262"/>
      <c r="M1069" s="1262"/>
      <c r="N1069" s="1262"/>
      <c r="O1069" s="1262"/>
      <c r="P1069" s="1262"/>
      <c r="Q1069" s="1262"/>
      <c r="R1069" s="1262"/>
      <c r="S1069" s="1262"/>
      <c r="T1069" s="1262"/>
      <c r="U1069" s="1262"/>
      <c r="V1069" s="1262"/>
      <c r="W1069" s="1262"/>
      <c r="X1069" s="1262"/>
      <c r="Y1069" s="1262"/>
      <c r="Z1069" s="1262"/>
      <c r="AA1069" s="1262"/>
      <c r="AB1069" s="1262"/>
      <c r="AC1069" s="1262"/>
      <c r="AD1069" s="1262"/>
      <c r="AE1069" s="1262"/>
      <c r="AF1069" s="1262"/>
      <c r="AG1069" s="1262"/>
      <c r="AH1069" s="1262"/>
      <c r="AI1069" s="1262"/>
      <c r="AJ1069" s="1262"/>
      <c r="AK1069" s="1262"/>
    </row>
    <row r="1070" spans="1:37" ht="12.95" customHeight="1">
      <c r="D1070" s="1262"/>
      <c r="E1070" s="1262"/>
      <c r="F1070" s="1262"/>
      <c r="G1070" s="1262"/>
      <c r="H1070" s="1262"/>
      <c r="I1070" s="1262"/>
      <c r="J1070" s="1262"/>
      <c r="K1070" s="1262"/>
      <c r="L1070" s="1262"/>
      <c r="M1070" s="1262"/>
      <c r="N1070" s="1262"/>
      <c r="O1070" s="1262"/>
      <c r="P1070" s="1262"/>
      <c r="Q1070" s="1262"/>
      <c r="R1070" s="1262"/>
      <c r="S1070" s="1262"/>
      <c r="T1070" s="1262"/>
      <c r="U1070" s="1262"/>
      <c r="V1070" s="1262"/>
      <c r="W1070" s="1262"/>
      <c r="X1070" s="1262"/>
      <c r="Y1070" s="1262"/>
      <c r="Z1070" s="1262"/>
      <c r="AA1070" s="1262"/>
      <c r="AB1070" s="1262"/>
      <c r="AC1070" s="1262"/>
      <c r="AD1070" s="1262"/>
      <c r="AE1070" s="1262"/>
      <c r="AF1070" s="1262"/>
      <c r="AG1070" s="1262"/>
      <c r="AH1070" s="1262"/>
      <c r="AI1070" s="1262"/>
      <c r="AJ1070" s="1262"/>
      <c r="AK1070" s="1262"/>
    </row>
  </sheetData>
  <sheetProtection algorithmName="SHA-512" hashValue="dOn/FdyiBJtT23KVwE08dJT92c9DB5BS1gSxos7Y3yukIRjFAaHPEs6P37Ki83PLPWWJYfGZULz/vbeQnnJEZw==" saltValue="i8+9U4Riys9Ftie/f7rd6g==" spinCount="100000" sheet="1" objects="1" scenarios="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2603">
    <mergeCell ref="D405:AJ406"/>
    <mergeCell ref="W469:Y469"/>
    <mergeCell ref="D470:V470"/>
    <mergeCell ref="AH520:AK520"/>
    <mergeCell ref="AG438:AJ438"/>
    <mergeCell ref="AG442:AJ442"/>
    <mergeCell ref="AG443:AJ443"/>
    <mergeCell ref="AC453:AF453"/>
    <mergeCell ref="D441:AF441"/>
    <mergeCell ref="AG441:AJ441"/>
    <mergeCell ref="AG440:AJ440"/>
    <mergeCell ref="W417:Y417"/>
    <mergeCell ref="Q492:AK492"/>
    <mergeCell ref="AH522:AK522"/>
    <mergeCell ref="AH523:AK523"/>
    <mergeCell ref="AM556:AS556"/>
    <mergeCell ref="AG445:AJ445"/>
    <mergeCell ref="D439:AF439"/>
    <mergeCell ref="AG437:AJ437"/>
    <mergeCell ref="AE423:AF423"/>
    <mergeCell ref="AM549:AS549"/>
    <mergeCell ref="AC521:AF521"/>
    <mergeCell ref="AC508:AF508"/>
    <mergeCell ref="AH508:AK508"/>
    <mergeCell ref="AC510:AF510"/>
    <mergeCell ref="AH510:AK510"/>
    <mergeCell ref="AM551:AS551"/>
    <mergeCell ref="AG447:AJ447"/>
    <mergeCell ref="W554:Y554"/>
    <mergeCell ref="Q553:S553"/>
    <mergeCell ref="Q554:S554"/>
    <mergeCell ref="AH506:AK506"/>
    <mergeCell ref="J386:U386"/>
    <mergeCell ref="AC385:AJ385"/>
    <mergeCell ref="BX642:CB642"/>
    <mergeCell ref="BX643:CB643"/>
    <mergeCell ref="J387:U387"/>
    <mergeCell ref="A542:AS543"/>
    <mergeCell ref="AC539:AF539"/>
    <mergeCell ref="B487:P488"/>
    <mergeCell ref="AC504:AF504"/>
    <mergeCell ref="Q487:R488"/>
    <mergeCell ref="Q486:AK486"/>
    <mergeCell ref="Q491:AK491"/>
    <mergeCell ref="AC500:AF500"/>
    <mergeCell ref="AC528:AF528"/>
    <mergeCell ref="O524:AA524"/>
    <mergeCell ref="B515:H517"/>
    <mergeCell ref="AC522:AF522"/>
    <mergeCell ref="AH498:AK498"/>
    <mergeCell ref="AC517:AF517"/>
    <mergeCell ref="BE611:BF611"/>
    <mergeCell ref="Q483:AK483"/>
    <mergeCell ref="D436:AF436"/>
    <mergeCell ref="AH526:AK526"/>
    <mergeCell ref="B512:H514"/>
    <mergeCell ref="AH519:AK519"/>
    <mergeCell ref="AC520:AF520"/>
    <mergeCell ref="D466:V466"/>
    <mergeCell ref="AC529:AF529"/>
    <mergeCell ref="AM553:AS553"/>
    <mergeCell ref="AE553:AH553"/>
    <mergeCell ref="AC503:AF503"/>
    <mergeCell ref="W466:Y466"/>
    <mergeCell ref="M493:P493"/>
    <mergeCell ref="AH493:AK493"/>
    <mergeCell ref="AH527:AK527"/>
    <mergeCell ref="T549:V549"/>
    <mergeCell ref="AH505:AK505"/>
    <mergeCell ref="AC502:AF502"/>
    <mergeCell ref="T550:V550"/>
    <mergeCell ref="AC499:AF499"/>
    <mergeCell ref="AH524:AK524"/>
    <mergeCell ref="AC531:AF531"/>
    <mergeCell ref="Z551:AD551"/>
    <mergeCell ref="AC507:AF507"/>
    <mergeCell ref="AC523:AF523"/>
    <mergeCell ref="AH501:AK501"/>
    <mergeCell ref="AC498:AF498"/>
    <mergeCell ref="L506:AB506"/>
    <mergeCell ref="AH530:AK530"/>
    <mergeCell ref="AH513:AK513"/>
    <mergeCell ref="AC514:AF514"/>
    <mergeCell ref="AC519:AF519"/>
    <mergeCell ref="AH507:AK507"/>
    <mergeCell ref="AC501:AF501"/>
    <mergeCell ref="AC524:AF524"/>
    <mergeCell ref="AH529:AK529"/>
    <mergeCell ref="AH538:AK538"/>
    <mergeCell ref="AI549:AL549"/>
    <mergeCell ref="AC513:AF513"/>
    <mergeCell ref="AC512:AF512"/>
    <mergeCell ref="AH504:AK504"/>
    <mergeCell ref="AH536:AK536"/>
    <mergeCell ref="AM550:AS550"/>
    <mergeCell ref="O33:P33"/>
    <mergeCell ref="AH245:AK245"/>
    <mergeCell ref="AI396:AJ396"/>
    <mergeCell ref="T398:AJ398"/>
    <mergeCell ref="T397:AJ397"/>
    <mergeCell ref="AG439:AJ439"/>
    <mergeCell ref="AC386:AJ386"/>
    <mergeCell ref="V387:AJ387"/>
    <mergeCell ref="D442:AF442"/>
    <mergeCell ref="W470:Y470"/>
    <mergeCell ref="AG394:AJ394"/>
    <mergeCell ref="AI391:AJ391"/>
    <mergeCell ref="R411:S411"/>
    <mergeCell ref="Q428:R428"/>
    <mergeCell ref="D447:AF447"/>
    <mergeCell ref="AG444:AJ444"/>
    <mergeCell ref="P348:AE348"/>
    <mergeCell ref="AC369:AF369"/>
    <mergeCell ref="P347:Z347"/>
    <mergeCell ref="N372:AF373"/>
    <mergeCell ref="AJ354:AK354"/>
    <mergeCell ref="Q392:U392"/>
    <mergeCell ref="AG393:AJ393"/>
    <mergeCell ref="A350:AL351"/>
    <mergeCell ref="AC384:AJ384"/>
    <mergeCell ref="AG376:AH376"/>
    <mergeCell ref="E417:G417"/>
    <mergeCell ref="AD410:AE410"/>
    <mergeCell ref="F426:AH427"/>
    <mergeCell ref="V376:W376"/>
    <mergeCell ref="S376:T376"/>
    <mergeCell ref="AG392:AJ392"/>
    <mergeCell ref="AG390:AJ390"/>
    <mergeCell ref="O518:AA518"/>
    <mergeCell ref="AI553:AL553"/>
    <mergeCell ref="D448:AF448"/>
    <mergeCell ref="AE555:AH555"/>
    <mergeCell ref="AI555:AL555"/>
    <mergeCell ref="AH518:AK518"/>
    <mergeCell ref="AE556:AH556"/>
    <mergeCell ref="T552:V552"/>
    <mergeCell ref="B499:H500"/>
    <mergeCell ref="O521:AA521"/>
    <mergeCell ref="W465:Y465"/>
    <mergeCell ref="W471:Y471"/>
    <mergeCell ref="D468:V468"/>
    <mergeCell ref="AC518:AF518"/>
    <mergeCell ref="AC525:AF525"/>
    <mergeCell ref="B518:H540"/>
    <mergeCell ref="D444:AF444"/>
    <mergeCell ref="T553:V553"/>
    <mergeCell ref="D445:AF445"/>
    <mergeCell ref="D446:AF446"/>
    <mergeCell ref="AC516:AF516"/>
    <mergeCell ref="AC511:AF511"/>
    <mergeCell ref="AH511:AK511"/>
    <mergeCell ref="AH503:AK503"/>
    <mergeCell ref="B501:H506"/>
    <mergeCell ref="AC506:AF506"/>
    <mergeCell ref="AH514:AK514"/>
    <mergeCell ref="Q489:AK489"/>
    <mergeCell ref="K403:AJ403"/>
    <mergeCell ref="AG446:AJ446"/>
    <mergeCell ref="D464:V464"/>
    <mergeCell ref="A9:AL9"/>
    <mergeCell ref="M355:N355"/>
    <mergeCell ref="AB214:AL214"/>
    <mergeCell ref="T197:U197"/>
    <mergeCell ref="Y211:Z211"/>
    <mergeCell ref="D213:Z213"/>
    <mergeCell ref="AB215:AL215"/>
    <mergeCell ref="G472:V472"/>
    <mergeCell ref="W472:Y472"/>
    <mergeCell ref="D471:V471"/>
    <mergeCell ref="D440:AF440"/>
    <mergeCell ref="D465:V465"/>
    <mergeCell ref="AG436:AJ436"/>
    <mergeCell ref="AG449:AJ449"/>
    <mergeCell ref="AC454:AF454"/>
    <mergeCell ref="S400:U400"/>
    <mergeCell ref="AA331:AF331"/>
    <mergeCell ref="AA327:AK327"/>
    <mergeCell ref="V275:W275"/>
    <mergeCell ref="K402:AJ402"/>
    <mergeCell ref="AG448:AJ448"/>
    <mergeCell ref="C124:K124"/>
    <mergeCell ref="O160:T160"/>
    <mergeCell ref="O161:AH161"/>
    <mergeCell ref="D164:AH164"/>
    <mergeCell ref="N370:Q370"/>
    <mergeCell ref="V381:W381"/>
    <mergeCell ref="Y363:Z363"/>
    <mergeCell ref="AG379:AH379"/>
    <mergeCell ref="N377:P377"/>
    <mergeCell ref="AG400:AJ400"/>
    <mergeCell ref="AE401:AJ401"/>
    <mergeCell ref="AH532:AK532"/>
    <mergeCell ref="AI558:AL558"/>
    <mergeCell ref="W553:Y553"/>
    <mergeCell ref="AI556:AL556"/>
    <mergeCell ref="AH535:AK535"/>
    <mergeCell ref="AC526:AF526"/>
    <mergeCell ref="O527:AA527"/>
    <mergeCell ref="AH531:AK531"/>
    <mergeCell ref="AI559:AL559"/>
    <mergeCell ref="Z558:AD558"/>
    <mergeCell ref="Z559:AD559"/>
    <mergeCell ref="AI560:AL560"/>
    <mergeCell ref="Z550:AD550"/>
    <mergeCell ref="AC535:AF535"/>
    <mergeCell ref="AH537:AK537"/>
    <mergeCell ref="AH539:AK539"/>
    <mergeCell ref="AC533:AF533"/>
    <mergeCell ref="AE549:AH549"/>
    <mergeCell ref="Z549:AD549"/>
    <mergeCell ref="AI550:AL550"/>
    <mergeCell ref="W549:Y549"/>
    <mergeCell ref="AC534:AF534"/>
    <mergeCell ref="AE552:AH552"/>
    <mergeCell ref="Q555:S555"/>
    <mergeCell ref="AI552:AL552"/>
    <mergeCell ref="AC532:AF532"/>
    <mergeCell ref="AC527:AF527"/>
    <mergeCell ref="AH528:AK528"/>
    <mergeCell ref="Q550:S550"/>
    <mergeCell ref="AE554:AH554"/>
    <mergeCell ref="AI554:AL554"/>
    <mergeCell ref="Z553:AD553"/>
    <mergeCell ref="AI557:AL557"/>
    <mergeCell ref="AE558:AH558"/>
    <mergeCell ref="AH540:AK540"/>
    <mergeCell ref="AC540:AF540"/>
    <mergeCell ref="Q556:S556"/>
    <mergeCell ref="Q551:S551"/>
    <mergeCell ref="Q561:S561"/>
    <mergeCell ref="G601:L601"/>
    <mergeCell ref="G598:R598"/>
    <mergeCell ref="N595:O595"/>
    <mergeCell ref="AE550:AH550"/>
    <mergeCell ref="Z552:AD552"/>
    <mergeCell ref="AI551:AL551"/>
    <mergeCell ref="T555:V555"/>
    <mergeCell ref="T551:V551"/>
    <mergeCell ref="W555:Y555"/>
    <mergeCell ref="AA594:AK594"/>
    <mergeCell ref="T554:V554"/>
    <mergeCell ref="W557:Y557"/>
    <mergeCell ref="W558:Y558"/>
    <mergeCell ref="W559:Y559"/>
    <mergeCell ref="W560:Y560"/>
    <mergeCell ref="T556:V556"/>
    <mergeCell ref="Z583:AK583"/>
    <mergeCell ref="G566:R566"/>
    <mergeCell ref="Z557:AD557"/>
    <mergeCell ref="M558:P558"/>
    <mergeCell ref="C559:L559"/>
    <mergeCell ref="T730:W730"/>
    <mergeCell ref="K724:N724"/>
    <mergeCell ref="K725:N725"/>
    <mergeCell ref="G727:J727"/>
    <mergeCell ref="T760:W760"/>
    <mergeCell ref="T761:W761"/>
    <mergeCell ref="X768:AB771"/>
    <mergeCell ref="X772:AB772"/>
    <mergeCell ref="T759:W759"/>
    <mergeCell ref="J764:K764"/>
    <mergeCell ref="J772:N772"/>
    <mergeCell ref="G734:J734"/>
    <mergeCell ref="G733:J733"/>
    <mergeCell ref="G731:J731"/>
    <mergeCell ref="T758:W758"/>
    <mergeCell ref="X781:AB781"/>
    <mergeCell ref="G732:J732"/>
    <mergeCell ref="X734:AB734"/>
    <mergeCell ref="X735:AB735"/>
    <mergeCell ref="X725:AB725"/>
    <mergeCell ref="C748:AR750"/>
    <mergeCell ref="C751:AR753"/>
    <mergeCell ref="B740:AH741"/>
    <mergeCell ref="AK735:AO735"/>
    <mergeCell ref="J776:N776"/>
    <mergeCell ref="X777:AB777"/>
    <mergeCell ref="X778:AB778"/>
    <mergeCell ref="K736:N736"/>
    <mergeCell ref="X728:AB728"/>
    <mergeCell ref="K730:N730"/>
    <mergeCell ref="K731:N731"/>
    <mergeCell ref="K732:N732"/>
    <mergeCell ref="BG602:BH602"/>
    <mergeCell ref="X721:AB721"/>
    <mergeCell ref="X724:AB724"/>
    <mergeCell ref="T768:W771"/>
    <mergeCell ref="X758:AB758"/>
    <mergeCell ref="W550:Y550"/>
    <mergeCell ref="W551:Y551"/>
    <mergeCell ref="Z554:AD554"/>
    <mergeCell ref="P577:R577"/>
    <mergeCell ref="BX618:CB618"/>
    <mergeCell ref="BN618:BR618"/>
    <mergeCell ref="BS618:BW618"/>
    <mergeCell ref="BG617:BH617"/>
    <mergeCell ref="BI617:BJ617"/>
    <mergeCell ref="BK617:BL617"/>
    <mergeCell ref="AG595:AH595"/>
    <mergeCell ref="AI593:AK593"/>
    <mergeCell ref="BE601:BF601"/>
    <mergeCell ref="BK608:BL608"/>
    <mergeCell ref="BE598:BF598"/>
    <mergeCell ref="BI605:BJ605"/>
    <mergeCell ref="BG604:BH604"/>
    <mergeCell ref="BI607:BJ607"/>
    <mergeCell ref="BG609:BH609"/>
    <mergeCell ref="BK599:BL599"/>
    <mergeCell ref="BG597:BH597"/>
    <mergeCell ref="BG606:BH606"/>
    <mergeCell ref="BS609:BW609"/>
    <mergeCell ref="AI568:AK568"/>
    <mergeCell ref="BG595:BH595"/>
    <mergeCell ref="BG598:BH598"/>
    <mergeCell ref="BN597:BR597"/>
    <mergeCell ref="BG603:BH603"/>
    <mergeCell ref="CH611:CL611"/>
    <mergeCell ref="CH612:CL612"/>
    <mergeCell ref="BK602:BL602"/>
    <mergeCell ref="CC597:CG597"/>
    <mergeCell ref="Z555:AD555"/>
    <mergeCell ref="Z556:AD556"/>
    <mergeCell ref="G600:R600"/>
    <mergeCell ref="Z600:AK600"/>
    <mergeCell ref="BN626:BR626"/>
    <mergeCell ref="BS620:BW620"/>
    <mergeCell ref="BN644:BR644"/>
    <mergeCell ref="BS629:BW629"/>
    <mergeCell ref="BX628:CB628"/>
    <mergeCell ref="BX629:CB629"/>
    <mergeCell ref="CC629:CG629"/>
    <mergeCell ref="G584:R584"/>
    <mergeCell ref="BE604:BF604"/>
    <mergeCell ref="BE602:BF602"/>
    <mergeCell ref="BE599:BF599"/>
    <mergeCell ref="BS638:BW638"/>
    <mergeCell ref="BX641:CB641"/>
    <mergeCell ref="BI598:BJ598"/>
    <mergeCell ref="BE608:BF608"/>
    <mergeCell ref="BE606:BF606"/>
    <mergeCell ref="BE607:BF607"/>
    <mergeCell ref="BE609:BF609"/>
    <mergeCell ref="BN600:BR600"/>
    <mergeCell ref="BN596:BR596"/>
    <mergeCell ref="BG596:BH596"/>
    <mergeCell ref="BI596:BJ596"/>
    <mergeCell ref="BK595:BL595"/>
    <mergeCell ref="BI606:BJ606"/>
    <mergeCell ref="BK619:BL619"/>
    <mergeCell ref="BX612:CB612"/>
    <mergeCell ref="CC612:CG612"/>
    <mergeCell ref="BG613:BH613"/>
    <mergeCell ref="BG612:BH612"/>
    <mergeCell ref="BK614:BL614"/>
    <mergeCell ref="CC613:CG613"/>
    <mergeCell ref="BN614:BR614"/>
    <mergeCell ref="BK615:BL615"/>
    <mergeCell ref="BE620:BF620"/>
    <mergeCell ref="BS615:BW615"/>
    <mergeCell ref="CC608:CG608"/>
    <mergeCell ref="BX610:CB610"/>
    <mergeCell ref="BX613:CB613"/>
    <mergeCell ref="BS612:BW612"/>
    <mergeCell ref="BI610:BJ610"/>
    <mergeCell ref="BX611:CB611"/>
    <mergeCell ref="BX614:CB614"/>
    <mergeCell ref="BK609:BL609"/>
    <mergeCell ref="BI619:BJ619"/>
    <mergeCell ref="BG610:BH610"/>
    <mergeCell ref="BK606:BL606"/>
    <mergeCell ref="BN606:BR606"/>
    <mergeCell ref="BS606:BW606"/>
    <mergeCell ref="CC615:CG615"/>
    <mergeCell ref="BX617:CB617"/>
    <mergeCell ref="CC617:CG617"/>
    <mergeCell ref="CH596:CL596"/>
    <mergeCell ref="BX597:CB597"/>
    <mergeCell ref="BK596:BL596"/>
    <mergeCell ref="BS596:BW596"/>
    <mergeCell ref="CH597:CL597"/>
    <mergeCell ref="BS595:BW595"/>
    <mergeCell ref="BK603:BL603"/>
    <mergeCell ref="BX596:CB596"/>
    <mergeCell ref="CH595:CL595"/>
    <mergeCell ref="CH600:CL600"/>
    <mergeCell ref="BS602:BW602"/>
    <mergeCell ref="BN603:BR603"/>
    <mergeCell ref="BN608:BR608"/>
    <mergeCell ref="BN609:BR609"/>
    <mergeCell ref="BK600:BL600"/>
    <mergeCell ref="BG605:BH605"/>
    <mergeCell ref="BX603:CB603"/>
    <mergeCell ref="BS608:BW608"/>
    <mergeCell ref="BX608:CB608"/>
    <mergeCell ref="CH598:CL598"/>
    <mergeCell ref="BX595:CB595"/>
    <mergeCell ref="BG600:BH600"/>
    <mergeCell ref="BG599:BH599"/>
    <mergeCell ref="CC599:CG599"/>
    <mergeCell ref="CC609:CG609"/>
    <mergeCell ref="CC606:CG606"/>
    <mergeCell ref="BS607:BW607"/>
    <mergeCell ref="BN607:BR607"/>
    <mergeCell ref="BI603:BJ603"/>
    <mergeCell ref="BN601:BR601"/>
    <mergeCell ref="BS605:BW605"/>
    <mergeCell ref="BI602:BJ602"/>
    <mergeCell ref="BS599:BW599"/>
    <mergeCell ref="CC603:CG603"/>
    <mergeCell ref="BN604:BR604"/>
    <mergeCell ref="BS604:BW604"/>
    <mergeCell ref="BX604:CB604"/>
    <mergeCell ref="BI600:BJ600"/>
    <mergeCell ref="BI599:BJ599"/>
    <mergeCell ref="BN602:BR602"/>
    <mergeCell ref="BN605:BR605"/>
    <mergeCell ref="BK605:BL605"/>
    <mergeCell ref="BK607:BL607"/>
    <mergeCell ref="BI604:BJ604"/>
    <mergeCell ref="BX602:CB602"/>
    <mergeCell ref="BK597:BL597"/>
    <mergeCell ref="BX607:CB607"/>
    <mergeCell ref="AA578:AK578"/>
    <mergeCell ref="AA586:AK586"/>
    <mergeCell ref="Z589:AK589"/>
    <mergeCell ref="AG579:AH579"/>
    <mergeCell ref="CC600:CG600"/>
    <mergeCell ref="CC601:CG601"/>
    <mergeCell ref="BS603:BW603"/>
    <mergeCell ref="CC604:CG604"/>
    <mergeCell ref="BS601:BW601"/>
    <mergeCell ref="BX601:CB601"/>
    <mergeCell ref="CC596:CG596"/>
    <mergeCell ref="BE600:BF600"/>
    <mergeCell ref="BE597:BF597"/>
    <mergeCell ref="CC605:CG605"/>
    <mergeCell ref="BX606:CB606"/>
    <mergeCell ref="BS597:BW597"/>
    <mergeCell ref="BS598:BW598"/>
    <mergeCell ref="AM557:AS557"/>
    <mergeCell ref="AM555:AS555"/>
    <mergeCell ref="H586:R586"/>
    <mergeCell ref="H594:R594"/>
    <mergeCell ref="G591:R591"/>
    <mergeCell ref="G592:R592"/>
    <mergeCell ref="G583:R583"/>
    <mergeCell ref="G574:R574"/>
    <mergeCell ref="AM561:AS561"/>
    <mergeCell ref="Z576:AK576"/>
    <mergeCell ref="Z565:AK565"/>
    <mergeCell ref="AI561:AL561"/>
    <mergeCell ref="AI585:AK585"/>
    <mergeCell ref="Z573:AK573"/>
    <mergeCell ref="AE561:AH561"/>
    <mergeCell ref="G576:R576"/>
    <mergeCell ref="G593:L593"/>
    <mergeCell ref="Z591:AK591"/>
    <mergeCell ref="Z577:AE577"/>
    <mergeCell ref="Z582:AK582"/>
    <mergeCell ref="T557:V557"/>
    <mergeCell ref="T558:V558"/>
    <mergeCell ref="T561:V561"/>
    <mergeCell ref="Z585:AE585"/>
    <mergeCell ref="Z593:AE593"/>
    <mergeCell ref="AE557:AH557"/>
    <mergeCell ref="AM558:AS558"/>
    <mergeCell ref="C556:L556"/>
    <mergeCell ref="M556:P556"/>
    <mergeCell ref="C557:L557"/>
    <mergeCell ref="AE559:AH559"/>
    <mergeCell ref="C558:L558"/>
    <mergeCell ref="BE596:BF596"/>
    <mergeCell ref="Z597:AK597"/>
    <mergeCell ref="W552:Y552"/>
    <mergeCell ref="AE560:AH560"/>
    <mergeCell ref="AM560:AS560"/>
    <mergeCell ref="AM559:AS559"/>
    <mergeCell ref="M549:P549"/>
    <mergeCell ref="B549:L549"/>
    <mergeCell ref="M550:P550"/>
    <mergeCell ref="C550:L550"/>
    <mergeCell ref="C551:L551"/>
    <mergeCell ref="M551:P551"/>
    <mergeCell ref="C552:L552"/>
    <mergeCell ref="M552:P552"/>
    <mergeCell ref="C553:L553"/>
    <mergeCell ref="N587:O587"/>
    <mergeCell ref="AA569:AK569"/>
    <mergeCell ref="Z590:AK590"/>
    <mergeCell ref="AE551:AH551"/>
    <mergeCell ref="M553:P553"/>
    <mergeCell ref="C554:L554"/>
    <mergeCell ref="M554:P554"/>
    <mergeCell ref="G567:R567"/>
    <mergeCell ref="G581:R581"/>
    <mergeCell ref="AG571:AH571"/>
    <mergeCell ref="Z564:AK564"/>
    <mergeCell ref="Z566:AK566"/>
    <mergeCell ref="AM554:AS554"/>
    <mergeCell ref="AM562:AS562"/>
    <mergeCell ref="AM552:AS552"/>
    <mergeCell ref="H569:R569"/>
    <mergeCell ref="B562:AL562"/>
    <mergeCell ref="D449:AF449"/>
    <mergeCell ref="D450:AJ451"/>
    <mergeCell ref="S401:U401"/>
    <mergeCell ref="E419:AJ419"/>
    <mergeCell ref="P424:Q424"/>
    <mergeCell ref="I417:K417"/>
    <mergeCell ref="S412:T412"/>
    <mergeCell ref="AE424:AF424"/>
    <mergeCell ref="AC505:AF505"/>
    <mergeCell ref="D469:V469"/>
    <mergeCell ref="F456:AB457"/>
    <mergeCell ref="N571:O571"/>
    <mergeCell ref="G565:R565"/>
    <mergeCell ref="H578:R578"/>
    <mergeCell ref="G564:R564"/>
    <mergeCell ref="M570:R570"/>
    <mergeCell ref="Q552:S552"/>
    <mergeCell ref="Q557:S557"/>
    <mergeCell ref="Q558:S558"/>
    <mergeCell ref="Q559:S559"/>
    <mergeCell ref="Q560:S560"/>
    <mergeCell ref="AC536:AF536"/>
    <mergeCell ref="M557:P557"/>
    <mergeCell ref="AC538:AF538"/>
    <mergeCell ref="P423:Q423"/>
    <mergeCell ref="Q490:AK490"/>
    <mergeCell ref="AF417:AH417"/>
    <mergeCell ref="Z433:AA433"/>
    <mergeCell ref="AD411:AE411"/>
    <mergeCell ref="AI577:AK577"/>
    <mergeCell ref="AC455:AF455"/>
    <mergeCell ref="D443:AF443"/>
    <mergeCell ref="D467:V467"/>
    <mergeCell ref="S404:AJ404"/>
    <mergeCell ref="AA287:AK287"/>
    <mergeCell ref="H286:R286"/>
    <mergeCell ref="AA256:AK256"/>
    <mergeCell ref="AA323:AF323"/>
    <mergeCell ref="H315:M315"/>
    <mergeCell ref="AC537:AF537"/>
    <mergeCell ref="Q549:S549"/>
    <mergeCell ref="M259:AE259"/>
    <mergeCell ref="A478:AL479"/>
    <mergeCell ref="Z431:AA431"/>
    <mergeCell ref="Q485:AK485"/>
    <mergeCell ref="Q484:AK484"/>
    <mergeCell ref="AH500:AK500"/>
    <mergeCell ref="AC497:AK497"/>
    <mergeCell ref="H338:M338"/>
    <mergeCell ref="AA316:AK316"/>
    <mergeCell ref="L279:AD279"/>
    <mergeCell ref="L274:AD274"/>
    <mergeCell ref="H289:R289"/>
    <mergeCell ref="AC530:AF530"/>
    <mergeCell ref="O533:AA533"/>
    <mergeCell ref="AH534:AK534"/>
    <mergeCell ref="AH521:AK521"/>
    <mergeCell ref="O530:AA530"/>
    <mergeCell ref="AH502:AK502"/>
    <mergeCell ref="AH515:AK515"/>
    <mergeCell ref="AH533:AK533"/>
    <mergeCell ref="AH525:AK525"/>
    <mergeCell ref="AC515:AF515"/>
    <mergeCell ref="AH499:AK499"/>
    <mergeCell ref="N369:Q369"/>
    <mergeCell ref="H313:R313"/>
    <mergeCell ref="W260:X260"/>
    <mergeCell ref="U262:W262"/>
    <mergeCell ref="M256:T256"/>
    <mergeCell ref="M255:AE255"/>
    <mergeCell ref="P290:R290"/>
    <mergeCell ref="L273:AJ273"/>
    <mergeCell ref="AA306:AF306"/>
    <mergeCell ref="H312:R312"/>
    <mergeCell ref="H288:R288"/>
    <mergeCell ref="H290:M290"/>
    <mergeCell ref="H298:M298"/>
    <mergeCell ref="H299:M299"/>
    <mergeCell ref="AI322:AK322"/>
    <mergeCell ref="AA319:AK319"/>
    <mergeCell ref="AA336:AK336"/>
    <mergeCell ref="H326:R326"/>
    <mergeCell ref="AA332:AK332"/>
    <mergeCell ref="AA310:AK310"/>
    <mergeCell ref="AA305:AK305"/>
    <mergeCell ref="AA302:AK302"/>
    <mergeCell ref="D269:H269"/>
    <mergeCell ref="X269:AC269"/>
    <mergeCell ref="AA324:AK324"/>
    <mergeCell ref="H314:M314"/>
    <mergeCell ref="AA315:AF315"/>
    <mergeCell ref="AA338:AF338"/>
    <mergeCell ref="AA296:AK296"/>
    <mergeCell ref="AI314:AK314"/>
    <mergeCell ref="AA303:AK303"/>
    <mergeCell ref="AA311:AK311"/>
    <mergeCell ref="W252:X252"/>
    <mergeCell ref="M250:AE250"/>
    <mergeCell ref="AA300:AK300"/>
    <mergeCell ref="H300:R300"/>
    <mergeCell ref="AA248:AK248"/>
    <mergeCell ref="AA291:AF291"/>
    <mergeCell ref="AB275:AD275"/>
    <mergeCell ref="Y277:AD277"/>
    <mergeCell ref="AA294:AK294"/>
    <mergeCell ref="AF258:AK258"/>
    <mergeCell ref="AC260:AE260"/>
    <mergeCell ref="M247:AE247"/>
    <mergeCell ref="AC252:AE252"/>
    <mergeCell ref="L276:AD276"/>
    <mergeCell ref="T277:V277"/>
    <mergeCell ref="Z254:AE254"/>
    <mergeCell ref="M254:R254"/>
    <mergeCell ref="M252:T252"/>
    <mergeCell ref="M261:AE261"/>
    <mergeCell ref="AA298:AF298"/>
    <mergeCell ref="AA286:AK286"/>
    <mergeCell ref="T266:X266"/>
    <mergeCell ref="U254:W254"/>
    <mergeCell ref="P298:R298"/>
    <mergeCell ref="A281:AL282"/>
    <mergeCell ref="H292:R292"/>
    <mergeCell ref="M263:AE263"/>
    <mergeCell ref="M251:AE251"/>
    <mergeCell ref="AA290:AF290"/>
    <mergeCell ref="AI290:AK290"/>
    <mergeCell ref="M258:AE258"/>
    <mergeCell ref="AA292:AK292"/>
    <mergeCell ref="Y132:AK132"/>
    <mergeCell ref="R177:S177"/>
    <mergeCell ref="U235:W235"/>
    <mergeCell ref="M242:AE242"/>
    <mergeCell ref="A10:AL10"/>
    <mergeCell ref="D203:M203"/>
    <mergeCell ref="P203:U203"/>
    <mergeCell ref="A20:AL20"/>
    <mergeCell ref="AH194:AI194"/>
    <mergeCell ref="AH195:AI195"/>
    <mergeCell ref="U176:V176"/>
    <mergeCell ref="H18:AJ18"/>
    <mergeCell ref="Y126:AK126"/>
    <mergeCell ref="T190:AE190"/>
    <mergeCell ref="M231:AK231"/>
    <mergeCell ref="M232:AE232"/>
    <mergeCell ref="N191:AE192"/>
    <mergeCell ref="D210:M210"/>
    <mergeCell ref="AI227:AJ227"/>
    <mergeCell ref="AI225:AJ225"/>
    <mergeCell ref="T189:AE189"/>
    <mergeCell ref="T194:U194"/>
    <mergeCell ref="E187:AE188"/>
    <mergeCell ref="I189:P189"/>
    <mergeCell ref="Y198:Z198"/>
    <mergeCell ref="AC233:AE233"/>
    <mergeCell ref="AH196:AI196"/>
    <mergeCell ref="A13:AL14"/>
    <mergeCell ref="A12:AL12"/>
    <mergeCell ref="G122:H122"/>
    <mergeCell ref="L122:N122"/>
    <mergeCell ref="Y129:AK129"/>
    <mergeCell ref="M248:T248"/>
    <mergeCell ref="M26:Q26"/>
    <mergeCell ref="H16:AJ16"/>
    <mergeCell ref="A21:AL21"/>
    <mergeCell ref="F150:T150"/>
    <mergeCell ref="M253:AE253"/>
    <mergeCell ref="J173:S173"/>
    <mergeCell ref="A11:AL11"/>
    <mergeCell ref="O155:AH155"/>
    <mergeCell ref="O153:AH153"/>
    <mergeCell ref="O154:AH154"/>
    <mergeCell ref="O156:AH156"/>
    <mergeCell ref="O157:X157"/>
    <mergeCell ref="O158:R158"/>
    <mergeCell ref="W159:X159"/>
    <mergeCell ref="O159:T159"/>
    <mergeCell ref="AH253:AK253"/>
    <mergeCell ref="O122:R122"/>
    <mergeCell ref="I185:AE185"/>
    <mergeCell ref="M235:R235"/>
    <mergeCell ref="Z235:AE235"/>
    <mergeCell ref="AF250:AK250"/>
    <mergeCell ref="M243:AE243"/>
    <mergeCell ref="I190:N190"/>
    <mergeCell ref="M246:R246"/>
    <mergeCell ref="M244:T244"/>
    <mergeCell ref="D207:M207"/>
    <mergeCell ref="Z246:AE246"/>
    <mergeCell ref="W244:X244"/>
    <mergeCell ref="U246:W246"/>
    <mergeCell ref="M236:AE236"/>
    <mergeCell ref="AI226:AJ226"/>
    <mergeCell ref="I184:AE184"/>
    <mergeCell ref="A221:AL222"/>
    <mergeCell ref="X176:Y176"/>
    <mergeCell ref="X180:Y180"/>
    <mergeCell ref="AC244:AE244"/>
    <mergeCell ref="M245:AE245"/>
    <mergeCell ref="AA237:AK237"/>
    <mergeCell ref="A169:AL170"/>
    <mergeCell ref="AI178:AK178"/>
    <mergeCell ref="M233:T233"/>
    <mergeCell ref="W233:X233"/>
    <mergeCell ref="AB211:AC211"/>
    <mergeCell ref="AF242:AK242"/>
    <mergeCell ref="T195:U195"/>
    <mergeCell ref="D219:Z219"/>
    <mergeCell ref="T193:AI193"/>
    <mergeCell ref="D204:M204"/>
    <mergeCell ref="J174:AB174"/>
    <mergeCell ref="M237:T237"/>
    <mergeCell ref="Z203:AF205"/>
    <mergeCell ref="T196:U196"/>
    <mergeCell ref="P204:U204"/>
    <mergeCell ref="M238:AE238"/>
    <mergeCell ref="AI228:AJ228"/>
    <mergeCell ref="M234:AE234"/>
    <mergeCell ref="U175:V175"/>
    <mergeCell ref="AA264:AK264"/>
    <mergeCell ref="H294:R294"/>
    <mergeCell ref="H303:R303"/>
    <mergeCell ref="H302:R302"/>
    <mergeCell ref="AA307:AF307"/>
    <mergeCell ref="AA304:AK304"/>
    <mergeCell ref="H337:R337"/>
    <mergeCell ref="H287:R287"/>
    <mergeCell ref="AA289:AK289"/>
    <mergeCell ref="AA334:AK334"/>
    <mergeCell ref="AI298:AK298"/>
    <mergeCell ref="H296:R296"/>
    <mergeCell ref="AA297:AK297"/>
    <mergeCell ref="H316:R316"/>
    <mergeCell ref="L275:S275"/>
    <mergeCell ref="L277:Q277"/>
    <mergeCell ref="AA295:AK295"/>
    <mergeCell ref="AA288:AK288"/>
    <mergeCell ref="P322:R322"/>
    <mergeCell ref="AA314:AF314"/>
    <mergeCell ref="H297:R297"/>
    <mergeCell ref="H311:R311"/>
    <mergeCell ref="AI306:AK306"/>
    <mergeCell ref="L278:AD278"/>
    <mergeCell ref="M260:T260"/>
    <mergeCell ref="P342:AE342"/>
    <mergeCell ref="H320:R320"/>
    <mergeCell ref="H321:R321"/>
    <mergeCell ref="AA330:AF330"/>
    <mergeCell ref="P314:R314"/>
    <mergeCell ref="Z262:AE262"/>
    <mergeCell ref="H310:R310"/>
    <mergeCell ref="H307:M307"/>
    <mergeCell ref="P306:R306"/>
    <mergeCell ref="H304:R304"/>
    <mergeCell ref="AA299:AF299"/>
    <mergeCell ref="H305:R305"/>
    <mergeCell ref="H328:R328"/>
    <mergeCell ref="H331:M331"/>
    <mergeCell ref="AA335:AK335"/>
    <mergeCell ref="AA328:AK328"/>
    <mergeCell ref="P330:R330"/>
    <mergeCell ref="H332:R332"/>
    <mergeCell ref="H329:R329"/>
    <mergeCell ref="AA320:AK320"/>
    <mergeCell ref="H324:R324"/>
    <mergeCell ref="H306:M306"/>
    <mergeCell ref="H291:M291"/>
    <mergeCell ref="AA339:AF339"/>
    <mergeCell ref="H308:R308"/>
    <mergeCell ref="AA308:AK308"/>
    <mergeCell ref="AA326:AK326"/>
    <mergeCell ref="AH261:AK261"/>
    <mergeCell ref="M262:R262"/>
    <mergeCell ref="M264:T264"/>
    <mergeCell ref="AA313:AK313"/>
    <mergeCell ref="I391:N391"/>
    <mergeCell ref="AI338:AK338"/>
    <mergeCell ref="H339:M339"/>
    <mergeCell ref="AA312:AK312"/>
    <mergeCell ref="W467:Y467"/>
    <mergeCell ref="AF429:AG429"/>
    <mergeCell ref="AD744:AF744"/>
    <mergeCell ref="T776:W776"/>
    <mergeCell ref="T772:W772"/>
    <mergeCell ref="T773:W773"/>
    <mergeCell ref="O774:S774"/>
    <mergeCell ref="J760:N760"/>
    <mergeCell ref="AC759:AG759"/>
    <mergeCell ref="AC760:AG760"/>
    <mergeCell ref="AC768:AG771"/>
    <mergeCell ref="B725:F725"/>
    <mergeCell ref="T725:W725"/>
    <mergeCell ref="AH724:AJ724"/>
    <mergeCell ref="B718:F718"/>
    <mergeCell ref="T710:W713"/>
    <mergeCell ref="O715:S715"/>
    <mergeCell ref="X720:AB720"/>
    <mergeCell ref="AH718:AJ718"/>
    <mergeCell ref="AC720:AG720"/>
    <mergeCell ref="T719:W719"/>
    <mergeCell ref="B719:F719"/>
    <mergeCell ref="T718:W718"/>
    <mergeCell ref="B721:F721"/>
    <mergeCell ref="B720:F720"/>
    <mergeCell ref="B724:F724"/>
    <mergeCell ref="O719:S719"/>
    <mergeCell ref="G720:J720"/>
    <mergeCell ref="K718:N718"/>
    <mergeCell ref="K719:N719"/>
    <mergeCell ref="B723:F723"/>
    <mergeCell ref="X719:AB719"/>
    <mergeCell ref="N371:Q371"/>
    <mergeCell ref="B635:AN635"/>
    <mergeCell ref="B636:AN636"/>
    <mergeCell ref="B637:AN637"/>
    <mergeCell ref="AC626:AE626"/>
    <mergeCell ref="AC627:AE627"/>
    <mergeCell ref="AC628:AE628"/>
    <mergeCell ref="Z642:AK642"/>
    <mergeCell ref="AG814:AJ814"/>
    <mergeCell ref="J773:N773"/>
    <mergeCell ref="Z802:AE802"/>
    <mergeCell ref="Q809:T809"/>
    <mergeCell ref="U809:X809"/>
    <mergeCell ref="M807:P808"/>
    <mergeCell ref="O776:S776"/>
    <mergeCell ref="Z801:AE801"/>
    <mergeCell ref="X780:AB780"/>
    <mergeCell ref="Q813:T813"/>
    <mergeCell ref="Y811:AB811"/>
    <mergeCell ref="M809:P809"/>
    <mergeCell ref="C809:H809"/>
    <mergeCell ref="AG812:AJ812"/>
    <mergeCell ref="T715:W715"/>
    <mergeCell ref="AH720:AJ720"/>
    <mergeCell ref="T716:W716"/>
    <mergeCell ref="K716:N716"/>
    <mergeCell ref="AH722:AJ722"/>
    <mergeCell ref="G715:J715"/>
    <mergeCell ref="AC723:AG723"/>
    <mergeCell ref="AC724:AG724"/>
    <mergeCell ref="X717:AB717"/>
    <mergeCell ref="X723:AB723"/>
    <mergeCell ref="AC346:AE346"/>
    <mergeCell ref="Q390:U390"/>
    <mergeCell ref="AD376:AE376"/>
    <mergeCell ref="AA602:AK602"/>
    <mergeCell ref="AC370:AF370"/>
    <mergeCell ref="G597:R597"/>
    <mergeCell ref="Q389:U389"/>
    <mergeCell ref="E367:AH368"/>
    <mergeCell ref="G642:R642"/>
    <mergeCell ref="A613:AS614"/>
    <mergeCell ref="AF620:AJ622"/>
    <mergeCell ref="AF623:AJ623"/>
    <mergeCell ref="Q364:AG364"/>
    <mergeCell ref="P417:R417"/>
    <mergeCell ref="S391:U391"/>
    <mergeCell ref="M356:N356"/>
    <mergeCell ref="J384:U384"/>
    <mergeCell ref="V380:W380"/>
    <mergeCell ref="W629:Y629"/>
    <mergeCell ref="W630:Y630"/>
    <mergeCell ref="AK625:AN625"/>
    <mergeCell ref="AO634:AS634"/>
    <mergeCell ref="AO629:AS629"/>
    <mergeCell ref="AO624:AS624"/>
    <mergeCell ref="AO627:AS627"/>
    <mergeCell ref="C560:L560"/>
    <mergeCell ref="M560:P560"/>
    <mergeCell ref="C561:L561"/>
    <mergeCell ref="AC738:AG738"/>
    <mergeCell ref="P800:Y800"/>
    <mergeCell ref="O773:S773"/>
    <mergeCell ref="O780:S780"/>
    <mergeCell ref="AC776:AG776"/>
    <mergeCell ref="AC777:AG777"/>
    <mergeCell ref="O772:S772"/>
    <mergeCell ref="AH768:AL771"/>
    <mergeCell ref="AH772:AL772"/>
    <mergeCell ref="AH773:AL773"/>
    <mergeCell ref="AH774:AL774"/>
    <mergeCell ref="AH775:AL775"/>
    <mergeCell ref="AH776:AL776"/>
    <mergeCell ref="Q810:T810"/>
    <mergeCell ref="Y807:AB808"/>
    <mergeCell ref="M813:P813"/>
    <mergeCell ref="Z799:AE799"/>
    <mergeCell ref="Z792:AE792"/>
    <mergeCell ref="X779:AB779"/>
    <mergeCell ref="T781:W781"/>
    <mergeCell ref="X759:AB759"/>
    <mergeCell ref="Y813:AB813"/>
    <mergeCell ref="O759:S759"/>
    <mergeCell ref="O779:S779"/>
    <mergeCell ref="O781:S781"/>
    <mergeCell ref="X762:AB762"/>
    <mergeCell ref="X754:AB757"/>
    <mergeCell ref="T754:W757"/>
    <mergeCell ref="AC778:AG778"/>
    <mergeCell ref="X760:AB760"/>
    <mergeCell ref="X761:AB761"/>
    <mergeCell ref="J781:N781"/>
    <mergeCell ref="BD893:BF893"/>
    <mergeCell ref="BD887:BE887"/>
    <mergeCell ref="BD889:BE889"/>
    <mergeCell ref="BD890:BE890"/>
    <mergeCell ref="BD892:BE892"/>
    <mergeCell ref="BD888:BE888"/>
    <mergeCell ref="U814:X814"/>
    <mergeCell ref="U816:X816"/>
    <mergeCell ref="M859:V859"/>
    <mergeCell ref="W861:AC861"/>
    <mergeCell ref="W837:AC837"/>
    <mergeCell ref="AC870:AH870"/>
    <mergeCell ref="W858:AC858"/>
    <mergeCell ref="W854:AC854"/>
    <mergeCell ref="Q816:T816"/>
    <mergeCell ref="U815:X815"/>
    <mergeCell ref="Q815:T815"/>
    <mergeCell ref="AC815:AF815"/>
    <mergeCell ref="J762:N762"/>
    <mergeCell ref="T778:W778"/>
    <mergeCell ref="M816:P816"/>
    <mergeCell ref="U813:X813"/>
    <mergeCell ref="W850:AC850"/>
    <mergeCell ref="C878:AB878"/>
    <mergeCell ref="AH777:AL777"/>
    <mergeCell ref="U811:X811"/>
    <mergeCell ref="Y810:AB810"/>
    <mergeCell ref="AC810:AF810"/>
    <mergeCell ref="AC811:AF811"/>
    <mergeCell ref="AC762:AG762"/>
    <mergeCell ref="Q807:T808"/>
    <mergeCell ref="AG807:AJ808"/>
    <mergeCell ref="AG816:AJ816"/>
    <mergeCell ref="W828:AC828"/>
    <mergeCell ref="AC816:AF816"/>
    <mergeCell ref="W830:AC830"/>
    <mergeCell ref="W835:AC835"/>
    <mergeCell ref="W826:AC826"/>
    <mergeCell ref="W831:AC831"/>
    <mergeCell ref="W841:AC841"/>
    <mergeCell ref="W862:AC862"/>
    <mergeCell ref="C814:H814"/>
    <mergeCell ref="AC813:AF813"/>
    <mergeCell ref="Q814:T814"/>
    <mergeCell ref="Z791:AE791"/>
    <mergeCell ref="AG815:AJ815"/>
    <mergeCell ref="AC876:AH876"/>
    <mergeCell ref="M941:S941"/>
    <mergeCell ref="BD894:BF894"/>
    <mergeCell ref="M860:V860"/>
    <mergeCell ref="W852:AC852"/>
    <mergeCell ref="AC869:AH869"/>
    <mergeCell ref="W843:AC843"/>
    <mergeCell ref="AC871:AH871"/>
    <mergeCell ref="AC874:AH874"/>
    <mergeCell ref="Y816:AB816"/>
    <mergeCell ref="M855:V855"/>
    <mergeCell ref="AC872:AH872"/>
    <mergeCell ref="M862:V862"/>
    <mergeCell ref="AC867:AH867"/>
    <mergeCell ref="Z885:AE885"/>
    <mergeCell ref="W847:AC847"/>
    <mergeCell ref="AC875:AH875"/>
    <mergeCell ref="C877:AB877"/>
    <mergeCell ref="BD891:BE891"/>
    <mergeCell ref="W833:AC833"/>
    <mergeCell ref="M861:V861"/>
    <mergeCell ref="W853:AC853"/>
    <mergeCell ref="AZ840:BA840"/>
    <mergeCell ref="W860:AC860"/>
    <mergeCell ref="M845:V845"/>
    <mergeCell ref="W829:AC829"/>
    <mergeCell ref="W838:AC838"/>
    <mergeCell ref="W846:AC846"/>
    <mergeCell ref="M830:V830"/>
    <mergeCell ref="W827:AC827"/>
    <mergeCell ref="J833:V833"/>
    <mergeCell ref="AC877:AH877"/>
    <mergeCell ref="W839:AC839"/>
    <mergeCell ref="AA942:AG942"/>
    <mergeCell ref="BG951:BL951"/>
    <mergeCell ref="AA920:AF920"/>
    <mergeCell ref="AE926:AK926"/>
    <mergeCell ref="AA917:AF917"/>
    <mergeCell ref="BD895:BE895"/>
    <mergeCell ref="BD896:BE896"/>
    <mergeCell ref="U917:Z917"/>
    <mergeCell ref="U902:Z902"/>
    <mergeCell ref="U916:Z916"/>
    <mergeCell ref="AA911:AF911"/>
    <mergeCell ref="U904:Z904"/>
    <mergeCell ref="AA904:AF904"/>
    <mergeCell ref="BD898:BE898"/>
    <mergeCell ref="AB927:AK927"/>
    <mergeCell ref="U919:Z919"/>
    <mergeCell ref="AA909:AF909"/>
    <mergeCell ref="U906:Z906"/>
    <mergeCell ref="AA939:AG939"/>
    <mergeCell ref="T942:Z942"/>
    <mergeCell ref="AA914:AF914"/>
    <mergeCell ref="AA938:AG938"/>
    <mergeCell ref="AE925:AK925"/>
    <mergeCell ref="I920:T920"/>
    <mergeCell ref="AA915:AF915"/>
    <mergeCell ref="F899:T900"/>
    <mergeCell ref="U903:Z903"/>
    <mergeCell ref="M938:S938"/>
    <mergeCell ref="AA903:AF903"/>
    <mergeCell ref="J927:S927"/>
    <mergeCell ref="AA919:AF919"/>
    <mergeCell ref="U914:Z914"/>
    <mergeCell ref="D1030:AK1035"/>
    <mergeCell ref="AA937:AG937"/>
    <mergeCell ref="AA943:AG943"/>
    <mergeCell ref="AE932:AK932"/>
    <mergeCell ref="AA908:AF908"/>
    <mergeCell ref="AE928:AK928"/>
    <mergeCell ref="T780:W780"/>
    <mergeCell ref="C816:L816"/>
    <mergeCell ref="AE929:AK929"/>
    <mergeCell ref="W944:AG944"/>
    <mergeCell ref="M943:S943"/>
    <mergeCell ref="M942:S942"/>
    <mergeCell ref="M931:S931"/>
    <mergeCell ref="B734:F734"/>
    <mergeCell ref="AC734:AG734"/>
    <mergeCell ref="C821:AJ821"/>
    <mergeCell ref="E869:AB869"/>
    <mergeCell ref="AH781:AL781"/>
    <mergeCell ref="B735:F735"/>
    <mergeCell ref="U918:Z918"/>
    <mergeCell ref="U912:Z912"/>
    <mergeCell ref="AA912:AF912"/>
    <mergeCell ref="AA901:AF901"/>
    <mergeCell ref="Z882:AE882"/>
    <mergeCell ref="W856:AC856"/>
    <mergeCell ref="AC868:AH868"/>
    <mergeCell ref="W859:AC859"/>
    <mergeCell ref="T842:V842"/>
    <mergeCell ref="T844:V844"/>
    <mergeCell ref="W851:AC851"/>
    <mergeCell ref="W836:AC836"/>
    <mergeCell ref="AA941:AG941"/>
    <mergeCell ref="A1052:B1052"/>
    <mergeCell ref="A1026:AL1026"/>
    <mergeCell ref="A1049:B1049"/>
    <mergeCell ref="A1042:B1042"/>
    <mergeCell ref="A1036:B1036"/>
    <mergeCell ref="A1030:B1030"/>
    <mergeCell ref="I919:T919"/>
    <mergeCell ref="M925:S925"/>
    <mergeCell ref="AA913:AF913"/>
    <mergeCell ref="AA940:AG940"/>
    <mergeCell ref="O944:P944"/>
    <mergeCell ref="F945:L945"/>
    <mergeCell ref="T729:W729"/>
    <mergeCell ref="U910:Z910"/>
    <mergeCell ref="U911:Z911"/>
    <mergeCell ref="P916:T916"/>
    <mergeCell ref="AC873:AH873"/>
    <mergeCell ref="O730:S730"/>
    <mergeCell ref="Y814:AB814"/>
    <mergeCell ref="U905:Z905"/>
    <mergeCell ref="AA907:AF907"/>
    <mergeCell ref="M939:S939"/>
    <mergeCell ref="K735:N735"/>
    <mergeCell ref="AC730:AG730"/>
    <mergeCell ref="AC731:AG731"/>
    <mergeCell ref="O768:S771"/>
    <mergeCell ref="O742:R742"/>
    <mergeCell ref="AG742:AJ742"/>
    <mergeCell ref="Y785:AC785"/>
    <mergeCell ref="J768:N771"/>
    <mergeCell ref="AH730:AJ730"/>
    <mergeCell ref="R958:AA958"/>
    <mergeCell ref="X718:AB718"/>
    <mergeCell ref="G719:J719"/>
    <mergeCell ref="O721:S721"/>
    <mergeCell ref="O722:S722"/>
    <mergeCell ref="K723:N723"/>
    <mergeCell ref="CB785:CH785"/>
    <mergeCell ref="BN785:BO785"/>
    <mergeCell ref="AH710:AJ713"/>
    <mergeCell ref="J758:N758"/>
    <mergeCell ref="O758:S758"/>
    <mergeCell ref="T738:W738"/>
    <mergeCell ref="J761:N761"/>
    <mergeCell ref="O761:S761"/>
    <mergeCell ref="O754:S757"/>
    <mergeCell ref="T736:W736"/>
    <mergeCell ref="G737:J737"/>
    <mergeCell ref="G724:J724"/>
    <mergeCell ref="G728:J728"/>
    <mergeCell ref="Y784:AC784"/>
    <mergeCell ref="T737:W737"/>
    <mergeCell ref="AH738:AJ738"/>
    <mergeCell ref="AH737:AJ737"/>
    <mergeCell ref="AH739:AJ739"/>
    <mergeCell ref="AC761:AG761"/>
    <mergeCell ref="J754:N757"/>
    <mergeCell ref="T735:W735"/>
    <mergeCell ref="G738:J738"/>
    <mergeCell ref="AC726:AG726"/>
    <mergeCell ref="K722:N722"/>
    <mergeCell ref="T774:W774"/>
    <mergeCell ref="T775:W775"/>
    <mergeCell ref="O782:S782"/>
    <mergeCell ref="AA660:AK660"/>
    <mergeCell ref="H660:R660"/>
    <mergeCell ref="G650:R650"/>
    <mergeCell ref="AI651:AK651"/>
    <mergeCell ref="G658:R658"/>
    <mergeCell ref="AI609:AK609"/>
    <mergeCell ref="AE695:AI695"/>
    <mergeCell ref="BE603:BF603"/>
    <mergeCell ref="BE605:BF605"/>
    <mergeCell ref="BX649:CB649"/>
    <mergeCell ref="BS627:BW627"/>
    <mergeCell ref="BS643:BW643"/>
    <mergeCell ref="BS635:BW635"/>
    <mergeCell ref="Z606:AK606"/>
    <mergeCell ref="Z655:AK655"/>
    <mergeCell ref="N653:O653"/>
    <mergeCell ref="Z656:AK656"/>
    <mergeCell ref="G659:L659"/>
    <mergeCell ref="Z673:AK673"/>
    <mergeCell ref="G679:R679"/>
    <mergeCell ref="AI667:AK667"/>
    <mergeCell ref="AE691:AI691"/>
    <mergeCell ref="N677:O677"/>
    <mergeCell ref="Z649:AK649"/>
    <mergeCell ref="Z643:AE643"/>
    <mergeCell ref="Z648:AK648"/>
    <mergeCell ref="P643:R643"/>
    <mergeCell ref="AI643:AK643"/>
    <mergeCell ref="AO620:AS622"/>
    <mergeCell ref="AF625:AJ625"/>
    <mergeCell ref="BX609:CB609"/>
    <mergeCell ref="W631:Y631"/>
    <mergeCell ref="BS628:BW628"/>
    <mergeCell ref="BN635:BR635"/>
    <mergeCell ref="BE616:BF616"/>
    <mergeCell ref="AA610:AK610"/>
    <mergeCell ref="G639:R639"/>
    <mergeCell ref="Z658:AK658"/>
    <mergeCell ref="BI611:BJ611"/>
    <mergeCell ref="BK611:BL611"/>
    <mergeCell ref="BG611:BH611"/>
    <mergeCell ref="BN611:BR611"/>
    <mergeCell ref="AA644:AK644"/>
    <mergeCell ref="N645:O645"/>
    <mergeCell ref="G640:R640"/>
    <mergeCell ref="Z641:AK641"/>
    <mergeCell ref="BI613:BJ613"/>
    <mergeCell ref="AC625:AE625"/>
    <mergeCell ref="AG611:AH611"/>
    <mergeCell ref="BS619:BW619"/>
    <mergeCell ref="BN628:BR628"/>
    <mergeCell ref="BN629:BR629"/>
    <mergeCell ref="BN630:BR630"/>
    <mergeCell ref="H652:R652"/>
    <mergeCell ref="W632:Y632"/>
    <mergeCell ref="W633:Y633"/>
    <mergeCell ref="W634:Y634"/>
    <mergeCell ref="BE612:BF612"/>
    <mergeCell ref="BN617:BR617"/>
    <mergeCell ref="BK616:BL616"/>
    <mergeCell ref="BG620:BH620"/>
    <mergeCell ref="BI620:BJ620"/>
    <mergeCell ref="AO636:AS636"/>
    <mergeCell ref="BN634:BR634"/>
    <mergeCell ref="CH617:CL617"/>
    <mergeCell ref="BI618:BJ618"/>
    <mergeCell ref="CC620:CG620"/>
    <mergeCell ref="CC611:CG611"/>
    <mergeCell ref="BS613:BW613"/>
    <mergeCell ref="BX619:CB619"/>
    <mergeCell ref="BG619:BH619"/>
    <mergeCell ref="BN613:BR613"/>
    <mergeCell ref="CH614:CL614"/>
    <mergeCell ref="CC614:CG614"/>
    <mergeCell ref="BK618:BL618"/>
    <mergeCell ref="BK613:BL613"/>
    <mergeCell ref="BI612:BJ612"/>
    <mergeCell ref="BK612:BL612"/>
    <mergeCell ref="CH615:CL615"/>
    <mergeCell ref="CH613:CL613"/>
    <mergeCell ref="BN619:BR619"/>
    <mergeCell ref="CM610:CQ610"/>
    <mergeCell ref="BG616:BH616"/>
    <mergeCell ref="BS614:BW614"/>
    <mergeCell ref="CC610:CG610"/>
    <mergeCell ref="BS611:BW611"/>
    <mergeCell ref="BN615:BR615"/>
    <mergeCell ref="BE617:BF617"/>
    <mergeCell ref="BE618:BF618"/>
    <mergeCell ref="BI615:BJ615"/>
    <mergeCell ref="BE610:BF610"/>
    <mergeCell ref="BN612:BR612"/>
    <mergeCell ref="CC627:CG627"/>
    <mergeCell ref="BN610:BR610"/>
    <mergeCell ref="BG607:BH607"/>
    <mergeCell ref="BK604:BL604"/>
    <mergeCell ref="CH616:CL616"/>
    <mergeCell ref="BN627:BR627"/>
    <mergeCell ref="CH610:CL610"/>
    <mergeCell ref="BS610:BW610"/>
    <mergeCell ref="BG608:BH608"/>
    <mergeCell ref="BE619:BF619"/>
    <mergeCell ref="BS616:BW616"/>
    <mergeCell ref="CM611:CQ611"/>
    <mergeCell ref="CM612:CQ612"/>
    <mergeCell ref="CM613:CQ613"/>
    <mergeCell ref="CM614:CQ614"/>
    <mergeCell ref="CM615:CQ615"/>
    <mergeCell ref="CM616:CQ616"/>
    <mergeCell ref="CM617:CQ617"/>
    <mergeCell ref="BE614:BF614"/>
    <mergeCell ref="BG618:BH618"/>
    <mergeCell ref="BX615:CB615"/>
    <mergeCell ref="BN649:BR649"/>
    <mergeCell ref="AI388:AJ388"/>
    <mergeCell ref="AH517:AK517"/>
    <mergeCell ref="H413:AE414"/>
    <mergeCell ref="Q393:U393"/>
    <mergeCell ref="AH516:AK516"/>
    <mergeCell ref="AH512:AK512"/>
    <mergeCell ref="W464:Y464"/>
    <mergeCell ref="BX599:CB599"/>
    <mergeCell ref="AG389:AJ389"/>
    <mergeCell ref="C625:L625"/>
    <mergeCell ref="C626:L626"/>
    <mergeCell ref="C627:L627"/>
    <mergeCell ref="C628:L628"/>
    <mergeCell ref="Z624:AB624"/>
    <mergeCell ref="Z625:AB625"/>
    <mergeCell ref="Z626:AB626"/>
    <mergeCell ref="Z627:AB627"/>
    <mergeCell ref="Z628:AB628"/>
    <mergeCell ref="Z629:AB629"/>
    <mergeCell ref="BG601:BH601"/>
    <mergeCell ref="BG614:BH614"/>
    <mergeCell ref="BI614:BJ614"/>
    <mergeCell ref="BN595:BR595"/>
    <mergeCell ref="G649:R649"/>
    <mergeCell ref="Z640:AK640"/>
    <mergeCell ref="H644:R644"/>
    <mergeCell ref="BI609:BJ609"/>
    <mergeCell ref="BI608:BJ608"/>
    <mergeCell ref="BS636:BW636"/>
    <mergeCell ref="BK610:BL610"/>
    <mergeCell ref="BN599:BR599"/>
    <mergeCell ref="AP204:AQ204"/>
    <mergeCell ref="I420:K420"/>
    <mergeCell ref="AA321:AK321"/>
    <mergeCell ref="H335:R335"/>
    <mergeCell ref="H327:R327"/>
    <mergeCell ref="T560:V560"/>
    <mergeCell ref="AO635:AS635"/>
    <mergeCell ref="AO625:AS625"/>
    <mergeCell ref="AF626:AJ626"/>
    <mergeCell ref="AF627:AJ627"/>
    <mergeCell ref="AF628:AJ628"/>
    <mergeCell ref="Z598:AK598"/>
    <mergeCell ref="Z609:AE609"/>
    <mergeCell ref="G606:R606"/>
    <mergeCell ref="H610:R610"/>
    <mergeCell ref="G589:R589"/>
    <mergeCell ref="G575:R575"/>
    <mergeCell ref="Z567:AK567"/>
    <mergeCell ref="P585:R585"/>
    <mergeCell ref="AF624:AJ624"/>
    <mergeCell ref="Z608:AK608"/>
    <mergeCell ref="G609:L609"/>
    <mergeCell ref="Z592:AK592"/>
    <mergeCell ref="AF570:AK570"/>
    <mergeCell ref="Z581:AK581"/>
    <mergeCell ref="N579:O579"/>
    <mergeCell ref="AA318:AK318"/>
    <mergeCell ref="AJ355:AK355"/>
    <mergeCell ref="H336:R336"/>
    <mergeCell ref="AA322:AF322"/>
    <mergeCell ref="J385:U385"/>
    <mergeCell ref="AC623:AE623"/>
    <mergeCell ref="CS596:CW596"/>
    <mergeCell ref="H319:R319"/>
    <mergeCell ref="P345:AE345"/>
    <mergeCell ref="P343:AE343"/>
    <mergeCell ref="AI330:AK330"/>
    <mergeCell ref="P338:R338"/>
    <mergeCell ref="N362:O362"/>
    <mergeCell ref="CX596:DB596"/>
    <mergeCell ref="DC596:DG596"/>
    <mergeCell ref="DH596:DL596"/>
    <mergeCell ref="H318:R318"/>
    <mergeCell ref="H295:R295"/>
    <mergeCell ref="H322:M322"/>
    <mergeCell ref="AA329:AK329"/>
    <mergeCell ref="H323:M323"/>
    <mergeCell ref="W468:Y468"/>
    <mergeCell ref="J366:K366"/>
    <mergeCell ref="AG378:AH378"/>
    <mergeCell ref="H334:R334"/>
    <mergeCell ref="M357:N357"/>
    <mergeCell ref="CX595:DB595"/>
    <mergeCell ref="D437:AF437"/>
    <mergeCell ref="M354:N354"/>
    <mergeCell ref="D438:AF438"/>
    <mergeCell ref="H330:M330"/>
    <mergeCell ref="W561:Y561"/>
    <mergeCell ref="H340:R340"/>
    <mergeCell ref="CC595:CG595"/>
    <mergeCell ref="P344:AE344"/>
    <mergeCell ref="AA340:AK340"/>
    <mergeCell ref="C555:L555"/>
    <mergeCell ref="M555:P555"/>
    <mergeCell ref="DM595:DQ595"/>
    <mergeCell ref="CH599:CL599"/>
    <mergeCell ref="BI601:BJ601"/>
    <mergeCell ref="BI597:BJ597"/>
    <mergeCell ref="BK598:BL598"/>
    <mergeCell ref="BN598:BR598"/>
    <mergeCell ref="CM604:CQ604"/>
    <mergeCell ref="CC607:CG607"/>
    <mergeCell ref="CH605:CL605"/>
    <mergeCell ref="CH604:CL604"/>
    <mergeCell ref="CH608:CL608"/>
    <mergeCell ref="BX598:CB598"/>
    <mergeCell ref="CM595:CQ595"/>
    <mergeCell ref="CM596:CQ596"/>
    <mergeCell ref="CM597:CQ597"/>
    <mergeCell ref="CM598:CQ598"/>
    <mergeCell ref="DC602:DG602"/>
    <mergeCell ref="DH602:DL602"/>
    <mergeCell ref="DM601:DQ601"/>
    <mergeCell ref="CX608:DB608"/>
    <mergeCell ref="DC608:DG608"/>
    <mergeCell ref="DH608:DL608"/>
    <mergeCell ref="DH595:DL595"/>
    <mergeCell ref="CC598:CG598"/>
    <mergeCell ref="CC602:CG602"/>
    <mergeCell ref="DM598:DQ598"/>
    <mergeCell ref="DM600:DQ600"/>
    <mergeCell ref="CH603:CL603"/>
    <mergeCell ref="BK601:BL601"/>
    <mergeCell ref="DM596:DQ596"/>
    <mergeCell ref="DM599:DQ599"/>
    <mergeCell ref="CS598:CW598"/>
    <mergeCell ref="CX598:DB598"/>
    <mergeCell ref="DH597:DL597"/>
    <mergeCell ref="DC600:DG600"/>
    <mergeCell ref="DH600:DL600"/>
    <mergeCell ref="CS599:CW599"/>
    <mergeCell ref="DC599:DG599"/>
    <mergeCell ref="DH599:DL599"/>
    <mergeCell ref="CX599:DB599"/>
    <mergeCell ref="CX600:DB600"/>
    <mergeCell ref="CH606:CL606"/>
    <mergeCell ref="CH609:CL609"/>
    <mergeCell ref="CH607:CL607"/>
    <mergeCell ref="CS606:CW606"/>
    <mergeCell ref="CS600:CW600"/>
    <mergeCell ref="CM603:CQ603"/>
    <mergeCell ref="CM599:CQ599"/>
    <mergeCell ref="CM607:CQ607"/>
    <mergeCell ref="CM608:CQ608"/>
    <mergeCell ref="CM609:CQ609"/>
    <mergeCell ref="CS608:CW608"/>
    <mergeCell ref="CH601:CL601"/>
    <mergeCell ref="CH602:CL602"/>
    <mergeCell ref="CS607:CW607"/>
    <mergeCell ref="CM605:CQ605"/>
    <mergeCell ref="CM606:CQ606"/>
    <mergeCell ref="CM600:CQ600"/>
    <mergeCell ref="CM601:CQ601"/>
    <mergeCell ref="CM602:CQ602"/>
    <mergeCell ref="DR607:DV607"/>
    <mergeCell ref="DM597:DQ597"/>
    <mergeCell ref="DR597:DV597"/>
    <mergeCell ref="CS595:CW595"/>
    <mergeCell ref="CS597:CW597"/>
    <mergeCell ref="BS600:BW600"/>
    <mergeCell ref="BX600:CB600"/>
    <mergeCell ref="CX606:DB606"/>
    <mergeCell ref="DC606:DG606"/>
    <mergeCell ref="DH606:DL606"/>
    <mergeCell ref="DM605:DQ605"/>
    <mergeCell ref="DR605:DV605"/>
    <mergeCell ref="DM606:DQ606"/>
    <mergeCell ref="DR606:DV606"/>
    <mergeCell ref="CS605:CW605"/>
    <mergeCell ref="CX605:DB605"/>
    <mergeCell ref="DC605:DG605"/>
    <mergeCell ref="DC601:DG601"/>
    <mergeCell ref="DH601:DL601"/>
    <mergeCell ref="DM603:DQ603"/>
    <mergeCell ref="DR603:DV603"/>
    <mergeCell ref="CS602:CW602"/>
    <mergeCell ref="CX602:DB602"/>
    <mergeCell ref="DR601:DV601"/>
    <mergeCell ref="DC603:DG603"/>
    <mergeCell ref="DH603:DL603"/>
    <mergeCell ref="DR596:DV596"/>
    <mergeCell ref="CS603:CW603"/>
    <mergeCell ref="CX603:DB603"/>
    <mergeCell ref="CS601:CW601"/>
    <mergeCell ref="CX601:DB601"/>
    <mergeCell ref="DC597:DG597"/>
    <mergeCell ref="DH614:DL614"/>
    <mergeCell ref="DR613:DV613"/>
    <mergeCell ref="DM614:DQ614"/>
    <mergeCell ref="DR614:DV614"/>
    <mergeCell ref="DM618:DQ618"/>
    <mergeCell ref="DC613:DG613"/>
    <mergeCell ref="DH612:DL612"/>
    <mergeCell ref="DC611:DG611"/>
    <mergeCell ref="DC604:DG604"/>
    <mergeCell ref="DH604:DL604"/>
    <mergeCell ref="DC595:DG595"/>
    <mergeCell ref="CX597:DB597"/>
    <mergeCell ref="DM608:DQ608"/>
    <mergeCell ref="DR608:DV608"/>
    <mergeCell ref="DM602:DQ602"/>
    <mergeCell ref="DR602:DV602"/>
    <mergeCell ref="DM604:DQ604"/>
    <mergeCell ref="DR604:DV604"/>
    <mergeCell ref="DR600:DV600"/>
    <mergeCell ref="DR598:DV598"/>
    <mergeCell ref="DR599:DV599"/>
    <mergeCell ref="DC598:DG598"/>
    <mergeCell ref="DH598:DL598"/>
    <mergeCell ref="DH611:DL611"/>
    <mergeCell ref="CX607:DB607"/>
    <mergeCell ref="DR595:DV595"/>
    <mergeCell ref="DC607:DG607"/>
    <mergeCell ref="DM609:DQ609"/>
    <mergeCell ref="DR609:DV609"/>
    <mergeCell ref="DH605:DL605"/>
    <mergeCell ref="DM607:DQ607"/>
    <mergeCell ref="DM610:DQ610"/>
    <mergeCell ref="BG837:BL837"/>
    <mergeCell ref="AH727:AJ727"/>
    <mergeCell ref="AC781:AG781"/>
    <mergeCell ref="AC773:AG773"/>
    <mergeCell ref="AC624:AE624"/>
    <mergeCell ref="DR610:DV610"/>
    <mergeCell ref="CS618:CW618"/>
    <mergeCell ref="CX618:DB618"/>
    <mergeCell ref="DC618:DG618"/>
    <mergeCell ref="DH618:DL618"/>
    <mergeCell ref="DH607:DL607"/>
    <mergeCell ref="CS609:CW609"/>
    <mergeCell ref="CX609:DB609"/>
    <mergeCell ref="DC609:DG609"/>
    <mergeCell ref="DH609:DL609"/>
    <mergeCell ref="DR611:DV611"/>
    <mergeCell ref="CS610:CW610"/>
    <mergeCell ref="CX610:DB610"/>
    <mergeCell ref="DC610:DG610"/>
    <mergeCell ref="DH610:DL610"/>
    <mergeCell ref="DM611:DQ611"/>
    <mergeCell ref="DC615:DG615"/>
    <mergeCell ref="DH615:DL615"/>
    <mergeCell ref="CS614:CW614"/>
    <mergeCell ref="DM612:DQ612"/>
    <mergeCell ref="DR612:DV612"/>
    <mergeCell ref="CS611:CW611"/>
    <mergeCell ref="CX611:DB611"/>
    <mergeCell ref="CS612:CW612"/>
    <mergeCell ref="DC612:DG612"/>
    <mergeCell ref="CX614:DB614"/>
    <mergeCell ref="DC614:DG614"/>
    <mergeCell ref="DC619:DG619"/>
    <mergeCell ref="CS619:CW619"/>
    <mergeCell ref="CX619:DB619"/>
    <mergeCell ref="CS620:CW620"/>
    <mergeCell ref="CX620:DB620"/>
    <mergeCell ref="CM640:CQ640"/>
    <mergeCell ref="CH638:CL638"/>
    <mergeCell ref="CS634:CW634"/>
    <mergeCell ref="CX634:DB634"/>
    <mergeCell ref="DC634:DG634"/>
    <mergeCell ref="CS635:CW635"/>
    <mergeCell ref="CH628:CL628"/>
    <mergeCell ref="CH636:CL636"/>
    <mergeCell ref="CS639:CW639"/>
    <mergeCell ref="CX639:DB639"/>
    <mergeCell ref="CX635:DB635"/>
    <mergeCell ref="CH635:CL635"/>
    <mergeCell ref="CH621:CL621"/>
    <mergeCell ref="CH620:CL620"/>
    <mergeCell ref="DC640:DG640"/>
    <mergeCell ref="P651:R651"/>
    <mergeCell ref="G647:R647"/>
    <mergeCell ref="G648:R648"/>
    <mergeCell ref="G643:L643"/>
    <mergeCell ref="AO637:AS637"/>
    <mergeCell ref="D1064:AK1067"/>
    <mergeCell ref="D1068:AK1070"/>
    <mergeCell ref="X722:AB722"/>
    <mergeCell ref="AH719:AJ719"/>
    <mergeCell ref="A1060:B1060"/>
    <mergeCell ref="AE930:AK930"/>
    <mergeCell ref="AE931:AK931"/>
    <mergeCell ref="AA918:AF918"/>
    <mergeCell ref="T726:W726"/>
    <mergeCell ref="M937:S937"/>
    <mergeCell ref="O777:S777"/>
    <mergeCell ref="T722:W722"/>
    <mergeCell ref="A1064:B1064"/>
    <mergeCell ref="G729:J729"/>
    <mergeCell ref="A1057:B1057"/>
    <mergeCell ref="K728:N728"/>
    <mergeCell ref="AJ960:AQ960"/>
    <mergeCell ref="W849:AC849"/>
    <mergeCell ref="W863:AC863"/>
    <mergeCell ref="O723:S723"/>
    <mergeCell ref="O724:S724"/>
    <mergeCell ref="O725:S725"/>
    <mergeCell ref="B728:F728"/>
    <mergeCell ref="W845:AC845"/>
    <mergeCell ref="M858:V858"/>
    <mergeCell ref="R955:AA955"/>
    <mergeCell ref="M929:S929"/>
    <mergeCell ref="G657:R657"/>
    <mergeCell ref="G725:J725"/>
    <mergeCell ref="O720:S720"/>
    <mergeCell ref="N669:O669"/>
    <mergeCell ref="G683:L683"/>
    <mergeCell ref="K717:N717"/>
    <mergeCell ref="AC758:AG758"/>
    <mergeCell ref="O760:S760"/>
    <mergeCell ref="T721:W721"/>
    <mergeCell ref="AC721:AG721"/>
    <mergeCell ref="AC722:AG722"/>
    <mergeCell ref="AC717:AG717"/>
    <mergeCell ref="AC718:AG718"/>
    <mergeCell ref="K729:N729"/>
    <mergeCell ref="K720:N720"/>
    <mergeCell ref="AC814:AF814"/>
    <mergeCell ref="J759:N759"/>
    <mergeCell ref="G736:J736"/>
    <mergeCell ref="U812:X812"/>
    <mergeCell ref="Y812:AB812"/>
    <mergeCell ref="C810:H810"/>
    <mergeCell ref="B737:F737"/>
    <mergeCell ref="Z797:AE797"/>
    <mergeCell ref="Y809:AB809"/>
    <mergeCell ref="AC809:AF809"/>
    <mergeCell ref="B716:F716"/>
    <mergeCell ref="O714:S714"/>
    <mergeCell ref="AC736:AG736"/>
    <mergeCell ref="AC737:AG737"/>
    <mergeCell ref="AC733:AG733"/>
    <mergeCell ref="T728:W728"/>
    <mergeCell ref="T727:W727"/>
    <mergeCell ref="A1068:B1068"/>
    <mergeCell ref="G721:J721"/>
    <mergeCell ref="U810:X810"/>
    <mergeCell ref="C812:H812"/>
    <mergeCell ref="M812:P812"/>
    <mergeCell ref="C813:H813"/>
    <mergeCell ref="Q812:T812"/>
    <mergeCell ref="C811:H811"/>
    <mergeCell ref="F815:L815"/>
    <mergeCell ref="M811:P811"/>
    <mergeCell ref="J782:N782"/>
    <mergeCell ref="J780:N780"/>
    <mergeCell ref="J778:N778"/>
    <mergeCell ref="D1060:AK1063"/>
    <mergeCell ref="O778:S778"/>
    <mergeCell ref="B1025:AK1025"/>
    <mergeCell ref="G722:J722"/>
    <mergeCell ref="K721:N721"/>
    <mergeCell ref="D1036:AK1041"/>
    <mergeCell ref="D1042:AK1048"/>
    <mergeCell ref="D1049:AK1051"/>
    <mergeCell ref="AC774:AG774"/>
    <mergeCell ref="AC775:AG775"/>
    <mergeCell ref="J777:N777"/>
    <mergeCell ref="AC782:AG782"/>
    <mergeCell ref="AC772:AG772"/>
    <mergeCell ref="M814:P814"/>
    <mergeCell ref="J779:N779"/>
    <mergeCell ref="J774:N774"/>
    <mergeCell ref="Q811:T811"/>
    <mergeCell ref="A893:AL894"/>
    <mergeCell ref="R957:AA957"/>
    <mergeCell ref="AI683:AK683"/>
    <mergeCell ref="AA676:AK676"/>
    <mergeCell ref="G667:L667"/>
    <mergeCell ref="G665:R665"/>
    <mergeCell ref="AE694:AI694"/>
    <mergeCell ref="BI830:BL830"/>
    <mergeCell ref="AC807:AF808"/>
    <mergeCell ref="Z800:AE800"/>
    <mergeCell ref="G664:R664"/>
    <mergeCell ref="P667:R667"/>
    <mergeCell ref="P683:R683"/>
    <mergeCell ref="Z639:AK639"/>
    <mergeCell ref="J701:O701"/>
    <mergeCell ref="J700:X700"/>
    <mergeCell ref="G717:J717"/>
    <mergeCell ref="G718:J718"/>
    <mergeCell ref="O710:S713"/>
    <mergeCell ref="W696:AK696"/>
    <mergeCell ref="AG677:AH677"/>
    <mergeCell ref="AE692:AI692"/>
    <mergeCell ref="G663:R663"/>
    <mergeCell ref="AH716:AJ716"/>
    <mergeCell ref="Z650:AK650"/>
    <mergeCell ref="G641:R641"/>
    <mergeCell ref="G675:L675"/>
    <mergeCell ref="Z647:AK647"/>
    <mergeCell ref="Z667:AE667"/>
    <mergeCell ref="Z664:AK664"/>
    <mergeCell ref="P659:R659"/>
    <mergeCell ref="G655:R655"/>
    <mergeCell ref="AI675:AK675"/>
    <mergeCell ref="AG653:AH653"/>
    <mergeCell ref="AH717:AJ717"/>
    <mergeCell ref="T714:W714"/>
    <mergeCell ref="AH725:AJ725"/>
    <mergeCell ref="T723:W723"/>
    <mergeCell ref="AH723:AJ723"/>
    <mergeCell ref="G723:J723"/>
    <mergeCell ref="A705:AO707"/>
    <mergeCell ref="AC710:AG713"/>
    <mergeCell ref="AC716:AG716"/>
    <mergeCell ref="O717:S717"/>
    <mergeCell ref="X715:AB715"/>
    <mergeCell ref="AK710:AO713"/>
    <mergeCell ref="AK714:AO714"/>
    <mergeCell ref="AK715:AO715"/>
    <mergeCell ref="AK716:AO716"/>
    <mergeCell ref="AK717:AO717"/>
    <mergeCell ref="K714:N714"/>
    <mergeCell ref="K715:N715"/>
    <mergeCell ref="G714:J714"/>
    <mergeCell ref="AH715:AJ715"/>
    <mergeCell ref="AC725:AG725"/>
    <mergeCell ref="B722:F722"/>
    <mergeCell ref="T724:W724"/>
    <mergeCell ref="O716:S716"/>
    <mergeCell ref="G710:J713"/>
    <mergeCell ref="K710:N713"/>
    <mergeCell ref="T720:W720"/>
    <mergeCell ref="B714:F714"/>
    <mergeCell ref="AH721:AJ721"/>
    <mergeCell ref="G716:J716"/>
    <mergeCell ref="B717:F717"/>
    <mergeCell ref="O718:S718"/>
    <mergeCell ref="D1052:AK1056"/>
    <mergeCell ref="D1057:AK1059"/>
    <mergeCell ref="G682:R682"/>
    <mergeCell ref="N685:O685"/>
    <mergeCell ref="G730:J730"/>
    <mergeCell ref="AJ958:AQ958"/>
    <mergeCell ref="O733:S733"/>
    <mergeCell ref="O734:S734"/>
    <mergeCell ref="AA668:AK668"/>
    <mergeCell ref="Z680:AK680"/>
    <mergeCell ref="Z683:AE683"/>
    <mergeCell ref="G680:R680"/>
    <mergeCell ref="AH714:AJ714"/>
    <mergeCell ref="T717:W717"/>
    <mergeCell ref="AC714:AG714"/>
    <mergeCell ref="M930:S930"/>
    <mergeCell ref="Z884:AE884"/>
    <mergeCell ref="X737:AB737"/>
    <mergeCell ref="X738:AB738"/>
    <mergeCell ref="AG810:AJ810"/>
    <mergeCell ref="AG809:AJ809"/>
    <mergeCell ref="AC779:AG779"/>
    <mergeCell ref="AC780:AG780"/>
    <mergeCell ref="X736:AB736"/>
    <mergeCell ref="J775:N775"/>
    <mergeCell ref="O775:S775"/>
    <mergeCell ref="AH778:AL778"/>
    <mergeCell ref="AH779:AL779"/>
    <mergeCell ref="AH780:AL780"/>
    <mergeCell ref="M926:S926"/>
    <mergeCell ref="AH726:AJ726"/>
    <mergeCell ref="AC719:AG719"/>
    <mergeCell ref="A8:AL8"/>
    <mergeCell ref="S487:AK488"/>
    <mergeCell ref="I409:AE409"/>
    <mergeCell ref="AF178:AG178"/>
    <mergeCell ref="M27:Q27"/>
    <mergeCell ref="Z601:AE601"/>
    <mergeCell ref="Z605:AK605"/>
    <mergeCell ref="G605:R605"/>
    <mergeCell ref="AF632:AJ632"/>
    <mergeCell ref="AF633:AJ633"/>
    <mergeCell ref="AF634:AJ634"/>
    <mergeCell ref="AK620:AN622"/>
    <mergeCell ref="AK623:AN623"/>
    <mergeCell ref="AC632:AE632"/>
    <mergeCell ref="AC633:AE633"/>
    <mergeCell ref="AC634:AE634"/>
    <mergeCell ref="P420:R420"/>
    <mergeCell ref="G582:R582"/>
    <mergeCell ref="G599:R599"/>
    <mergeCell ref="N603:O603"/>
    <mergeCell ref="P593:R593"/>
    <mergeCell ref="G585:L585"/>
    <mergeCell ref="G577:L577"/>
    <mergeCell ref="P568:R568"/>
    <mergeCell ref="AC620:AE622"/>
    <mergeCell ref="R410:S410"/>
    <mergeCell ref="Q388:U388"/>
    <mergeCell ref="P346:Z346"/>
    <mergeCell ref="AJ356:AK356"/>
    <mergeCell ref="AA337:AK337"/>
    <mergeCell ref="W556:Y556"/>
    <mergeCell ref="T623:V623"/>
    <mergeCell ref="K733:N733"/>
    <mergeCell ref="W855:AC855"/>
    <mergeCell ref="M815:P815"/>
    <mergeCell ref="B730:F730"/>
    <mergeCell ref="B732:F732"/>
    <mergeCell ref="B733:F733"/>
    <mergeCell ref="B731:F731"/>
    <mergeCell ref="B729:F729"/>
    <mergeCell ref="O737:S737"/>
    <mergeCell ref="G739:J739"/>
    <mergeCell ref="B739:F739"/>
    <mergeCell ref="AC739:AG739"/>
    <mergeCell ref="O739:S739"/>
    <mergeCell ref="Z798:AE798"/>
    <mergeCell ref="Y815:AB815"/>
    <mergeCell ref="O738:S738"/>
    <mergeCell ref="AC812:AF812"/>
    <mergeCell ref="U807:X808"/>
    <mergeCell ref="T733:W733"/>
    <mergeCell ref="Z790:AE790"/>
    <mergeCell ref="AG813:AJ813"/>
    <mergeCell ref="Z793:AE793"/>
    <mergeCell ref="AG811:AJ811"/>
    <mergeCell ref="M810:P810"/>
    <mergeCell ref="AC754:AG757"/>
    <mergeCell ref="T779:W779"/>
    <mergeCell ref="T777:W777"/>
    <mergeCell ref="O762:S762"/>
    <mergeCell ref="X773:AB773"/>
    <mergeCell ref="X774:AB774"/>
    <mergeCell ref="X775:AB775"/>
    <mergeCell ref="X776:AB776"/>
    <mergeCell ref="B727:F727"/>
    <mergeCell ref="B726:F726"/>
    <mergeCell ref="O727:S727"/>
    <mergeCell ref="O726:S726"/>
    <mergeCell ref="B736:F736"/>
    <mergeCell ref="O735:S735"/>
    <mergeCell ref="O736:S736"/>
    <mergeCell ref="K737:N737"/>
    <mergeCell ref="K738:N738"/>
    <mergeCell ref="O732:S732"/>
    <mergeCell ref="K734:N734"/>
    <mergeCell ref="K726:N726"/>
    <mergeCell ref="K727:N727"/>
    <mergeCell ref="AC727:AG727"/>
    <mergeCell ref="AC728:AG728"/>
    <mergeCell ref="AC729:AG729"/>
    <mergeCell ref="AC735:AG735"/>
    <mergeCell ref="G726:J726"/>
    <mergeCell ref="X726:AB726"/>
    <mergeCell ref="X727:AB727"/>
    <mergeCell ref="T731:W731"/>
    <mergeCell ref="G735:J735"/>
    <mergeCell ref="X731:AB731"/>
    <mergeCell ref="X732:AB732"/>
    <mergeCell ref="X733:AB733"/>
    <mergeCell ref="T732:W732"/>
    <mergeCell ref="B738:F738"/>
    <mergeCell ref="O728:S728"/>
    <mergeCell ref="O729:S729"/>
    <mergeCell ref="O731:S731"/>
    <mergeCell ref="AC732:AG732"/>
    <mergeCell ref="T734:W734"/>
    <mergeCell ref="D1018:AI1018"/>
    <mergeCell ref="D1014:AE1014"/>
    <mergeCell ref="D1011:AE1012"/>
    <mergeCell ref="D1015:AE1016"/>
    <mergeCell ref="X1013:Y1013"/>
    <mergeCell ref="X1017:Y1017"/>
    <mergeCell ref="I1013:J1013"/>
    <mergeCell ref="I1017:J1017"/>
    <mergeCell ref="AG1014:AH1014"/>
    <mergeCell ref="AG1006:AH1006"/>
    <mergeCell ref="AG1001:AH1001"/>
    <mergeCell ref="D991:AE993"/>
    <mergeCell ref="AJ1010:AQ1013"/>
    <mergeCell ref="AJ1014:AQ1017"/>
    <mergeCell ref="AJ1018:AQ1018"/>
    <mergeCell ref="AG994:AH994"/>
    <mergeCell ref="AJ959:AQ959"/>
    <mergeCell ref="D1002:AE1005"/>
    <mergeCell ref="AJ1001:AQ1005"/>
    <mergeCell ref="D1006:AE1006"/>
    <mergeCell ref="D1007:AE1009"/>
    <mergeCell ref="AJ1006:AQ1009"/>
    <mergeCell ref="D995:AE996"/>
    <mergeCell ref="B962:AE962"/>
    <mergeCell ref="D1010:AE1010"/>
    <mergeCell ref="D979:AE980"/>
    <mergeCell ref="AG1010:AH1010"/>
    <mergeCell ref="D982:AE984"/>
    <mergeCell ref="AG997:AH997"/>
    <mergeCell ref="D1001:AE1001"/>
    <mergeCell ref="D972:AE972"/>
    <mergeCell ref="R959:AA959"/>
    <mergeCell ref="R956:AA956"/>
    <mergeCell ref="AB954:AI954"/>
    <mergeCell ref="AB955:AI955"/>
    <mergeCell ref="AB956:AI956"/>
    <mergeCell ref="U915:Z915"/>
    <mergeCell ref="U898:Z900"/>
    <mergeCell ref="U920:Z920"/>
    <mergeCell ref="AA945:AG945"/>
    <mergeCell ref="AA916:AF916"/>
    <mergeCell ref="U901:Z901"/>
    <mergeCell ref="T943:Z943"/>
    <mergeCell ref="I917:T917"/>
    <mergeCell ref="U908:Z908"/>
    <mergeCell ref="M940:S940"/>
    <mergeCell ref="F898:T898"/>
    <mergeCell ref="I918:T918"/>
    <mergeCell ref="AC878:AH878"/>
    <mergeCell ref="AA910:AF910"/>
    <mergeCell ref="M945:S945"/>
    <mergeCell ref="D954:Q954"/>
    <mergeCell ref="D955:Q955"/>
    <mergeCell ref="D956:Q956"/>
    <mergeCell ref="Z883:AE883"/>
    <mergeCell ref="U913:Z913"/>
    <mergeCell ref="U909:Z909"/>
    <mergeCell ref="AA902:AF902"/>
    <mergeCell ref="U907:Z907"/>
    <mergeCell ref="AA906:AF906"/>
    <mergeCell ref="AB900:AE900"/>
    <mergeCell ref="AA905:AF905"/>
    <mergeCell ref="A949:AS950"/>
    <mergeCell ref="M928:S928"/>
    <mergeCell ref="D957:Q957"/>
    <mergeCell ref="D958:Q958"/>
    <mergeCell ref="D959:Q959"/>
    <mergeCell ref="AJ954:AQ954"/>
    <mergeCell ref="AJ955:AQ955"/>
    <mergeCell ref="AJ956:AQ956"/>
    <mergeCell ref="AJ957:AQ957"/>
    <mergeCell ref="D997:AE997"/>
    <mergeCell ref="D998:AE1000"/>
    <mergeCell ref="AJ997:AQ1000"/>
    <mergeCell ref="AJ963:AQ965"/>
    <mergeCell ref="AJ972:AQ975"/>
    <mergeCell ref="AJ976:AQ977"/>
    <mergeCell ref="AJ978:AQ980"/>
    <mergeCell ref="AJ981:AQ984"/>
    <mergeCell ref="AJ990:AQ993"/>
    <mergeCell ref="AJ994:AQ996"/>
    <mergeCell ref="R954:AA954"/>
    <mergeCell ref="D994:AE994"/>
    <mergeCell ref="B960:AA960"/>
    <mergeCell ref="D963:AE963"/>
    <mergeCell ref="D964:AE964"/>
    <mergeCell ref="D965:AE965"/>
    <mergeCell ref="D966:AE966"/>
    <mergeCell ref="D967:AE971"/>
    <mergeCell ref="D976:AE976"/>
    <mergeCell ref="D977:AE977"/>
    <mergeCell ref="AJ966:AQ971"/>
    <mergeCell ref="AJ985:AQ989"/>
    <mergeCell ref="D985:AE986"/>
    <mergeCell ref="D990:AE990"/>
    <mergeCell ref="B961:AI961"/>
    <mergeCell ref="AJ961:AQ961"/>
    <mergeCell ref="AJ962:AQ962"/>
    <mergeCell ref="D978:AE978"/>
    <mergeCell ref="AF962:AI962"/>
    <mergeCell ref="AG963:AH963"/>
    <mergeCell ref="AG966:AH966"/>
    <mergeCell ref="AG972:AH972"/>
    <mergeCell ref="AG976:AH976"/>
    <mergeCell ref="AG978:AH978"/>
    <mergeCell ref="AG981:AH981"/>
    <mergeCell ref="AG985:AH985"/>
    <mergeCell ref="AG990:AH990"/>
    <mergeCell ref="D981:AE981"/>
    <mergeCell ref="D973:AE975"/>
    <mergeCell ref="AF986:AI987"/>
    <mergeCell ref="AF988:AI989"/>
    <mergeCell ref="AF991:AI991"/>
    <mergeCell ref="AF992:AI993"/>
    <mergeCell ref="AB957:AI957"/>
    <mergeCell ref="AB958:AI958"/>
    <mergeCell ref="AB959:AI959"/>
    <mergeCell ref="M932:S932"/>
    <mergeCell ref="AB960:AI960"/>
    <mergeCell ref="DX595:EB595"/>
    <mergeCell ref="EC595:EG595"/>
    <mergeCell ref="EH595:EL595"/>
    <mergeCell ref="EM595:EQ595"/>
    <mergeCell ref="ER595:EV595"/>
    <mergeCell ref="EW595:FA595"/>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D987:AE988"/>
    <mergeCell ref="J989:AE989"/>
    <mergeCell ref="EW598:FA598"/>
    <mergeCell ref="DX599:EB599"/>
    <mergeCell ref="EC599:EG599"/>
    <mergeCell ref="EH599:EL599"/>
    <mergeCell ref="EM599:EQ599"/>
    <mergeCell ref="ER599:EV599"/>
    <mergeCell ref="EW599:FA599"/>
    <mergeCell ref="DX600:EB600"/>
    <mergeCell ref="EC600:EG600"/>
    <mergeCell ref="EH600:EL600"/>
    <mergeCell ref="EM600:EQ600"/>
    <mergeCell ref="ER600:EV600"/>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4:EB604"/>
    <mergeCell ref="EC604:EG604"/>
    <mergeCell ref="EH604:EL604"/>
    <mergeCell ref="EM604:EQ604"/>
    <mergeCell ref="ER604:EV604"/>
    <mergeCell ref="EW604:FA604"/>
    <mergeCell ref="EW608:FA608"/>
    <mergeCell ref="DX609:EB609"/>
    <mergeCell ref="EC609:EG609"/>
    <mergeCell ref="EH609:EL609"/>
    <mergeCell ref="EM609:EQ609"/>
    <mergeCell ref="ER609:EV609"/>
    <mergeCell ref="EW609:FA609"/>
    <mergeCell ref="DX610:EB610"/>
    <mergeCell ref="EC610:EG610"/>
    <mergeCell ref="EH610:EL610"/>
    <mergeCell ref="EM610:EQ610"/>
    <mergeCell ref="ER610:EV610"/>
    <mergeCell ref="EW610:FA610"/>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7:EB607"/>
    <mergeCell ref="EC607:EG607"/>
    <mergeCell ref="EH607:EL607"/>
    <mergeCell ref="EM607:EQ607"/>
    <mergeCell ref="ER607:EV607"/>
    <mergeCell ref="EW607:FA607"/>
    <mergeCell ref="DX608:EB608"/>
    <mergeCell ref="EW611:FA611"/>
    <mergeCell ref="EW617:FA617"/>
    <mergeCell ref="DX612:EB612"/>
    <mergeCell ref="EC612:EG612"/>
    <mergeCell ref="EH612:EL612"/>
    <mergeCell ref="EM612:EQ612"/>
    <mergeCell ref="ER612:EV612"/>
    <mergeCell ref="EW612:FA612"/>
    <mergeCell ref="DX613:EB613"/>
    <mergeCell ref="EC613:EG613"/>
    <mergeCell ref="EH613:EL613"/>
    <mergeCell ref="EM613:EQ613"/>
    <mergeCell ref="ER613:EV613"/>
    <mergeCell ref="EW613:FA613"/>
    <mergeCell ref="DX614:EB614"/>
    <mergeCell ref="EC614:EG614"/>
    <mergeCell ref="EH614:EL614"/>
    <mergeCell ref="EM614:EQ614"/>
    <mergeCell ref="ER614:EV614"/>
    <mergeCell ref="EW614:FA614"/>
    <mergeCell ref="EW618:FA618"/>
    <mergeCell ref="EC619:EG619"/>
    <mergeCell ref="EH619:EL619"/>
    <mergeCell ref="EM619:EQ619"/>
    <mergeCell ref="ER619:EV619"/>
    <mergeCell ref="EW619:FA619"/>
    <mergeCell ref="DX620:EB620"/>
    <mergeCell ref="EC620:EG620"/>
    <mergeCell ref="EH620:EL620"/>
    <mergeCell ref="EM620:EQ620"/>
    <mergeCell ref="ER620:EV620"/>
    <mergeCell ref="EW620:FA620"/>
    <mergeCell ref="DX619:EB619"/>
    <mergeCell ref="DX615:EB615"/>
    <mergeCell ref="EC615:EG615"/>
    <mergeCell ref="EH615:EL615"/>
    <mergeCell ref="EM615:EQ615"/>
    <mergeCell ref="ER615:EV615"/>
    <mergeCell ref="EW615:FA615"/>
    <mergeCell ref="DX616:EB616"/>
    <mergeCell ref="EC616:EG616"/>
    <mergeCell ref="EH616:EL616"/>
    <mergeCell ref="EM616:EQ616"/>
    <mergeCell ref="ER616:EV616"/>
    <mergeCell ref="EW616:FA616"/>
    <mergeCell ref="DX617:EB617"/>
    <mergeCell ref="EC617:EG617"/>
    <mergeCell ref="EH617:EL617"/>
    <mergeCell ref="EM617:EQ617"/>
    <mergeCell ref="ER617:EV617"/>
    <mergeCell ref="DX618:EB618"/>
    <mergeCell ref="EC618:EG618"/>
    <mergeCell ref="EH621:EL621"/>
    <mergeCell ref="EM621:EQ621"/>
    <mergeCell ref="ER621:EV621"/>
    <mergeCell ref="EW621:FA621"/>
    <mergeCell ref="DX624:EB624"/>
    <mergeCell ref="EC624:EG624"/>
    <mergeCell ref="EH624:EL624"/>
    <mergeCell ref="EM624:EQ624"/>
    <mergeCell ref="ER624:EV624"/>
    <mergeCell ref="EW624:FA624"/>
    <mergeCell ref="DX625:EB625"/>
    <mergeCell ref="ER625:EV625"/>
    <mergeCell ref="EW625:FA625"/>
    <mergeCell ref="ER626:EV626"/>
    <mergeCell ref="EC625:EG625"/>
    <mergeCell ref="EH625:EL625"/>
    <mergeCell ref="EM625:EQ625"/>
    <mergeCell ref="DX626:EB626"/>
    <mergeCell ref="EW633:FA633"/>
    <mergeCell ref="EC630:EG630"/>
    <mergeCell ref="EC632:EG632"/>
    <mergeCell ref="EH632:EL632"/>
    <mergeCell ref="EM632:EQ632"/>
    <mergeCell ref="EC637:EG637"/>
    <mergeCell ref="DX632:EB632"/>
    <mergeCell ref="EW628:FA628"/>
    <mergeCell ref="DX629:EB629"/>
    <mergeCell ref="EC629:EG629"/>
    <mergeCell ref="EW629:FA629"/>
    <mergeCell ref="ER632:EV632"/>
    <mergeCell ref="ER629:EV629"/>
    <mergeCell ref="ER628:EV628"/>
    <mergeCell ref="EW626:FA626"/>
    <mergeCell ref="DX627:EB627"/>
    <mergeCell ref="EC627:EG627"/>
    <mergeCell ref="EH627:EL627"/>
    <mergeCell ref="EM627:EQ627"/>
    <mergeCell ref="ER627:EV627"/>
    <mergeCell ref="EW627:FA627"/>
    <mergeCell ref="ER637:EV637"/>
    <mergeCell ref="ER636:EV636"/>
    <mergeCell ref="EH634:EL634"/>
    <mergeCell ref="EM634:EQ634"/>
    <mergeCell ref="EH629:EL629"/>
    <mergeCell ref="EM629:EQ629"/>
    <mergeCell ref="DX628:EB628"/>
    <mergeCell ref="EC628:EG628"/>
    <mergeCell ref="EH628:EL628"/>
    <mergeCell ref="EM628:EQ628"/>
    <mergeCell ref="EM626:EQ626"/>
    <mergeCell ref="EW649:FA649"/>
    <mergeCell ref="EW645:FA645"/>
    <mergeCell ref="DX646:EB646"/>
    <mergeCell ref="EC646:EG646"/>
    <mergeCell ref="EH646:EL646"/>
    <mergeCell ref="EM646:EQ646"/>
    <mergeCell ref="ER646:EV646"/>
    <mergeCell ref="EW646:FA646"/>
    <mergeCell ref="DX647:EB647"/>
    <mergeCell ref="EC647:EG647"/>
    <mergeCell ref="EH647:EL647"/>
    <mergeCell ref="EM647:EQ647"/>
    <mergeCell ref="EW647:FA647"/>
    <mergeCell ref="DX649:EB649"/>
    <mergeCell ref="ER634:EV634"/>
    <mergeCell ref="EW634:FA634"/>
    <mergeCell ref="DX635:EB635"/>
    <mergeCell ref="EC635:EG635"/>
    <mergeCell ref="EH635:EL635"/>
    <mergeCell ref="EM635:EQ635"/>
    <mergeCell ref="ER635:EV635"/>
    <mergeCell ref="EW635:FA635"/>
    <mergeCell ref="EW642:FA642"/>
    <mergeCell ref="DX643:EB643"/>
    <mergeCell ref="EC643:EG643"/>
    <mergeCell ref="EH643:EL643"/>
    <mergeCell ref="EM643:EQ643"/>
    <mergeCell ref="ER643:EV643"/>
    <mergeCell ref="EW643:FA643"/>
    <mergeCell ref="DX636:EB636"/>
    <mergeCell ref="EC636:EG636"/>
    <mergeCell ref="EC644:EG644"/>
    <mergeCell ref="EH644:EL644"/>
    <mergeCell ref="EM644:EQ644"/>
    <mergeCell ref="EH636:EL636"/>
    <mergeCell ref="EM636:EQ636"/>
    <mergeCell ref="DX637:EB637"/>
    <mergeCell ref="DX640:EB640"/>
    <mergeCell ref="EC640:EG640"/>
    <mergeCell ref="EM637:EQ637"/>
    <mergeCell ref="ER640:EV640"/>
    <mergeCell ref="ER641:EV641"/>
    <mergeCell ref="EM640:EQ640"/>
    <mergeCell ref="ER638:EV638"/>
    <mergeCell ref="DX641:EB641"/>
    <mergeCell ref="EC641:EG641"/>
    <mergeCell ref="EH641:EL641"/>
    <mergeCell ref="ER639:EV639"/>
    <mergeCell ref="ER644:EV644"/>
    <mergeCell ref="EH637:EL637"/>
    <mergeCell ref="EH640:EL640"/>
    <mergeCell ref="EM641:EQ641"/>
    <mergeCell ref="DX639:EB639"/>
    <mergeCell ref="EC639:EG639"/>
    <mergeCell ref="EC638:EG638"/>
    <mergeCell ref="EH639:EL639"/>
    <mergeCell ref="EM639:EQ639"/>
    <mergeCell ref="DX642:EB642"/>
    <mergeCell ref="EC642:EG642"/>
    <mergeCell ref="EW648:FA648"/>
    <mergeCell ref="EH642:EL642"/>
    <mergeCell ref="EM642:EQ642"/>
    <mergeCell ref="ER642:EV642"/>
    <mergeCell ref="EW636:FA636"/>
    <mergeCell ref="EW644:FA644"/>
    <mergeCell ref="EW639:FA639"/>
    <mergeCell ref="EW637:FA637"/>
    <mergeCell ref="EW640:FA640"/>
    <mergeCell ref="DX634:EB634"/>
    <mergeCell ref="EW638:FA638"/>
    <mergeCell ref="EW641:FA641"/>
    <mergeCell ref="EW630:FA630"/>
    <mergeCell ref="DX631:EB631"/>
    <mergeCell ref="EC631:EG631"/>
    <mergeCell ref="EH631:EL631"/>
    <mergeCell ref="EM631:EQ631"/>
    <mergeCell ref="ER631:EV631"/>
    <mergeCell ref="EW631:FA631"/>
    <mergeCell ref="EW632:FA632"/>
    <mergeCell ref="DX633:EB633"/>
    <mergeCell ref="EC633:EG633"/>
    <mergeCell ref="EH633:EL633"/>
    <mergeCell ref="EM633:EQ633"/>
    <mergeCell ref="ER633:EV633"/>
    <mergeCell ref="EC648:EG648"/>
    <mergeCell ref="EH648:EL648"/>
    <mergeCell ref="EM648:EQ648"/>
    <mergeCell ref="ER648:EV648"/>
    <mergeCell ref="DX638:EB638"/>
    <mergeCell ref="EH638:EL638"/>
    <mergeCell ref="DX644:EB644"/>
    <mergeCell ref="DX630:EB630"/>
    <mergeCell ref="AK630:AN630"/>
    <mergeCell ref="AK631:AN631"/>
    <mergeCell ref="AK632:AN632"/>
    <mergeCell ref="AK633:AN633"/>
    <mergeCell ref="AK634:AN634"/>
    <mergeCell ref="AC629:AE629"/>
    <mergeCell ref="AC630:AE630"/>
    <mergeCell ref="AC631:AE631"/>
    <mergeCell ref="CM630:CQ630"/>
    <mergeCell ref="CC626:CG626"/>
    <mergeCell ref="BX630:CB630"/>
    <mergeCell ref="CC630:CG630"/>
    <mergeCell ref="CC628:CG628"/>
    <mergeCell ref="BX634:CB634"/>
    <mergeCell ref="BX627:CB627"/>
    <mergeCell ref="AO630:AS630"/>
    <mergeCell ref="BX626:CB626"/>
    <mergeCell ref="CH627:CL627"/>
    <mergeCell ref="AF631:AJ631"/>
    <mergeCell ref="AO631:AS631"/>
    <mergeCell ref="CH629:CL629"/>
    <mergeCell ref="CM629:CQ629"/>
    <mergeCell ref="AO628:AS628"/>
    <mergeCell ref="AK626:AN626"/>
    <mergeCell ref="AK627:AN627"/>
    <mergeCell ref="AK628:AN628"/>
    <mergeCell ref="AK629:AN629"/>
    <mergeCell ref="BS630:BW630"/>
    <mergeCell ref="CH626:CL626"/>
    <mergeCell ref="CH630:CL630"/>
    <mergeCell ref="BS626:BW626"/>
    <mergeCell ref="DM621:DQ621"/>
    <mergeCell ref="DC620:DG620"/>
    <mergeCell ref="DM620:DQ620"/>
    <mergeCell ref="DH620:DL620"/>
    <mergeCell ref="DM616:DQ616"/>
    <mergeCell ref="CC619:CG619"/>
    <mergeCell ref="BX621:CB621"/>
    <mergeCell ref="CM628:CQ628"/>
    <mergeCell ref="EC634:EG634"/>
    <mergeCell ref="AK624:AN624"/>
    <mergeCell ref="BS621:BW621"/>
    <mergeCell ref="BK620:BL620"/>
    <mergeCell ref="BN620:BR620"/>
    <mergeCell ref="CM634:CQ634"/>
    <mergeCell ref="DX621:EB621"/>
    <mergeCell ref="EC621:EG621"/>
    <mergeCell ref="DH613:DL613"/>
    <mergeCell ref="DM613:DQ613"/>
    <mergeCell ref="CX613:DB613"/>
    <mergeCell ref="CC616:CG616"/>
    <mergeCell ref="CC618:CG618"/>
    <mergeCell ref="BE613:BF613"/>
    <mergeCell ref="BI616:BJ616"/>
    <mergeCell ref="BE615:BF615"/>
    <mergeCell ref="BG615:BH615"/>
    <mergeCell ref="BG621:BH621"/>
    <mergeCell ref="BK621:BL621"/>
    <mergeCell ref="BN621:BR621"/>
    <mergeCell ref="DR619:DV619"/>
    <mergeCell ref="DH619:DL619"/>
    <mergeCell ref="DM617:DQ617"/>
    <mergeCell ref="DR617:DV617"/>
    <mergeCell ref="EC608:EG608"/>
    <mergeCell ref="EH608:EL608"/>
    <mergeCell ref="EM608:EQ608"/>
    <mergeCell ref="ER608:EV608"/>
    <mergeCell ref="DM615:DQ615"/>
    <mergeCell ref="CS615:CW615"/>
    <mergeCell ref="AO633:AS633"/>
    <mergeCell ref="CS613:CW613"/>
    <mergeCell ref="CS604:CW604"/>
    <mergeCell ref="CX604:DB604"/>
    <mergeCell ref="AF629:AJ629"/>
    <mergeCell ref="AO626:AS626"/>
    <mergeCell ref="G608:R608"/>
    <mergeCell ref="Z607:AK607"/>
    <mergeCell ref="CX612:DB612"/>
    <mergeCell ref="AO632:AS632"/>
    <mergeCell ref="AO623:AS623"/>
    <mergeCell ref="BX605:CB605"/>
    <mergeCell ref="EH618:EL618"/>
    <mergeCell ref="EH630:EL630"/>
    <mergeCell ref="EM630:EQ630"/>
    <mergeCell ref="ER630:EV630"/>
    <mergeCell ref="EM618:EQ618"/>
    <mergeCell ref="ER618:EV618"/>
    <mergeCell ref="EC626:EG626"/>
    <mergeCell ref="EH626:EL626"/>
    <mergeCell ref="DX611:EB611"/>
    <mergeCell ref="EC611:EG611"/>
    <mergeCell ref="EH611:EL611"/>
    <mergeCell ref="EM611:EQ611"/>
    <mergeCell ref="ER611:EV611"/>
    <mergeCell ref="BN616:BR616"/>
    <mergeCell ref="DR618:DV618"/>
    <mergeCell ref="CX637:DB637"/>
    <mergeCell ref="DC637:DG637"/>
    <mergeCell ref="DR640:DV640"/>
    <mergeCell ref="BN636:BR636"/>
    <mergeCell ref="BX640:CB640"/>
    <mergeCell ref="CM637:CQ637"/>
    <mergeCell ref="CC640:CG640"/>
    <mergeCell ref="BX638:CB638"/>
    <mergeCell ref="BX639:CB639"/>
    <mergeCell ref="CH637:CL637"/>
    <mergeCell ref="CC637:CG637"/>
    <mergeCell ref="DH635:DL635"/>
    <mergeCell ref="DM635:DQ635"/>
    <mergeCell ref="DR635:DV635"/>
    <mergeCell ref="CS617:CW617"/>
    <mergeCell ref="CX617:DB617"/>
    <mergeCell ref="DC617:DG617"/>
    <mergeCell ref="DH634:DL634"/>
    <mergeCell ref="DM634:DQ634"/>
    <mergeCell ref="DR634:DV634"/>
    <mergeCell ref="BX635:CB635"/>
    <mergeCell ref="CM621:CQ621"/>
    <mergeCell ref="CM626:CQ626"/>
    <mergeCell ref="CH619:CL619"/>
    <mergeCell ref="BS637:BW637"/>
    <mergeCell ref="CM627:CQ627"/>
    <mergeCell ref="CS637:CW637"/>
    <mergeCell ref="BX637:CB637"/>
    <mergeCell ref="CM639:CQ639"/>
    <mergeCell ref="DR639:DV639"/>
    <mergeCell ref="CX640:DB640"/>
    <mergeCell ref="DR616:DV616"/>
    <mergeCell ref="CS621:CW621"/>
    <mergeCell ref="CX621:DB621"/>
    <mergeCell ref="CM636:CQ636"/>
    <mergeCell ref="CM635:CQ635"/>
    <mergeCell ref="BX636:CB636"/>
    <mergeCell ref="BS634:BW634"/>
    <mergeCell ref="DR615:DV615"/>
    <mergeCell ref="CS616:CW616"/>
    <mergeCell ref="CX616:DB616"/>
    <mergeCell ref="DC616:DG616"/>
    <mergeCell ref="DH616:DL616"/>
    <mergeCell ref="CH634:CL634"/>
    <mergeCell ref="DC635:DG635"/>
    <mergeCell ref="CX615:DB615"/>
    <mergeCell ref="DH617:DL617"/>
    <mergeCell ref="BS617:BW617"/>
    <mergeCell ref="DR620:DV620"/>
    <mergeCell ref="BX616:CB616"/>
    <mergeCell ref="DM619:DQ619"/>
    <mergeCell ref="BX620:CB620"/>
    <mergeCell ref="DR621:DV621"/>
    <mergeCell ref="CC635:CG635"/>
    <mergeCell ref="CC634:CG634"/>
    <mergeCell ref="DC621:DG621"/>
    <mergeCell ref="DH621:DL621"/>
    <mergeCell ref="CM618:CQ618"/>
    <mergeCell ref="CH618:CL618"/>
    <mergeCell ref="CM622:CQ622"/>
    <mergeCell ref="CC621:CG621"/>
    <mergeCell ref="CM619:CQ619"/>
    <mergeCell ref="CM620:CQ620"/>
    <mergeCell ref="CS644:CW644"/>
    <mergeCell ref="DH641:DL641"/>
    <mergeCell ref="DM641:DQ641"/>
    <mergeCell ref="CS642:CW642"/>
    <mergeCell ref="CX642:DB642"/>
    <mergeCell ref="CH649:CL649"/>
    <mergeCell ref="DH639:DL639"/>
    <mergeCell ref="DM639:DQ639"/>
    <mergeCell ref="CX638:DB638"/>
    <mergeCell ref="DC638:DG638"/>
    <mergeCell ref="BS640:BW640"/>
    <mergeCell ref="BS641:BW641"/>
    <mergeCell ref="CH640:CL640"/>
    <mergeCell ref="DM642:DQ642"/>
    <mergeCell ref="DH643:DL643"/>
    <mergeCell ref="DM643:DQ643"/>
    <mergeCell ref="DH644:DL644"/>
    <mergeCell ref="DM644:DQ644"/>
    <mergeCell ref="BS644:BW644"/>
    <mergeCell ref="BX644:CB644"/>
    <mergeCell ref="DH642:DL642"/>
    <mergeCell ref="CC638:CG638"/>
    <mergeCell ref="CC639:CG639"/>
    <mergeCell ref="CC641:CG641"/>
    <mergeCell ref="CC642:CG642"/>
    <mergeCell ref="CC643:CG643"/>
    <mergeCell ref="CH639:CL639"/>
    <mergeCell ref="BS639:BW639"/>
    <mergeCell ref="CC649:CG649"/>
    <mergeCell ref="BS649:BW649"/>
    <mergeCell ref="DH636:DL636"/>
    <mergeCell ref="DM636:DQ636"/>
    <mergeCell ref="DR636:DV636"/>
    <mergeCell ref="DR638:DV638"/>
    <mergeCell ref="DR641:DV641"/>
    <mergeCell ref="EM638:EQ638"/>
    <mergeCell ref="CC636:CG636"/>
    <mergeCell ref="AH729:AJ729"/>
    <mergeCell ref="CH641:CL641"/>
    <mergeCell ref="CH642:CL642"/>
    <mergeCell ref="CH643:CL643"/>
    <mergeCell ref="CM641:CQ641"/>
    <mergeCell ref="CM642:CQ642"/>
    <mergeCell ref="CM643:CQ643"/>
    <mergeCell ref="BN641:BR641"/>
    <mergeCell ref="BN642:BR642"/>
    <mergeCell ref="BN643:BR643"/>
    <mergeCell ref="DH637:DL637"/>
    <mergeCell ref="DM637:DQ637"/>
    <mergeCell ref="DR637:DV637"/>
    <mergeCell ref="CS638:CW638"/>
    <mergeCell ref="CS643:CW643"/>
    <mergeCell ref="CX643:DB643"/>
    <mergeCell ref="DC643:DG643"/>
    <mergeCell ref="BS642:BW642"/>
    <mergeCell ref="BN640:BR640"/>
    <mergeCell ref="BN639:BR639"/>
    <mergeCell ref="CS636:CW636"/>
    <mergeCell ref="CX636:DB636"/>
    <mergeCell ref="DC636:DG636"/>
    <mergeCell ref="CX644:DB644"/>
    <mergeCell ref="DC644:DG644"/>
    <mergeCell ref="DR644:DV644"/>
    <mergeCell ref="CS641:CW641"/>
    <mergeCell ref="CX641:DB641"/>
    <mergeCell ref="DC641:DG641"/>
    <mergeCell ref="DC639:DG639"/>
    <mergeCell ref="AK727:AO727"/>
    <mergeCell ref="AK728:AO728"/>
    <mergeCell ref="AK729:AO729"/>
    <mergeCell ref="AK730:AO730"/>
    <mergeCell ref="AK731:AO731"/>
    <mergeCell ref="DR643:DV643"/>
    <mergeCell ref="DR642:DV642"/>
    <mergeCell ref="DH640:DL640"/>
    <mergeCell ref="DM640:DQ640"/>
    <mergeCell ref="BN638:BR638"/>
    <mergeCell ref="BN637:BR637"/>
    <mergeCell ref="CC644:CG644"/>
    <mergeCell ref="CH644:CL644"/>
    <mergeCell ref="CM644:CQ644"/>
    <mergeCell ref="Z681:AK681"/>
    <mergeCell ref="CM649:CQ649"/>
    <mergeCell ref="CM638:CQ638"/>
    <mergeCell ref="DH638:DL638"/>
    <mergeCell ref="DM638:DQ638"/>
    <mergeCell ref="CS640:CW640"/>
    <mergeCell ref="AK719:AO719"/>
    <mergeCell ref="AK720:AO720"/>
    <mergeCell ref="AK721:AO721"/>
    <mergeCell ref="DC642:DG642"/>
    <mergeCell ref="AI659:AK659"/>
    <mergeCell ref="Z657:AK657"/>
    <mergeCell ref="X716:AB716"/>
    <mergeCell ref="ER647:EV647"/>
    <mergeCell ref="AK736:AO736"/>
    <mergeCell ref="AK737:AO737"/>
    <mergeCell ref="AK738:AO738"/>
    <mergeCell ref="AH733:AJ733"/>
    <mergeCell ref="AH734:AJ734"/>
    <mergeCell ref="AH732:AJ732"/>
    <mergeCell ref="AH731:AJ731"/>
    <mergeCell ref="EM649:EQ649"/>
    <mergeCell ref="DX645:EB645"/>
    <mergeCell ref="EC645:EG645"/>
    <mergeCell ref="EH645:EL645"/>
    <mergeCell ref="EM645:EQ645"/>
    <mergeCell ref="ER649:EV649"/>
    <mergeCell ref="DX648:EB648"/>
    <mergeCell ref="AH735:AJ735"/>
    <mergeCell ref="AH736:AJ736"/>
    <mergeCell ref="EC649:EG649"/>
    <mergeCell ref="EH649:EL649"/>
    <mergeCell ref="DR646:DV646"/>
    <mergeCell ref="AK724:AO724"/>
    <mergeCell ref="AK725:AO725"/>
    <mergeCell ref="ER645:EV645"/>
    <mergeCell ref="Z671:AK671"/>
    <mergeCell ref="AE698:AF698"/>
    <mergeCell ref="Z651:AE651"/>
    <mergeCell ref="AA652:AK652"/>
    <mergeCell ref="Z659:AE659"/>
    <mergeCell ref="AG669:AH669"/>
    <mergeCell ref="AG661:AH661"/>
    <mergeCell ref="AK718:AO718"/>
    <mergeCell ref="AG645:AH645"/>
    <mergeCell ref="G656:R656"/>
    <mergeCell ref="X710:AB713"/>
    <mergeCell ref="Z675:AE675"/>
    <mergeCell ref="H676:R676"/>
    <mergeCell ref="Z666:AK666"/>
    <mergeCell ref="G666:R666"/>
    <mergeCell ref="Z665:AK665"/>
    <mergeCell ref="E703:AK703"/>
    <mergeCell ref="W702:AK702"/>
    <mergeCell ref="AA684:AK684"/>
    <mergeCell ref="AC715:AG715"/>
    <mergeCell ref="G673:R673"/>
    <mergeCell ref="Z674:AK674"/>
    <mergeCell ref="G681:R681"/>
    <mergeCell ref="H684:R684"/>
    <mergeCell ref="X714:AB714"/>
    <mergeCell ref="N661:O661"/>
    <mergeCell ref="H668:R668"/>
    <mergeCell ref="G672:R672"/>
    <mergeCell ref="B715:F715"/>
    <mergeCell ref="B710:F713"/>
    <mergeCell ref="Z682:AK682"/>
    <mergeCell ref="G671:R671"/>
    <mergeCell ref="Z663:AK663"/>
    <mergeCell ref="AG685:AH685"/>
    <mergeCell ref="AE689:AF689"/>
    <mergeCell ref="AE690:AF690"/>
    <mergeCell ref="R701:T701"/>
    <mergeCell ref="W699:AK699"/>
    <mergeCell ref="G674:R674"/>
    <mergeCell ref="P675:R675"/>
    <mergeCell ref="Z672:AK672"/>
    <mergeCell ref="AK726:AO726"/>
    <mergeCell ref="AK732:AO732"/>
    <mergeCell ref="AK733:AO733"/>
    <mergeCell ref="AK734:AO734"/>
    <mergeCell ref="AH728:AJ728"/>
    <mergeCell ref="Z679:AK679"/>
    <mergeCell ref="C629:L629"/>
    <mergeCell ref="C630:L630"/>
    <mergeCell ref="M620:P622"/>
    <mergeCell ref="M623:P623"/>
    <mergeCell ref="M624:P624"/>
    <mergeCell ref="M625:P625"/>
    <mergeCell ref="M626:P626"/>
    <mergeCell ref="M627:P627"/>
    <mergeCell ref="M628:P628"/>
    <mergeCell ref="M629:P629"/>
    <mergeCell ref="M630:P630"/>
    <mergeCell ref="M631:P631"/>
    <mergeCell ref="M632:P632"/>
    <mergeCell ref="M633:P633"/>
    <mergeCell ref="M634:P634"/>
    <mergeCell ref="C624:L624"/>
    <mergeCell ref="Z632:AB632"/>
    <mergeCell ref="Z633:AB633"/>
    <mergeCell ref="Z634:AB634"/>
    <mergeCell ref="W623:Y623"/>
    <mergeCell ref="AK722:AO722"/>
    <mergeCell ref="AK723:AO723"/>
    <mergeCell ref="X730:AB730"/>
    <mergeCell ref="X729:AB729"/>
    <mergeCell ref="W628:Y628"/>
    <mergeCell ref="G651:L651"/>
    <mergeCell ref="Z620:AB622"/>
    <mergeCell ref="Z623:AB623"/>
    <mergeCell ref="T624:V624"/>
    <mergeCell ref="T625:V625"/>
    <mergeCell ref="T626:V626"/>
    <mergeCell ref="T627:V627"/>
    <mergeCell ref="T628:V628"/>
    <mergeCell ref="T629:V629"/>
    <mergeCell ref="T630:V630"/>
    <mergeCell ref="T631:V631"/>
    <mergeCell ref="T632:V632"/>
    <mergeCell ref="T633:V633"/>
    <mergeCell ref="T634:V634"/>
    <mergeCell ref="Q620:S622"/>
    <mergeCell ref="Q623:S623"/>
    <mergeCell ref="Q624:S624"/>
    <mergeCell ref="Q625:S625"/>
    <mergeCell ref="Q626:S626"/>
    <mergeCell ref="Q627:S627"/>
    <mergeCell ref="Q628:S628"/>
    <mergeCell ref="Q629:S629"/>
    <mergeCell ref="Q630:S630"/>
    <mergeCell ref="Q631:S631"/>
    <mergeCell ref="Q632:S632"/>
    <mergeCell ref="Q633:S633"/>
    <mergeCell ref="Q634:S634"/>
    <mergeCell ref="Z630:AB630"/>
    <mergeCell ref="Z631:AB631"/>
    <mergeCell ref="W624:Y624"/>
    <mergeCell ref="W625:Y625"/>
    <mergeCell ref="C632:L632"/>
    <mergeCell ref="C633:L633"/>
    <mergeCell ref="C634:L634"/>
    <mergeCell ref="P609:R609"/>
    <mergeCell ref="G573:R573"/>
    <mergeCell ref="G590:R590"/>
    <mergeCell ref="N611:O611"/>
    <mergeCell ref="G568:L568"/>
    <mergeCell ref="W626:Y626"/>
    <mergeCell ref="W627:Y627"/>
    <mergeCell ref="M559:P559"/>
    <mergeCell ref="Z575:AK575"/>
    <mergeCell ref="AG587:AH587"/>
    <mergeCell ref="T559:V559"/>
    <mergeCell ref="Z584:AK584"/>
    <mergeCell ref="Z560:AD560"/>
    <mergeCell ref="Z561:AD561"/>
    <mergeCell ref="Z568:AE568"/>
    <mergeCell ref="Z574:AK574"/>
    <mergeCell ref="Z599:AK599"/>
    <mergeCell ref="AI601:AK601"/>
    <mergeCell ref="AF630:AJ630"/>
    <mergeCell ref="W620:Y622"/>
    <mergeCell ref="T620:V622"/>
    <mergeCell ref="G607:R607"/>
    <mergeCell ref="M561:P561"/>
    <mergeCell ref="B620:L622"/>
    <mergeCell ref="C623:L623"/>
    <mergeCell ref="C631:L631"/>
    <mergeCell ref="AG603:AH603"/>
    <mergeCell ref="H602:R602"/>
    <mergeCell ref="P601:R601"/>
  </mergeCells>
  <phoneticPr fontId="0" type="noConversion"/>
  <conditionalFormatting sqref="AF986">
    <cfRule type="cellIs" dxfId="208" priority="36" stopIfTrue="1" operator="equal">
      <formula>"Please Enter Amount:"</formula>
    </cfRule>
  </conditionalFormatting>
  <conditionalFormatting sqref="AJ1010">
    <cfRule type="cellIs" dxfId="207" priority="39" stopIfTrue="1" operator="equal">
      <formula>"#DIV/0!"</formula>
    </cfRule>
  </conditionalFormatting>
  <conditionalFormatting sqref="AG440:AJ440">
    <cfRule type="expression" dxfId="206" priority="40" stopIfTrue="1">
      <formula>"iserror(d31)"</formula>
    </cfRule>
  </conditionalFormatting>
  <conditionalFormatting sqref="AF998">
    <cfRule type="cellIs" dxfId="205" priority="34" stopIfTrue="1" operator="equal">
      <formula>"Please Enter Amount:"</formula>
    </cfRule>
  </conditionalFormatting>
  <conditionalFormatting sqref="AF991">
    <cfRule type="cellIs" dxfId="204" priority="33" stopIfTrue="1" operator="equal">
      <formula>"Please Enter Amount:"</formula>
    </cfRule>
  </conditionalFormatting>
  <conditionalFormatting sqref="D211:X211">
    <cfRule type="expression" dxfId="203" priority="32">
      <formula>NOT($D$210="Special Needs")</formula>
    </cfRule>
  </conditionalFormatting>
  <conditionalFormatting sqref="Y211:AC211">
    <cfRule type="expression" dxfId="202" priority="31">
      <formula>NOT($D$210="Special Needs")</formula>
    </cfRule>
  </conditionalFormatting>
  <conditionalFormatting sqref="D214:U214">
    <cfRule type="expression" dxfId="201" priority="29">
      <formula>NOT(OR($D$213="Seniors",$D$210="Seniors"))</formula>
    </cfRule>
  </conditionalFormatting>
  <conditionalFormatting sqref="AA214:AO214">
    <cfRule type="expression" dxfId="200" priority="30">
      <formula>NOT(OR($D$213="Seniors",$D$210="Seniors"))</formula>
    </cfRule>
  </conditionalFormatting>
  <conditionalFormatting sqref="D212">
    <cfRule type="expression" dxfId="199" priority="28">
      <formula>AND($Y$211&gt;0,$AB$211&lt;75%)</formula>
    </cfRule>
  </conditionalFormatting>
  <conditionalFormatting sqref="D213:Z213">
    <cfRule type="expression" dxfId="198" priority="27">
      <formula>AND($Y$211&gt;0,$AB$211&lt;75%)</formula>
    </cfRule>
  </conditionalFormatting>
  <conditionalFormatting sqref="D215">
    <cfRule type="expression" dxfId="197" priority="25">
      <formula>NOT($D$210="At-Risk")</formula>
    </cfRule>
  </conditionalFormatting>
  <conditionalFormatting sqref="AB215:AM215">
    <cfRule type="expression" dxfId="196" priority="26">
      <formula>NOT($D$210="At-Risk")</formula>
    </cfRule>
  </conditionalFormatting>
  <conditionalFormatting sqref="L506:AB506">
    <cfRule type="expression" dxfId="195" priority="24">
      <formula>AND(NOT(AC506="N/A"),AH506&lt;&gt;"",OR(L506="(specify here)",L506=""))</formula>
    </cfRule>
  </conditionalFormatting>
  <conditionalFormatting sqref="O518:AA518">
    <cfRule type="expression" dxfId="194" priority="23">
      <formula>AND(OR(AND(NOT(AC518="N/A"),AH518&lt;&gt;""),AND(NOT(AC519="N/A"),AH519&lt;&gt;""),AND(NOT(AC520="N/A"),AH520&lt;&gt;"")),OR(O518="(specify here)",O518=""))</formula>
    </cfRule>
  </conditionalFormatting>
  <conditionalFormatting sqref="O521:AA521">
    <cfRule type="expression" dxfId="193" priority="22">
      <formula>AND(OR(AND(NOT(AC521="N/A"),AH521&lt;&gt;""),AND(NOT(AC522="N/A"),AH522&lt;&gt;""),AND(NOT(AC523="N/A"),AH523&lt;&gt;"")),OR(O521="(specify here)",O521=""))</formula>
    </cfRule>
  </conditionalFormatting>
  <conditionalFormatting sqref="O524:AA524">
    <cfRule type="expression" dxfId="192" priority="21">
      <formula>AND(OR(AND(NOT(AC524="N/A"),AH524&lt;&gt;""),AND(NOT(AC525="N/A"),AH525&lt;&gt;""),AND(NOT(AC526="N/A"),AH526&lt;&gt;"")),OR(O524="(specify here)",O524=""))</formula>
    </cfRule>
  </conditionalFormatting>
  <conditionalFormatting sqref="O527:AA527">
    <cfRule type="expression" dxfId="191" priority="20">
      <formula>AND(OR(AND(NOT(AC527="N/A"),AH527&lt;&gt;""),AND(NOT(AC528="N/A"),AH528&lt;&gt;""),AND(NOT(AC529="N/A"),AH529&lt;&gt;"")),OR(O527="(specify here)",O527=""))</formula>
    </cfRule>
  </conditionalFormatting>
  <conditionalFormatting sqref="O530:AA530">
    <cfRule type="expression" dxfId="190" priority="19">
      <formula>AND(OR(AND(NOT(AC530="N/A"),AH530&lt;&gt;""),AND(NOT(AC531="N/A"),AH531&lt;&gt;""),AND(NOT(AC532="N/A"),AH532&lt;&gt;"")),OR(O530="(specify here)",O530=""))</formula>
    </cfRule>
  </conditionalFormatting>
  <conditionalFormatting sqref="O533:AA533">
    <cfRule type="expression" dxfId="189" priority="18">
      <formula>AND(OR(AND(NOT(AC533="N/A"),AH533&lt;&gt;""),AND(NOT(AC534="N/A"),AH534&lt;&gt;""),AND(NOT(AC535="N/A"),AH535&lt;&gt;"")),OR(O533="(specify here)",O533=""))</formula>
    </cfRule>
  </conditionalFormatting>
  <conditionalFormatting sqref="Q551:AS561 C551:C561 AC624:AS634 Q624:Z634">
    <cfRule type="expression" dxfId="188" priority="17">
      <formula>$AT551="!"</formula>
    </cfRule>
  </conditionalFormatting>
  <conditionalFormatting sqref="C624:C634">
    <cfRule type="expression" dxfId="187" priority="16">
      <formula>$AT624="!"</formula>
    </cfRule>
  </conditionalFormatting>
  <conditionalFormatting sqref="E703:AK703">
    <cfRule type="expression" dxfId="186" priority="15">
      <formula>AND($W$702="Other",OR($E$703="(specify here)",$E$703=""))</formula>
    </cfRule>
  </conditionalFormatting>
  <conditionalFormatting sqref="B740:AH741">
    <cfRule type="expression" dxfId="185" priority="14">
      <formula>NOT($D$210="Special Needs")</formula>
    </cfRule>
  </conditionalFormatting>
  <conditionalFormatting sqref="AG742:AJ742">
    <cfRule type="expression" dxfId="184" priority="12">
      <formula>NOT($D$210="Special Needs")</formula>
    </cfRule>
  </conditionalFormatting>
  <conditionalFormatting sqref="U742">
    <cfRule type="expression" dxfId="183" priority="13">
      <formula>NOT($D$210="Special Needs")</formula>
    </cfRule>
  </conditionalFormatting>
  <conditionalFormatting sqref="P800:Y800">
    <cfRule type="expression" dxfId="182" priority="11">
      <formula>AND(Z800&lt;&gt;"",OR(P800="(specify here)",P800=""))</formula>
    </cfRule>
  </conditionalFormatting>
  <conditionalFormatting sqref="F815:L815">
    <cfRule type="expression" dxfId="181" priority="10">
      <formula>AND(OR(M815&lt;&gt;"",$Q$795&lt;&gt;"",$U$795&lt;&gt;"",$Y$795&lt;&gt;"",$AC$795&lt;&gt;"",$AG$795&lt;&gt;"",SUM($M$815:$AJ$815)&gt;0),OR(F815="(specify here)",F815=""))</formula>
    </cfRule>
  </conditionalFormatting>
  <conditionalFormatting sqref="M830:V830">
    <cfRule type="expression" dxfId="180" priority="9">
      <formula>AND(W830&lt;&gt;"",OR(M830="(specify here)",M830=""))</formula>
    </cfRule>
  </conditionalFormatting>
  <conditionalFormatting sqref="M845:V845">
    <cfRule type="expression" dxfId="179" priority="8">
      <formula>AND(W845&lt;&gt;"",OR(M845="(specify here)",M845=""))</formula>
    </cfRule>
  </conditionalFormatting>
  <conditionalFormatting sqref="M855:V855">
    <cfRule type="expression" dxfId="178" priority="7">
      <formula>AND(W855&lt;&gt;"",OR(M855="(specify here)",M855=""))</formula>
    </cfRule>
  </conditionalFormatting>
  <conditionalFormatting sqref="M858:V862">
    <cfRule type="expression" dxfId="177" priority="6">
      <formula>AND(W858&lt;&gt;"",OR(M858="(specify here)",M858=""))</formula>
    </cfRule>
  </conditionalFormatting>
  <conditionalFormatting sqref="C877:AB877">
    <cfRule type="expression" dxfId="176" priority="4">
      <formula>AND(AC877&lt;&gt;"",OR(C877="Other (Specify):",C877=""))</formula>
    </cfRule>
  </conditionalFormatting>
  <conditionalFormatting sqref="C878:AB878">
    <cfRule type="expression" dxfId="175" priority="2">
      <formula>AND(AC878&lt;&gt;"",OR(C878="Other (Specify):",C878=""))</formula>
    </cfRule>
  </conditionalFormatting>
  <conditionalFormatting sqref="W944:AG944">
    <cfRule type="expression" dxfId="174" priority="1">
      <formula>AND($AA$923&lt;&gt;"",OR($W$922="",$W$922="(specify here)"))</formula>
    </cfRule>
  </conditionalFormatting>
  <dataValidations xWindow="329" yWindow="269" count="57">
    <dataValidation type="list" allowBlank="1" showInputMessage="1" showErrorMessage="1" sqref="S412:T412 A1042:B1042 AE424:AF424 A1049:B1049 A1064:B1064 A1068:B1068 A1060:B1060 A1030:B1030 A1036:B1036 R410:S411 A1052:B1052 A1057:B1057 M354:N357" xr:uid="{00000000-0002-0000-0400-000000000000}">
      <formula1>"N/A, Yes"</formula1>
    </dataValidation>
    <dataValidation type="list" allowBlank="1" showInputMessage="1" showErrorMessage="1" sqref="O944 N685 AG685 AG661 N661 AG669 N669 AG677 N677 AG611 AG645 N645 AG653 N653 AG603 AG595 N587 AG587 N603 AG579 N595 N571 N611 N579 AG571 Y198 O33:P33 X180 R177 AP204 T194:T196" xr:uid="{00000000-0002-0000-0400-000001000000}">
      <formula1>"Yes, No"</formula1>
    </dataValidation>
    <dataValidation type="list" allowBlank="1" showInputMessage="1" showErrorMessage="1" sqref="AG976 AG985 AG994 AG963 AG966 AG1001 Q487 AG972 AG978 AG981 AG990 AG997 AG1006" xr:uid="{00000000-0002-0000-0400-000002000000}">
      <formula1>"Yes,No"</formula1>
    </dataValidation>
    <dataValidation type="list" allowBlank="1" showInputMessage="1" showErrorMessage="1" sqref="J989" xr:uid="{00000000-0002-0000-0400-000003000000}">
      <formula1>"N/A,Seismic Upgrading, Environmental Mitigation"</formula1>
    </dataValidation>
    <dataValidation type="list" showInputMessage="1" showErrorMessage="1" sqref="Z271:AD271" xr:uid="{00000000-0002-0000-0400-000004000000}">
      <formula1>"Nonprofit, For-Profit, N/A"</formula1>
    </dataValidation>
    <dataValidation type="list" allowBlank="1" showInputMessage="1" showErrorMessage="1" sqref="AE698:AF698 Q428:R428 AE689:AF690 Z431:AA431 AI391:AJ391 AI388:AJ388 AI396:AJ396" xr:uid="{00000000-0002-0000-0400-000005000000}">
      <formula1>"No, Yes"</formula1>
    </dataValidation>
    <dataValidation type="decimal" allowBlank="1" showInputMessage="1" showErrorMessage="1" error="example: enter 30 for 30%, hit cancel and try again._x000a_" sqref="AC714:AC738 AD716:AG738 AH772:AL781 AI759:AJ762 AH758:AH761 AK758:AL761" xr:uid="{00000000-0002-0000-0400-000006000000}">
      <formula1>0</formula1>
      <formula2>1</formula2>
    </dataValidation>
    <dataValidation type="list" allowBlank="1" showInputMessage="1" showErrorMessage="1" sqref="W702:AK702" xr:uid="{00000000-0002-0000-0400-000007000000}">
      <formula1>"(select one),FHA Insurance, Private Mortgage Insurance, Letter(s) of Credit, Other"</formula1>
    </dataValidation>
    <dataValidation type="list" showInputMessage="1" showErrorMessage="1" sqref="Z433 AF429" xr:uid="{00000000-0002-0000-0400-000008000000}">
      <formula1>$BN$342:$BN$344</formula1>
    </dataValidation>
    <dataValidation type="list" allowBlank="1" showInputMessage="1" showErrorMessage="1" sqref="Y363:Z363 N362:O362 J366:K366 AJ356:AK356 AJ354:AK354" xr:uid="{00000000-0002-0000-0400-000009000000}">
      <formula1>"N/A, Yes, No"</formula1>
    </dataValidation>
    <dataValidation type="list" showInputMessage="1" showErrorMessage="1" sqref="J764:K764" xr:uid="{00000000-0002-0000-0400-00000A000000}">
      <formula1>"No,Yes"</formula1>
    </dataValidation>
    <dataValidation type="list" allowBlank="1" showInputMessage="1" showErrorMessage="1" sqref="U901:U92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4:AI197 AH210:AI210" xr:uid="{00000000-0002-0000-0400-00000D000000}">
      <formula1>0</formula1>
      <formula2>999</formula2>
    </dataValidation>
    <dataValidation type="list" showInputMessage="1" showErrorMessage="1" sqref="D207:M207" xr:uid="{00000000-0002-0000-0400-00000E000000}">
      <formula1>"(select one),20%/50%,40%/60%,40%/60% Average Income"</formula1>
    </dataValidation>
    <dataValidation showInputMessage="1" showErrorMessage="1" sqref="W267" xr:uid="{00000000-0002-0000-0400-00000F000000}"/>
    <dataValidation type="list" allowBlank="1" showInputMessage="1" showErrorMessage="1" sqref="BN785:BO785" xr:uid="{00000000-0002-0000-0400-000010000000}">
      <formula1>$BN$787:$BN$788</formula1>
    </dataValidation>
    <dataValidation type="list" allowBlank="1" showInputMessage="1" showErrorMessage="1" sqref="M256:T256 M264:T264 M248:T248" xr:uid="{00000000-0002-0000-0400-000011000000}">
      <formula1>"(select one),Nonprofit, For Profit"</formula1>
    </dataValidation>
    <dataValidation type="list" allowBlank="1" showInputMessage="1" showErrorMessage="1" sqref="AI225:AJ228"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P916:T916 S400:U400" xr:uid="{00000000-0002-0000-0400-000014000000}">
      <formula1>"No,Yes"</formula1>
    </dataValidation>
    <dataValidation type="list" allowBlank="1" showInputMessage="1" showErrorMessage="1" sqref="M942:S942" xr:uid="{00000000-0002-0000-0400-000015000000}">
      <formula1>"(select one),Project-based vouchers,Project-based contract"</formula1>
    </dataValidation>
    <dataValidation type="list" allowBlank="1" showInputMessage="1" showErrorMessage="1" sqref="M939:S939" xr:uid="{00000000-0002-0000-0400-000016000000}">
      <formula1>"N/A,IRP,Decoupled IRP"</formula1>
    </dataValidation>
    <dataValidation type="list" allowBlank="1" showInputMessage="1" showErrorMessage="1" sqref="AF242:AK242 AF250:AK250 AF258:AK258" xr:uid="{00000000-0002-0000-0400-000017000000}">
      <formula1>"(select one),Managing GP,Administrative GP"</formula1>
    </dataValidation>
    <dataValidation type="list" allowBlank="1" showInputMessage="1" showErrorMessage="1" sqref="AG378:AH379 V380:W381 AD744:AF744" xr:uid="{00000000-0002-0000-0400-000018000000}">
      <formula1>"N/A,Yes,No"</formula1>
    </dataValidation>
    <dataValidation type="list" allowBlank="1" showInputMessage="1" showErrorMessage="1" sqref="Q364" xr:uid="{00000000-0002-0000-0400-000019000000}">
      <formula1>"N/A,Appraisal,Third party debt encumbering the seller's property"</formula1>
    </dataValidation>
    <dataValidation type="whole" operator="greaterThanOrEqual" allowBlank="1" showInputMessage="1" showErrorMessage="1" sqref="Z790:AE790 AG393:AJ393 Q623:V634 Q550:V561 AE550:AH561 AC623:AE634" xr:uid="{00000000-0002-0000-0400-00001A000000}">
      <formula1>0</formula1>
    </dataValidation>
    <dataValidation type="list" allowBlank="1" showInputMessage="1" showErrorMessage="1" sqref="Z550:AD561" xr:uid="{00000000-0002-0000-0400-00001B000000}">
      <formula1>"(select),Fixed,Variable,N/A"</formula1>
    </dataValidation>
    <dataValidation type="list" allowBlank="1" showInputMessage="1" showErrorMessage="1" sqref="I409:AE409"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27 AB927" xr:uid="{00000000-0002-0000-0400-00001E000000}">
      <formula1>"(select one),Project-based vouchers (PBVs),Project-based contract (PBC),RAD conversion - PBVs, RAD conversion - PBC"</formula1>
    </dataValidation>
    <dataValidation type="list" allowBlank="1" showInputMessage="1" showErrorMessage="1" sqref="D213" xr:uid="{00000000-0002-0000-0400-00001F000000}">
      <formula1>$BH$189:$BH$193</formula1>
    </dataValidation>
    <dataValidation type="list" showInputMessage="1" showErrorMessage="1" sqref="D219:Z219" xr:uid="{00000000-0002-0000-0400-000020000000}">
      <formula1>$BC$197:$BC$209</formula1>
    </dataValidation>
    <dataValidation type="whole" allowBlank="1" showInputMessage="1" showErrorMessage="1" sqref="AG407:AJ407" xr:uid="{00000000-0002-0000-0400-000021000000}">
      <formula1>0</formula1>
      <formula2>AG394</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"Highest Resource,High Resource, Moderate Resource (Rapidly Changing),Moderate Resource,Low Resource,High Segregation &amp; Poverty,Missing/Insufficient Data"</formula1>
    </dataValidation>
    <dataValidation type="list" allowBlank="1" showInputMessage="1" showErrorMessage="1" sqref="S401:U401" xr:uid="{00000000-0002-0000-0400-000024000000}">
      <formula1>"N/A,No,Yes"</formula1>
    </dataValidation>
    <dataValidation type="list" allowBlank="1" showInputMessage="1" showErrorMessage="1" sqref="S404:AJ404" xr:uid="{00000000-0002-0000-0400-000025000000}">
      <formula1>"(select),Secured by Leasehold Interest,Secured by Fee Interest,Secured by both Leasehold &amp; Fee Interests,Other"</formula1>
    </dataValidation>
    <dataValidation type="whole" allowBlank="1" showInputMessage="1" showErrorMessage="1" sqref="AG400:AJ400 AG394:AJ395" xr:uid="{00000000-0002-0000-0400-000026000000}">
      <formula1>0</formula1>
      <formula2>AG393</formula2>
    </dataValidation>
    <dataValidation type="whole" allowBlank="1" showInputMessage="1" showErrorMessage="1" sqref="AG399:AJ399" xr:uid="{00000000-0002-0000-0400-000027000000}">
      <formula1>0</formula1>
      <formula2>AG394</formula2>
    </dataValidation>
    <dataValidation type="whole" allowBlank="1" showInputMessage="1" showErrorMessage="1" sqref="AG396:AH396" xr:uid="{00000000-0002-0000-0400-000028000000}">
      <formula1>0</formula1>
      <formula2>AG394</formula2>
    </dataValidation>
    <dataValidation type="list" showInputMessage="1" showErrorMessage="1" sqref="AC512:AF540 AC499:AF506" xr:uid="{00000000-0002-0000-0400-000029000000}">
      <formula1>"N/A,1,2,3,4,5,6,7,8,9,10,11,12"</formula1>
    </dataValidation>
    <dataValidation type="list" allowBlank="1" showInputMessage="1" showErrorMessage="1" sqref="AC507:AF507" xr:uid="{00000000-0002-0000-0400-00002A000000}">
      <formula1>"(select),Yes,No"</formula1>
    </dataValidation>
    <dataValidation type="list" allowBlank="1" showInputMessage="1" showErrorMessage="1" sqref="D269:H269" xr:uid="{00000000-0002-0000-0400-00002B000000}">
      <formula1>$BB$244:$BB$246</formula1>
    </dataValidation>
    <dataValidation type="list" allowBlank="1" showInputMessage="1" showErrorMessage="1" sqref="B714:F738 J772:N781 J758:N761" xr:uid="{00000000-0002-0000-0400-00002C000000}">
      <formula1>$BA$594:$BA$600</formula1>
    </dataValidation>
    <dataValidation type="list" allowBlank="1" showInputMessage="1" showErrorMessage="1" sqref="M237:T237" xr:uid="{00000000-0002-0000-0400-00002D000000}">
      <formula1>$BC$212:$BC$220</formula1>
    </dataValidation>
    <dataValidation type="list" allowBlank="1" showInputMessage="1" showErrorMessage="1" sqref="Z623:AB634" xr:uid="{00000000-0002-0000-0400-00002E000000}">
      <formula1>$BA$623:$BA$627</formula1>
    </dataValidation>
    <dataValidation type="list" allowBlank="1" showInputMessage="1" showErrorMessage="1" sqref="Z203" xr:uid="{00000000-0002-0000-0400-00002F000000}">
      <formula1>"(select),$500M,15% set-aside,15% set-aside with qualifying low value rehab"</formula1>
    </dataValidation>
    <dataValidation type="list" showInputMessage="1" showErrorMessage="1" sqref="D210:M210" xr:uid="{00000000-0002-0000-0400-000030000000}">
      <formula1>$BC$189:$BC$195</formula1>
    </dataValidation>
    <dataValidation type="whole" operator="greaterThanOrEqual" allowBlank="1" showInputMessage="1" showErrorMessage="1" errorTitle="Must be a number" error="Enter a whole number greater than or equal to 0." sqref="AG742:AJ742" xr:uid="{D3597C99-085B-497C-957F-CC4B14654FA6}">
      <formula1>0</formula1>
    </dataValidation>
    <dataValidation type="list" allowBlank="1" showInputMessage="1" showErrorMessage="1" sqref="AK714:AO738" xr:uid="{715F0F72-F646-4B19-A88E-F10B1711DCC4}">
      <formula1>"Special Needs,Homeless,Veterans,N/A"</formula1>
    </dataValidation>
    <dataValidation type="whole" operator="greaterThanOrEqual" allowBlank="1" showInputMessage="1" showErrorMessage="1" errorTitle="Whole numbers only" error="If not applicable, leave blank or enter zero (0)." sqref="Y211:Z211"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32:AK932" xr:uid="{3015ADA4-3803-4925-A490-ECD1BD0E2A56}">
      <formula1>0</formula1>
    </dataValidation>
    <dataValidation type="list" allowBlank="1" showInputMessage="1" showErrorMessage="1" sqref="M550:P561 M623:P634" xr:uid="{F87116AC-A1B8-4398-BDC8-FEBBA6D1FE2D}">
      <formula1>ListofSources</formula1>
    </dataValidation>
    <dataValidation type="decimal" operator="greaterThanOrEqual" allowBlank="1" showInputMessage="1" showErrorMessage="1" sqref="W550:Y561 AI550:AS561 AF623:AS634 W623:Y634" xr:uid="{B50554E8-7617-41C3-9EF8-A6BF90A112B3}">
      <formula1>0</formula1>
    </dataValidation>
    <dataValidation type="whole" operator="greaterThanOrEqual" allowBlank="1" showInputMessage="1" showErrorMessage="1" error="Please enter a whole number. If none or N/A, enter 0." sqref="AJ355:AK355" xr:uid="{47EEA571-E5F8-4058-8A44-A100E6B032C7}">
      <formula1>0</formula1>
    </dataValidation>
    <dataValidation type="whole" operator="greaterThan" allowBlank="1" showInputMessage="1" showErrorMessage="1" error="Please enter the subsidy term as a number in years, no text." sqref="M932:S932" xr:uid="{329A175C-D81C-4A27-AB4D-86D6F9108F0D}">
      <formula1>0</formula1>
    </dataValidation>
  </dataValidations>
  <hyperlinks>
    <hyperlink ref="W200" r:id="rId2" xr:uid="{00000000-0004-0000-0400-000000000000}"/>
    <hyperlink ref="D164" r:id="rId3" display="http://www.treasurer.ca.gov/ctcac/2019/lra/contact.pdf" xr:uid="{00000000-0004-0000-0400-000001000000}"/>
    <hyperlink ref="D164:AH164" r:id="rId4" display="http://www.treasurer.ca.gov/ctcac/2018/lra/contact.pdf" xr:uid="{00000000-0004-0000-0400-000002000000}"/>
  </hyperlinks>
  <printOptions horizontalCentered="1"/>
  <pageMargins left="0.5" right="0.5" top="1" bottom="1" header="0.5" footer="0.5"/>
  <pageSetup scale="83" fitToHeight="25" orientation="portrait" useFirstPageNumber="1" r:id="rId5"/>
  <headerFooter alignWithMargins="0">
    <oddFooter>&amp;C&amp;P&amp;R&amp;A</oddFooter>
  </headerFooter>
  <rowBreaks count="21" manualBreakCount="21">
    <brk id="118" max="44" man="1"/>
    <brk id="168" max="44" man="1"/>
    <brk id="220" max="44" man="1"/>
    <brk id="280" max="44" man="1"/>
    <brk id="341" max="44" man="1"/>
    <brk id="349" max="44" man="1"/>
    <brk id="407" max="44" man="1"/>
    <brk id="456" max="44" man="1"/>
    <brk id="477" max="44" man="1"/>
    <brk id="510" max="44" man="1"/>
    <brk id="541" max="44" man="1"/>
    <brk id="596" max="44" man="1"/>
    <brk id="612" max="44" man="1"/>
    <brk id="670" max="44" man="1"/>
    <brk id="704" max="44" man="1"/>
    <brk id="823" max="44" man="1"/>
    <brk id="879" max="44" man="1"/>
    <brk id="892" max="44" man="1"/>
    <brk id="948" max="44" man="1"/>
    <brk id="1005" max="44" man="1"/>
    <brk id="1025" max="4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showZeros="0" topLeftCell="A69" zoomScaleNormal="100" zoomScaleSheetLayoutView="90" workbookViewId="0">
      <selection activeCell="C87" sqref="C8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49" t="s">
        <v>630</v>
      </c>
      <c r="G1" s="1850"/>
      <c r="H1" s="1850"/>
      <c r="I1" s="1850"/>
      <c r="J1" s="1850"/>
      <c r="K1" s="1850"/>
      <c r="L1" s="1850"/>
      <c r="M1" s="1850"/>
      <c r="N1" s="1850"/>
      <c r="O1" s="1850"/>
      <c r="P1" s="1850"/>
      <c r="Q1" s="1850"/>
      <c r="R1" s="1851"/>
      <c r="S1" s="112"/>
      <c r="T1" s="111"/>
      <c r="U1" s="113"/>
    </row>
    <row r="2" spans="1:21" s="138" customFormat="1" ht="71.25" customHeight="1">
      <c r="A2" s="137"/>
      <c r="B2" s="138" t="s">
        <v>23</v>
      </c>
      <c r="C2" s="138" t="s">
        <v>375</v>
      </c>
      <c r="D2" s="138" t="s">
        <v>374</v>
      </c>
      <c r="E2" s="138" t="s">
        <v>24</v>
      </c>
      <c r="F2" s="139" t="str">
        <f>Application!B623&amp;Application!C623</f>
        <v>1)Citibank, N.A.</v>
      </c>
      <c r="G2" s="139" t="str">
        <f>Application!B624&amp;Application!C624</f>
        <v>2)NOI During Construction</v>
      </c>
      <c r="H2" s="139" t="str">
        <f>Application!B625&amp;Application!C625</f>
        <v>3)USA Multi-Family Development, Inc.</v>
      </c>
      <c r="I2" s="139" t="str">
        <f>Application!B626&amp;Application!C626</f>
        <v>4)</v>
      </c>
      <c r="J2" s="139" t="str">
        <f>Application!B627&amp;Application!C627</f>
        <v>5)</v>
      </c>
      <c r="K2" s="139" t="str">
        <f>Application!B628&amp;Application!C628</f>
        <v>6)</v>
      </c>
      <c r="L2" s="139" t="str">
        <f>Application!B629&amp;Application!C629</f>
        <v>7)</v>
      </c>
      <c r="M2" s="139" t="str">
        <f>Application!B630&amp;Application!C630</f>
        <v>8)</v>
      </c>
      <c r="N2" s="139" t="str">
        <f>Application!B631&amp;Application!C631</f>
        <v>9)</v>
      </c>
      <c r="O2" s="139" t="str">
        <f>Application!B632&amp;Application!C632</f>
        <v>10)</v>
      </c>
      <c r="P2" s="139" t="str">
        <f>Application!B633&amp;Application!C633</f>
        <v>11)</v>
      </c>
      <c r="Q2" s="139" t="str">
        <f>Application!B634&amp;Application!C634</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v>
      </c>
      <c r="C4" s="147">
        <v>1</v>
      </c>
      <c r="D4" s="147"/>
      <c r="E4" s="147">
        <v>1</v>
      </c>
      <c r="F4" s="147"/>
      <c r="G4" s="147"/>
      <c r="H4" s="147"/>
      <c r="I4" s="147"/>
      <c r="J4" s="147"/>
      <c r="K4" s="147"/>
      <c r="L4" s="147"/>
      <c r="M4" s="147"/>
      <c r="N4" s="147"/>
      <c r="O4" s="147"/>
      <c r="P4" s="147"/>
      <c r="Q4" s="147"/>
      <c r="R4" s="551">
        <f>SUM(E4:Q4)</f>
        <v>1</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1">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1">
        <f>SUM(E6:Q6)</f>
        <v>0</v>
      </c>
      <c r="S6" s="148"/>
      <c r="T6" s="148"/>
      <c r="U6" s="143"/>
    </row>
    <row r="7" spans="1:21" s="144" customFormat="1">
      <c r="A7" s="145" t="s">
        <v>98</v>
      </c>
      <c r="B7" s="146">
        <f>SUM(C7+D7)</f>
        <v>0</v>
      </c>
      <c r="C7" s="147"/>
      <c r="D7" s="147"/>
      <c r="E7" s="147"/>
      <c r="F7" s="147"/>
      <c r="G7" s="147"/>
      <c r="H7" s="147"/>
      <c r="I7" s="147"/>
      <c r="J7" s="147"/>
      <c r="K7" s="147"/>
      <c r="L7" s="147"/>
      <c r="M7" s="147"/>
      <c r="N7" s="147"/>
      <c r="O7" s="147"/>
      <c r="P7" s="147"/>
      <c r="Q7" s="147"/>
      <c r="R7" s="551">
        <f>SUM(E7:Q7)</f>
        <v>0</v>
      </c>
      <c r="S7" s="148"/>
      <c r="T7" s="148"/>
      <c r="U7" s="143"/>
    </row>
    <row r="8" spans="1:21" s="144" customFormat="1">
      <c r="A8" s="149" t="s">
        <v>602</v>
      </c>
      <c r="B8" s="146">
        <f>SUM(C8:D8)</f>
        <v>1</v>
      </c>
      <c r="C8" s="146">
        <f t="shared" ref="C8:Q8" si="0">SUM(C4:C7)</f>
        <v>1</v>
      </c>
      <c r="D8" s="146">
        <f t="shared" si="0"/>
        <v>0</v>
      </c>
      <c r="E8" s="146">
        <f t="shared" si="0"/>
        <v>1</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1">
        <f>SUM(R4:R7)</f>
        <v>1</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1">
        <f>SUM(E9:Q9)</f>
        <v>0</v>
      </c>
      <c r="S9" s="148"/>
      <c r="T9" s="147"/>
      <c r="U9" s="143"/>
    </row>
    <row r="10" spans="1:21" s="144" customFormat="1">
      <c r="A10" s="145" t="s">
        <v>604</v>
      </c>
      <c r="B10" s="146">
        <f>SUM(C10+D10)</f>
        <v>140614</v>
      </c>
      <c r="C10" s="147">
        <v>140614</v>
      </c>
      <c r="D10" s="147"/>
      <c r="E10" s="147">
        <v>140614</v>
      </c>
      <c r="F10" s="147"/>
      <c r="G10" s="147"/>
      <c r="H10" s="147"/>
      <c r="I10" s="147"/>
      <c r="J10" s="147"/>
      <c r="K10" s="147"/>
      <c r="L10" s="147"/>
      <c r="M10" s="147"/>
      <c r="N10" s="147"/>
      <c r="O10" s="147"/>
      <c r="P10" s="147"/>
      <c r="Q10" s="147"/>
      <c r="R10" s="551">
        <f>SUM(E10:Q10)</f>
        <v>140614</v>
      </c>
      <c r="S10" s="147">
        <f>R10</f>
        <v>140614</v>
      </c>
      <c r="T10" s="147"/>
      <c r="U10" s="143"/>
    </row>
    <row r="11" spans="1:21" s="144" customFormat="1">
      <c r="A11" s="149" t="s">
        <v>605</v>
      </c>
      <c r="B11" s="146">
        <f>SUM(C11:D11)</f>
        <v>140614</v>
      </c>
      <c r="C11" s="146">
        <f t="shared" ref="C11:Q11" si="1">SUM(C9:C10)</f>
        <v>140614</v>
      </c>
      <c r="D11" s="146">
        <f t="shared" si="1"/>
        <v>0</v>
      </c>
      <c r="E11" s="146">
        <f t="shared" si="1"/>
        <v>140614</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1">
        <f>SUM(R9:R10)</f>
        <v>140614</v>
      </c>
      <c r="S11" s="148"/>
      <c r="T11" s="150">
        <f>SUM(T9:T10)</f>
        <v>0</v>
      </c>
      <c r="U11" s="143"/>
    </row>
    <row r="12" spans="1:21" s="144" customFormat="1">
      <c r="A12" s="149" t="s">
        <v>85</v>
      </c>
      <c r="B12" s="146">
        <f t="shared" ref="B12:Q12" si="2">SUM(B8+B11)</f>
        <v>140615</v>
      </c>
      <c r="C12" s="146">
        <f t="shared" si="2"/>
        <v>140615</v>
      </c>
      <c r="D12" s="146">
        <f t="shared" si="2"/>
        <v>0</v>
      </c>
      <c r="E12" s="146">
        <f t="shared" si="2"/>
        <v>140615</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1">
        <f>SUM(R8+R11)</f>
        <v>140615</v>
      </c>
      <c r="S12" s="148"/>
      <c r="T12" s="148"/>
      <c r="U12" s="143"/>
    </row>
    <row r="13" spans="1:21" s="144" customFormat="1">
      <c r="A13" s="309" t="s">
        <v>935</v>
      </c>
      <c r="B13" s="146">
        <f>SUM(C13+D13)</f>
        <v>0</v>
      </c>
      <c r="C13" s="147"/>
      <c r="D13" s="147"/>
      <c r="E13" s="147"/>
      <c r="F13" s="147"/>
      <c r="G13" s="147"/>
      <c r="H13" s="147"/>
      <c r="I13" s="147"/>
      <c r="J13" s="147"/>
      <c r="K13" s="147"/>
      <c r="L13" s="147"/>
      <c r="M13" s="147"/>
      <c r="N13" s="147"/>
      <c r="O13" s="147"/>
      <c r="P13" s="147"/>
      <c r="Q13" s="147"/>
      <c r="R13" s="551">
        <f>SUM(E13:Q13)</f>
        <v>0</v>
      </c>
      <c r="S13" s="147"/>
      <c r="T13" s="147"/>
      <c r="U13" s="143"/>
    </row>
    <row r="14" spans="1:21" s="144" customFormat="1" ht="24">
      <c r="A14" s="310" t="s">
        <v>1823</v>
      </c>
      <c r="B14" s="146">
        <f>SUM(C14+D14)</f>
        <v>0</v>
      </c>
      <c r="C14" s="147"/>
      <c r="D14" s="147"/>
      <c r="E14" s="147"/>
      <c r="F14" s="147"/>
      <c r="G14" s="147"/>
      <c r="H14" s="147"/>
      <c r="I14" s="147"/>
      <c r="J14" s="147"/>
      <c r="K14" s="147"/>
      <c r="L14" s="147"/>
      <c r="M14" s="147"/>
      <c r="N14" s="147"/>
      <c r="O14" s="147"/>
      <c r="P14" s="147"/>
      <c r="Q14" s="147"/>
      <c r="R14" s="551">
        <f>SUM(E14:Q14)</f>
        <v>0</v>
      </c>
      <c r="S14" s="147"/>
      <c r="T14" s="147"/>
      <c r="U14" s="143"/>
    </row>
    <row r="15" spans="1:21" s="144" customFormat="1">
      <c r="A15" s="310" t="s">
        <v>1303</v>
      </c>
      <c r="B15" s="146">
        <f>SUM(C15+D15)</f>
        <v>0</v>
      </c>
      <c r="C15" s="147"/>
      <c r="D15" s="147"/>
      <c r="E15" s="147"/>
      <c r="F15" s="147"/>
      <c r="G15" s="147"/>
      <c r="H15" s="147"/>
      <c r="I15" s="147"/>
      <c r="J15" s="147"/>
      <c r="K15" s="147"/>
      <c r="L15" s="147"/>
      <c r="M15" s="147"/>
      <c r="N15" s="147"/>
      <c r="O15" s="147"/>
      <c r="P15" s="147"/>
      <c r="Q15" s="147"/>
      <c r="R15" s="551">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5" si="3">SUM(C17+D17)</f>
        <v>0</v>
      </c>
      <c r="C17" s="147"/>
      <c r="D17" s="147"/>
      <c r="E17" s="147"/>
      <c r="F17" s="147"/>
      <c r="G17" s="147"/>
      <c r="H17" s="147"/>
      <c r="I17" s="147"/>
      <c r="J17" s="147"/>
      <c r="K17" s="147"/>
      <c r="L17" s="147"/>
      <c r="M17" s="147"/>
      <c r="N17" s="147"/>
      <c r="O17" s="147"/>
      <c r="P17" s="147"/>
      <c r="Q17" s="147"/>
      <c r="R17" s="551">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1">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1">
        <f>SUM(E19:Q19)</f>
        <v>0</v>
      </c>
      <c r="S19" s="147"/>
      <c r="T19" s="147"/>
      <c r="U19" s="143"/>
    </row>
    <row r="20" spans="1:21" s="144" customFormat="1">
      <c r="A20" s="145" t="s">
        <v>138</v>
      </c>
      <c r="B20" s="146">
        <f t="shared" si="3"/>
        <v>0</v>
      </c>
      <c r="C20" s="147"/>
      <c r="D20" s="147"/>
      <c r="E20" s="147"/>
      <c r="F20" s="147"/>
      <c r="G20" s="147"/>
      <c r="H20" s="147"/>
      <c r="I20" s="147"/>
      <c r="J20" s="147"/>
      <c r="K20" s="147"/>
      <c r="L20" s="147"/>
      <c r="M20" s="147"/>
      <c r="N20" s="147"/>
      <c r="O20" s="147"/>
      <c r="P20" s="147"/>
      <c r="Q20" s="147"/>
      <c r="R20" s="551">
        <f t="shared" ref="R20:R27" si="4">SUM(E20:Q20)</f>
        <v>0</v>
      </c>
      <c r="S20" s="147"/>
      <c r="T20" s="147"/>
      <c r="U20" s="143"/>
    </row>
    <row r="21" spans="1:21" s="144" customFormat="1">
      <c r="A21" s="145" t="s">
        <v>139</v>
      </c>
      <c r="B21" s="146">
        <f t="shared" si="3"/>
        <v>0</v>
      </c>
      <c r="C21" s="147"/>
      <c r="D21" s="147"/>
      <c r="E21" s="147"/>
      <c r="F21" s="147"/>
      <c r="G21" s="147"/>
      <c r="H21" s="147"/>
      <c r="I21" s="147"/>
      <c r="J21" s="147"/>
      <c r="K21" s="147"/>
      <c r="L21" s="147"/>
      <c r="M21" s="147"/>
      <c r="N21" s="147"/>
      <c r="O21" s="147"/>
      <c r="P21" s="147"/>
      <c r="Q21" s="147"/>
      <c r="R21" s="551">
        <f t="shared" si="4"/>
        <v>0</v>
      </c>
      <c r="S21" s="147"/>
      <c r="T21" s="147"/>
      <c r="U21" s="143"/>
    </row>
    <row r="22" spans="1:21" s="144" customFormat="1">
      <c r="A22" s="145" t="s">
        <v>140</v>
      </c>
      <c r="B22" s="146">
        <f t="shared" si="3"/>
        <v>0</v>
      </c>
      <c r="C22" s="147"/>
      <c r="D22" s="147"/>
      <c r="E22" s="147"/>
      <c r="F22" s="147"/>
      <c r="G22" s="147"/>
      <c r="H22" s="147"/>
      <c r="I22" s="147"/>
      <c r="J22" s="147"/>
      <c r="K22" s="147"/>
      <c r="L22" s="147"/>
      <c r="M22" s="147"/>
      <c r="N22" s="147"/>
      <c r="O22" s="147"/>
      <c r="P22" s="147"/>
      <c r="Q22" s="147"/>
      <c r="R22" s="551">
        <f t="shared" si="4"/>
        <v>0</v>
      </c>
      <c r="S22" s="147"/>
      <c r="T22" s="147"/>
      <c r="U22" s="143"/>
    </row>
    <row r="23" spans="1:21" s="144" customFormat="1">
      <c r="A23" s="145" t="s">
        <v>141</v>
      </c>
      <c r="B23" s="146">
        <f t="shared" si="3"/>
        <v>0</v>
      </c>
      <c r="C23" s="147"/>
      <c r="D23" s="147"/>
      <c r="E23" s="147"/>
      <c r="F23" s="147"/>
      <c r="G23" s="147"/>
      <c r="H23" s="147"/>
      <c r="I23" s="147"/>
      <c r="J23" s="147"/>
      <c r="K23" s="147"/>
      <c r="L23" s="147"/>
      <c r="M23" s="147"/>
      <c r="N23" s="147"/>
      <c r="O23" s="147"/>
      <c r="P23" s="147"/>
      <c r="Q23" s="147"/>
      <c r="R23" s="551">
        <f t="shared" si="4"/>
        <v>0</v>
      </c>
      <c r="S23" s="147"/>
      <c r="T23" s="147"/>
      <c r="U23" s="143"/>
    </row>
    <row r="24" spans="1:21" s="144" customFormat="1">
      <c r="A24" s="543" t="s">
        <v>1820</v>
      </c>
      <c r="B24" s="146">
        <f t="shared" si="3"/>
        <v>0</v>
      </c>
      <c r="C24" s="147"/>
      <c r="D24" s="147"/>
      <c r="E24" s="147"/>
      <c r="F24" s="147"/>
      <c r="G24" s="147"/>
      <c r="H24" s="147"/>
      <c r="I24" s="147"/>
      <c r="J24" s="147"/>
      <c r="K24" s="147"/>
      <c r="L24" s="147"/>
      <c r="M24" s="147"/>
      <c r="N24" s="147"/>
      <c r="O24" s="147"/>
      <c r="P24" s="147"/>
      <c r="Q24" s="147"/>
      <c r="R24" s="551">
        <f t="shared" si="4"/>
        <v>0</v>
      </c>
      <c r="S24" s="147"/>
      <c r="T24" s="147"/>
      <c r="U24" s="143"/>
    </row>
    <row r="25" spans="1:21" s="144" customFormat="1">
      <c r="A25" s="1202" t="s">
        <v>34</v>
      </c>
      <c r="B25" s="146">
        <f t="shared" si="3"/>
        <v>0</v>
      </c>
      <c r="C25" s="147"/>
      <c r="D25" s="147"/>
      <c r="E25" s="147"/>
      <c r="F25" s="147"/>
      <c r="G25" s="147"/>
      <c r="H25" s="147"/>
      <c r="I25" s="147"/>
      <c r="J25" s="147"/>
      <c r="K25" s="147"/>
      <c r="L25" s="147"/>
      <c r="M25" s="147"/>
      <c r="N25" s="147"/>
      <c r="O25" s="147"/>
      <c r="P25" s="147"/>
      <c r="Q25" s="147"/>
      <c r="R25" s="551">
        <f t="shared" si="4"/>
        <v>0</v>
      </c>
      <c r="S25" s="147"/>
      <c r="T25" s="147"/>
      <c r="U25" s="143"/>
    </row>
    <row r="26" spans="1:21" s="144" customFormat="1">
      <c r="A26" s="149" t="s">
        <v>134</v>
      </c>
      <c r="B26" s="146">
        <f t="shared" ref="B26" si="5">SUM(C26+D26)</f>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1">
        <f>SUM(R17:R25)</f>
        <v>0</v>
      </c>
      <c r="S26" s="150">
        <f>SUM(S17:S25)</f>
        <v>0</v>
      </c>
      <c r="T26" s="150">
        <f>SUM(T17:T25)</f>
        <v>0</v>
      </c>
      <c r="U26" s="143"/>
    </row>
    <row r="27" spans="1:21" s="144" customFormat="1">
      <c r="A27" s="149" t="s">
        <v>142</v>
      </c>
      <c r="B27" s="146">
        <f>SUM(C27:D27)</f>
        <v>0</v>
      </c>
      <c r="C27" s="147"/>
      <c r="D27" s="147"/>
      <c r="E27" s="147"/>
      <c r="F27" s="147"/>
      <c r="G27" s="147"/>
      <c r="H27" s="147"/>
      <c r="I27" s="147"/>
      <c r="J27" s="147"/>
      <c r="K27" s="147"/>
      <c r="L27" s="147"/>
      <c r="M27" s="147"/>
      <c r="N27" s="147"/>
      <c r="O27" s="147"/>
      <c r="P27" s="147"/>
      <c r="Q27" s="147"/>
      <c r="R27" s="551">
        <f t="shared" si="4"/>
        <v>0</v>
      </c>
      <c r="S27" s="147"/>
      <c r="T27" s="147"/>
      <c r="U27" s="143"/>
    </row>
    <row r="28" spans="1:21" s="144" customFormat="1">
      <c r="A28" s="141" t="s">
        <v>143</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7" si="7">SUM(C29+D29)</f>
        <v>4687119</v>
      </c>
      <c r="C29" s="147">
        <v>4687119</v>
      </c>
      <c r="D29" s="147"/>
      <c r="E29" s="147"/>
      <c r="F29" s="147">
        <v>4687119</v>
      </c>
      <c r="G29" s="147"/>
      <c r="H29" s="147"/>
      <c r="I29" s="147"/>
      <c r="J29" s="147"/>
      <c r="K29" s="147"/>
      <c r="L29" s="147"/>
      <c r="M29" s="147"/>
      <c r="N29" s="147"/>
      <c r="O29" s="147"/>
      <c r="P29" s="147"/>
      <c r="Q29" s="147"/>
      <c r="R29" s="551">
        <f t="shared" ref="R29:R37" si="8">SUM(E29:Q29)</f>
        <v>4687119</v>
      </c>
      <c r="S29" s="147">
        <f>R29</f>
        <v>4687119</v>
      </c>
      <c r="T29" s="147"/>
      <c r="U29" s="143"/>
    </row>
    <row r="30" spans="1:21" s="144" customFormat="1">
      <c r="A30" s="145" t="s">
        <v>608</v>
      </c>
      <c r="B30" s="146">
        <f t="shared" si="7"/>
        <v>25879312</v>
      </c>
      <c r="C30" s="147">
        <v>25879312</v>
      </c>
      <c r="D30" s="147"/>
      <c r="E30" s="147">
        <f>C30-F30</f>
        <v>9446431</v>
      </c>
      <c r="F30" s="147">
        <v>16432881</v>
      </c>
      <c r="G30" s="147"/>
      <c r="H30" s="147"/>
      <c r="I30" s="147"/>
      <c r="J30" s="147"/>
      <c r="K30" s="147"/>
      <c r="L30" s="147"/>
      <c r="M30" s="147"/>
      <c r="N30" s="147"/>
      <c r="O30" s="147"/>
      <c r="P30" s="147"/>
      <c r="Q30" s="147"/>
      <c r="R30" s="551">
        <f t="shared" si="8"/>
        <v>25879312</v>
      </c>
      <c r="S30" s="147">
        <f t="shared" ref="S30:S37" si="9">R30</f>
        <v>25879312</v>
      </c>
      <c r="T30" s="147"/>
      <c r="U30" s="143"/>
    </row>
    <row r="31" spans="1:21" s="144" customFormat="1">
      <c r="A31" s="145" t="s">
        <v>609</v>
      </c>
      <c r="B31" s="146">
        <f t="shared" si="7"/>
        <v>1235000</v>
      </c>
      <c r="C31" s="147">
        <v>1235000</v>
      </c>
      <c r="D31" s="147"/>
      <c r="E31" s="147">
        <f>C31</f>
        <v>1235000</v>
      </c>
      <c r="F31" s="147"/>
      <c r="G31" s="147"/>
      <c r="H31" s="147"/>
      <c r="I31" s="147"/>
      <c r="J31" s="147"/>
      <c r="K31" s="147"/>
      <c r="L31" s="147"/>
      <c r="M31" s="147"/>
      <c r="N31" s="147"/>
      <c r="O31" s="147"/>
      <c r="P31" s="147"/>
      <c r="Q31" s="147"/>
      <c r="R31" s="551">
        <f t="shared" si="8"/>
        <v>1235000</v>
      </c>
      <c r="S31" s="147">
        <f t="shared" si="9"/>
        <v>1235000</v>
      </c>
      <c r="T31" s="147"/>
      <c r="U31" s="143"/>
    </row>
    <row r="32" spans="1:21" s="144" customFormat="1">
      <c r="A32" s="145" t="s">
        <v>138</v>
      </c>
      <c r="B32" s="146">
        <f t="shared" si="7"/>
        <v>1593608</v>
      </c>
      <c r="C32" s="147">
        <v>1593608</v>
      </c>
      <c r="D32" s="147"/>
      <c r="E32" s="147">
        <f t="shared" ref="E32:E35" si="10">C32</f>
        <v>1593608</v>
      </c>
      <c r="F32" s="147"/>
      <c r="G32" s="147"/>
      <c r="H32" s="147"/>
      <c r="I32" s="147"/>
      <c r="J32" s="147"/>
      <c r="K32" s="147"/>
      <c r="L32" s="147"/>
      <c r="M32" s="147"/>
      <c r="N32" s="147"/>
      <c r="O32" s="147"/>
      <c r="P32" s="147"/>
      <c r="Q32" s="147"/>
      <c r="R32" s="551">
        <f t="shared" si="8"/>
        <v>1593608</v>
      </c>
      <c r="S32" s="147">
        <f t="shared" si="9"/>
        <v>1593608</v>
      </c>
      <c r="T32" s="147"/>
      <c r="U32" s="143"/>
    </row>
    <row r="33" spans="1:21" s="144" customFormat="1">
      <c r="A33" s="145" t="s">
        <v>139</v>
      </c>
      <c r="B33" s="146">
        <f t="shared" si="7"/>
        <v>1593608</v>
      </c>
      <c r="C33" s="147">
        <v>1593608</v>
      </c>
      <c r="D33" s="147"/>
      <c r="E33" s="147">
        <f t="shared" si="10"/>
        <v>1593608</v>
      </c>
      <c r="F33" s="147"/>
      <c r="G33" s="147"/>
      <c r="H33" s="147"/>
      <c r="I33" s="147"/>
      <c r="J33" s="147"/>
      <c r="K33" s="147"/>
      <c r="L33" s="147"/>
      <c r="M33" s="147"/>
      <c r="N33" s="147"/>
      <c r="O33" s="147"/>
      <c r="P33" s="147"/>
      <c r="Q33" s="147"/>
      <c r="R33" s="551">
        <f t="shared" si="8"/>
        <v>1593608</v>
      </c>
      <c r="S33" s="147">
        <f t="shared" si="9"/>
        <v>1593608</v>
      </c>
      <c r="T33" s="147"/>
      <c r="U33" s="143"/>
    </row>
    <row r="34" spans="1:21" s="144" customFormat="1">
      <c r="A34" s="145" t="s">
        <v>140</v>
      </c>
      <c r="B34" s="146">
        <f t="shared" si="7"/>
        <v>0</v>
      </c>
      <c r="C34" s="147"/>
      <c r="D34" s="147"/>
      <c r="E34" s="147">
        <f t="shared" si="10"/>
        <v>0</v>
      </c>
      <c r="F34" s="147"/>
      <c r="G34" s="147"/>
      <c r="H34" s="147"/>
      <c r="I34" s="147"/>
      <c r="J34" s="147"/>
      <c r="K34" s="147"/>
      <c r="L34" s="147"/>
      <c r="M34" s="147"/>
      <c r="N34" s="147"/>
      <c r="O34" s="147"/>
      <c r="P34" s="147"/>
      <c r="Q34" s="147"/>
      <c r="R34" s="551">
        <f t="shared" si="8"/>
        <v>0</v>
      </c>
      <c r="S34" s="147">
        <f t="shared" si="9"/>
        <v>0</v>
      </c>
      <c r="T34" s="147"/>
      <c r="U34" s="143"/>
    </row>
    <row r="35" spans="1:21" s="144" customFormat="1">
      <c r="A35" s="145" t="s">
        <v>141</v>
      </c>
      <c r="B35" s="146">
        <f t="shared" si="7"/>
        <v>927413</v>
      </c>
      <c r="C35" s="147">
        <v>927413</v>
      </c>
      <c r="D35" s="147"/>
      <c r="E35" s="147">
        <f t="shared" si="10"/>
        <v>927413</v>
      </c>
      <c r="F35" s="147"/>
      <c r="G35" s="147"/>
      <c r="H35" s="147"/>
      <c r="I35" s="147"/>
      <c r="J35" s="147"/>
      <c r="K35" s="147"/>
      <c r="L35" s="147"/>
      <c r="M35" s="147"/>
      <c r="N35" s="147"/>
      <c r="O35" s="147"/>
      <c r="P35" s="147"/>
      <c r="Q35" s="147"/>
      <c r="R35" s="551">
        <f t="shared" si="8"/>
        <v>927413</v>
      </c>
      <c r="S35" s="147">
        <f t="shared" si="9"/>
        <v>927413</v>
      </c>
      <c r="T35" s="147"/>
      <c r="U35" s="143"/>
    </row>
    <row r="36" spans="1:21" s="144" customFormat="1">
      <c r="A36" s="304" t="s">
        <v>1820</v>
      </c>
      <c r="B36" s="146">
        <f t="shared" si="7"/>
        <v>0</v>
      </c>
      <c r="C36" s="147"/>
      <c r="D36" s="147"/>
      <c r="E36" s="147"/>
      <c r="F36" s="147"/>
      <c r="G36" s="147"/>
      <c r="H36" s="147"/>
      <c r="I36" s="147"/>
      <c r="J36" s="147"/>
      <c r="K36" s="147"/>
      <c r="L36" s="147"/>
      <c r="M36" s="147"/>
      <c r="N36" s="147"/>
      <c r="O36" s="147"/>
      <c r="P36" s="147"/>
      <c r="Q36" s="147"/>
      <c r="R36" s="551">
        <f t="shared" si="8"/>
        <v>0</v>
      </c>
      <c r="S36" s="147">
        <f t="shared" si="9"/>
        <v>0</v>
      </c>
      <c r="T36" s="147"/>
      <c r="U36" s="143"/>
    </row>
    <row r="37" spans="1:21" s="144" customFormat="1">
      <c r="A37" s="1202" t="s">
        <v>34</v>
      </c>
      <c r="B37" s="146">
        <f t="shared" si="7"/>
        <v>0</v>
      </c>
      <c r="C37" s="147"/>
      <c r="D37" s="147"/>
      <c r="E37" s="147"/>
      <c r="F37" s="147"/>
      <c r="G37" s="147"/>
      <c r="H37" s="147"/>
      <c r="I37" s="147"/>
      <c r="J37" s="147"/>
      <c r="K37" s="147"/>
      <c r="L37" s="147"/>
      <c r="M37" s="147"/>
      <c r="N37" s="147"/>
      <c r="O37" s="147"/>
      <c r="P37" s="147"/>
      <c r="Q37" s="147"/>
      <c r="R37" s="551">
        <f t="shared" si="8"/>
        <v>0</v>
      </c>
      <c r="S37" s="147">
        <f t="shared" si="9"/>
        <v>0</v>
      </c>
      <c r="T37" s="147"/>
      <c r="U37" s="143"/>
    </row>
    <row r="38" spans="1:21" s="144" customFormat="1">
      <c r="A38" s="149" t="s">
        <v>144</v>
      </c>
      <c r="B38" s="146">
        <f t="shared" ref="B38" si="11">SUM(C38+D38)</f>
        <v>35916060</v>
      </c>
      <c r="C38" s="146">
        <f>SUM(C29:C37)</f>
        <v>35916060</v>
      </c>
      <c r="D38" s="146">
        <f t="shared" ref="D38:Q38" si="12">SUM(D29:D37)</f>
        <v>0</v>
      </c>
      <c r="E38" s="146">
        <f t="shared" si="12"/>
        <v>14796060</v>
      </c>
      <c r="F38" s="146">
        <f t="shared" si="12"/>
        <v>21120000</v>
      </c>
      <c r="G38" s="146">
        <f t="shared" si="12"/>
        <v>0</v>
      </c>
      <c r="H38" s="146">
        <f t="shared" si="12"/>
        <v>0</v>
      </c>
      <c r="I38" s="146">
        <f t="shared" si="12"/>
        <v>0</v>
      </c>
      <c r="J38" s="146">
        <f t="shared" si="12"/>
        <v>0</v>
      </c>
      <c r="K38" s="146">
        <f t="shared" si="12"/>
        <v>0</v>
      </c>
      <c r="L38" s="146">
        <f t="shared" si="12"/>
        <v>0</v>
      </c>
      <c r="M38" s="146">
        <f t="shared" si="12"/>
        <v>0</v>
      </c>
      <c r="N38" s="146">
        <f t="shared" si="12"/>
        <v>0</v>
      </c>
      <c r="O38" s="146">
        <f t="shared" si="12"/>
        <v>0</v>
      </c>
      <c r="P38" s="146">
        <f t="shared" si="12"/>
        <v>0</v>
      </c>
      <c r="Q38" s="146">
        <f t="shared" si="12"/>
        <v>0</v>
      </c>
      <c r="R38" s="371">
        <f>SUM(R29:R37)</f>
        <v>35916060</v>
      </c>
      <c r="S38" s="150">
        <f>SUM(S29:S37)</f>
        <v>35916060</v>
      </c>
      <c r="T38" s="150">
        <f>SUM(T29:T37)</f>
        <v>0</v>
      </c>
      <c r="U38" s="143"/>
    </row>
    <row r="39" spans="1:21" s="144" customFormat="1">
      <c r="A39" s="141" t="s">
        <v>145</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146</v>
      </c>
      <c r="B40" s="146">
        <f>SUM(C40+D40)</f>
        <v>1310091</v>
      </c>
      <c r="C40" s="147">
        <v>1310091</v>
      </c>
      <c r="D40" s="147"/>
      <c r="E40" s="147">
        <f>C40</f>
        <v>1310091</v>
      </c>
      <c r="F40" s="147"/>
      <c r="G40" s="147"/>
      <c r="H40" s="147"/>
      <c r="I40" s="147"/>
      <c r="J40" s="147"/>
      <c r="K40" s="147"/>
      <c r="L40" s="147"/>
      <c r="M40" s="147"/>
      <c r="N40" s="147"/>
      <c r="O40" s="147"/>
      <c r="P40" s="147"/>
      <c r="Q40" s="147"/>
      <c r="R40" s="551">
        <f>SUM(E40:Q40)</f>
        <v>1310091</v>
      </c>
      <c r="S40" s="147">
        <f>R40</f>
        <v>1310091</v>
      </c>
      <c r="T40" s="147"/>
      <c r="U40" s="143"/>
    </row>
    <row r="41" spans="1:21" s="144" customFormat="1">
      <c r="A41" s="145" t="s">
        <v>147</v>
      </c>
      <c r="B41" s="146">
        <f>SUM(C41+D41)</f>
        <v>0</v>
      </c>
      <c r="C41" s="147"/>
      <c r="D41" s="147"/>
      <c r="E41" s="147"/>
      <c r="F41" s="147"/>
      <c r="G41" s="147"/>
      <c r="H41" s="147"/>
      <c r="I41" s="147"/>
      <c r="J41" s="147"/>
      <c r="K41" s="147"/>
      <c r="L41" s="147"/>
      <c r="M41" s="147"/>
      <c r="N41" s="147"/>
      <c r="O41" s="147"/>
      <c r="P41" s="147"/>
      <c r="Q41" s="147"/>
      <c r="R41" s="551">
        <f>SUM(E41:Q41)</f>
        <v>0</v>
      </c>
      <c r="S41" s="147"/>
      <c r="T41" s="147"/>
      <c r="U41" s="143"/>
    </row>
    <row r="42" spans="1:21" s="144" customFormat="1">
      <c r="A42" s="149" t="s">
        <v>148</v>
      </c>
      <c r="B42" s="146">
        <f>SUM(C42:D42)</f>
        <v>1310091</v>
      </c>
      <c r="C42" s="146">
        <f>SUM(C39:C41)</f>
        <v>1310091</v>
      </c>
      <c r="D42" s="146">
        <f>SUM(D39:D41)</f>
        <v>0</v>
      </c>
      <c r="E42" s="146">
        <f t="shared" ref="E42:T42" si="13">SUM(E40:E41)</f>
        <v>1310091</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1">
        <f>SUM(R40:R41)</f>
        <v>1310091</v>
      </c>
      <c r="S42" s="150">
        <f t="shared" si="13"/>
        <v>1310091</v>
      </c>
      <c r="T42" s="150">
        <f t="shared" si="13"/>
        <v>0</v>
      </c>
      <c r="U42" s="143"/>
    </row>
    <row r="43" spans="1:21" s="144" customFormat="1">
      <c r="A43" s="149" t="s">
        <v>149</v>
      </c>
      <c r="B43" s="146">
        <f>SUM(C43:D43)</f>
        <v>269030</v>
      </c>
      <c r="C43" s="147">
        <v>269030</v>
      </c>
      <c r="D43" s="147"/>
      <c r="E43" s="147">
        <f>C43</f>
        <v>269030</v>
      </c>
      <c r="F43" s="147"/>
      <c r="G43" s="147"/>
      <c r="H43" s="147"/>
      <c r="I43" s="147"/>
      <c r="J43" s="147"/>
      <c r="K43" s="147"/>
      <c r="L43" s="147"/>
      <c r="M43" s="147"/>
      <c r="N43" s="147"/>
      <c r="O43" s="147"/>
      <c r="P43" s="147"/>
      <c r="Q43" s="147"/>
      <c r="R43" s="551">
        <f>SUM(E43:Q43)</f>
        <v>269030</v>
      </c>
      <c r="S43" s="147">
        <f>R43</f>
        <v>269030</v>
      </c>
      <c r="T43" s="147"/>
      <c r="U43" s="143"/>
    </row>
    <row r="44" spans="1:21" s="144" customFormat="1">
      <c r="A44" s="141" t="s">
        <v>150</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151</v>
      </c>
      <c r="B45" s="146">
        <f t="shared" ref="B45:B53" si="14">SUM(C45+D45)</f>
        <v>3001097</v>
      </c>
      <c r="C45" s="147">
        <v>3001097</v>
      </c>
      <c r="D45" s="147"/>
      <c r="E45" s="147">
        <f>C45</f>
        <v>3001097</v>
      </c>
      <c r="F45" s="147"/>
      <c r="G45" s="147"/>
      <c r="H45" s="147"/>
      <c r="I45" s="147"/>
      <c r="J45" s="147"/>
      <c r="K45" s="147"/>
      <c r="L45" s="147"/>
      <c r="M45" s="147"/>
      <c r="N45" s="147"/>
      <c r="O45" s="147"/>
      <c r="P45" s="147"/>
      <c r="Q45" s="147"/>
      <c r="R45" s="551">
        <f t="shared" ref="R45:R53" si="15">SUM(E45:Q45)</f>
        <v>3001097</v>
      </c>
      <c r="S45" s="147">
        <f>R45</f>
        <v>3001097</v>
      </c>
      <c r="T45" s="147"/>
      <c r="U45" s="143"/>
    </row>
    <row r="46" spans="1:21" s="144" customFormat="1">
      <c r="A46" s="145" t="s">
        <v>152</v>
      </c>
      <c r="B46" s="146">
        <f t="shared" si="14"/>
        <v>96236</v>
      </c>
      <c r="C46" s="147">
        <v>96236</v>
      </c>
      <c r="D46" s="147"/>
      <c r="E46" s="147">
        <f t="shared" ref="E46:E53" si="16">C46</f>
        <v>96236</v>
      </c>
      <c r="F46" s="147"/>
      <c r="G46" s="147"/>
      <c r="H46" s="147"/>
      <c r="I46" s="147"/>
      <c r="J46" s="147"/>
      <c r="K46" s="147"/>
      <c r="L46" s="147"/>
      <c r="M46" s="147"/>
      <c r="N46" s="147"/>
      <c r="O46" s="147"/>
      <c r="P46" s="147"/>
      <c r="Q46" s="147"/>
      <c r="R46" s="551">
        <f t="shared" si="15"/>
        <v>96236</v>
      </c>
      <c r="S46" s="147">
        <f>R46</f>
        <v>96236</v>
      </c>
      <c r="T46" s="147"/>
      <c r="U46" s="143"/>
    </row>
    <row r="47" spans="1:21" s="144" customFormat="1">
      <c r="A47" s="198" t="s">
        <v>153</v>
      </c>
      <c r="B47" s="146">
        <f t="shared" si="14"/>
        <v>0</v>
      </c>
      <c r="C47" s="147"/>
      <c r="D47" s="147"/>
      <c r="E47" s="147">
        <f t="shared" si="16"/>
        <v>0</v>
      </c>
      <c r="F47" s="147"/>
      <c r="G47" s="147"/>
      <c r="H47" s="147"/>
      <c r="I47" s="147"/>
      <c r="J47" s="147"/>
      <c r="K47" s="147"/>
      <c r="L47" s="147"/>
      <c r="M47" s="147"/>
      <c r="N47" s="147"/>
      <c r="O47" s="147"/>
      <c r="P47" s="147"/>
      <c r="Q47" s="147"/>
      <c r="R47" s="551">
        <f t="shared" si="15"/>
        <v>0</v>
      </c>
      <c r="S47" s="147"/>
      <c r="T47" s="147"/>
      <c r="U47" s="143"/>
    </row>
    <row r="48" spans="1:21" s="144" customFormat="1">
      <c r="A48" s="145" t="s">
        <v>154</v>
      </c>
      <c r="B48" s="146">
        <f t="shared" si="14"/>
        <v>0</v>
      </c>
      <c r="C48" s="147"/>
      <c r="D48" s="147"/>
      <c r="E48" s="147">
        <f t="shared" si="16"/>
        <v>0</v>
      </c>
      <c r="F48" s="147"/>
      <c r="G48" s="147"/>
      <c r="H48" s="147"/>
      <c r="I48" s="147"/>
      <c r="J48" s="147"/>
      <c r="K48" s="147"/>
      <c r="L48" s="147"/>
      <c r="M48" s="147"/>
      <c r="N48" s="147"/>
      <c r="O48" s="147"/>
      <c r="P48" s="147"/>
      <c r="Q48" s="147"/>
      <c r="R48" s="551">
        <f t="shared" si="15"/>
        <v>0</v>
      </c>
      <c r="S48" s="147"/>
      <c r="T48" s="147"/>
      <c r="U48" s="143"/>
    </row>
    <row r="49" spans="1:21" s="144" customFormat="1">
      <c r="A49" s="145" t="s">
        <v>57</v>
      </c>
      <c r="B49" s="146">
        <f t="shared" si="14"/>
        <v>0</v>
      </c>
      <c r="C49" s="147"/>
      <c r="D49" s="147"/>
      <c r="E49" s="147">
        <f t="shared" si="16"/>
        <v>0</v>
      </c>
      <c r="F49" s="147"/>
      <c r="G49" s="147"/>
      <c r="H49" s="147"/>
      <c r="I49" s="147"/>
      <c r="J49" s="147"/>
      <c r="K49" s="147"/>
      <c r="L49" s="147"/>
      <c r="M49" s="147"/>
      <c r="N49" s="147"/>
      <c r="O49" s="147"/>
      <c r="P49" s="147"/>
      <c r="Q49" s="147"/>
      <c r="R49" s="551">
        <f t="shared" si="15"/>
        <v>0</v>
      </c>
      <c r="S49" s="147"/>
      <c r="T49" s="147"/>
      <c r="U49" s="143"/>
    </row>
    <row r="50" spans="1:21" s="144" customFormat="1">
      <c r="A50" s="145" t="s">
        <v>157</v>
      </c>
      <c r="B50" s="146">
        <f t="shared" si="14"/>
        <v>110000</v>
      </c>
      <c r="C50" s="147">
        <v>110000</v>
      </c>
      <c r="D50" s="147"/>
      <c r="E50" s="147">
        <f t="shared" si="16"/>
        <v>110000</v>
      </c>
      <c r="F50" s="147"/>
      <c r="G50" s="147"/>
      <c r="H50" s="147"/>
      <c r="I50" s="147"/>
      <c r="J50" s="147"/>
      <c r="K50" s="147"/>
      <c r="L50" s="147"/>
      <c r="M50" s="147"/>
      <c r="N50" s="147"/>
      <c r="O50" s="147"/>
      <c r="P50" s="147"/>
      <c r="Q50" s="147"/>
      <c r="R50" s="551">
        <f t="shared" si="15"/>
        <v>110000</v>
      </c>
      <c r="S50" s="147">
        <f>R50</f>
        <v>110000</v>
      </c>
      <c r="T50" s="147"/>
      <c r="U50" s="143"/>
    </row>
    <row r="51" spans="1:21" s="144" customFormat="1">
      <c r="A51" s="304" t="s">
        <v>155</v>
      </c>
      <c r="B51" s="146">
        <f t="shared" si="14"/>
        <v>125874</v>
      </c>
      <c r="C51" s="147">
        <v>125874</v>
      </c>
      <c r="D51" s="147"/>
      <c r="E51" s="147">
        <f t="shared" si="16"/>
        <v>125874</v>
      </c>
      <c r="F51" s="147"/>
      <c r="G51" s="147"/>
      <c r="H51" s="147"/>
      <c r="I51" s="147"/>
      <c r="J51" s="147"/>
      <c r="K51" s="147"/>
      <c r="L51" s="147"/>
      <c r="M51" s="147"/>
      <c r="N51" s="147"/>
      <c r="O51" s="147"/>
      <c r="P51" s="147"/>
      <c r="Q51" s="147"/>
      <c r="R51" s="551">
        <f t="shared" si="15"/>
        <v>125874</v>
      </c>
      <c r="S51" s="147">
        <f>R51</f>
        <v>125874</v>
      </c>
      <c r="T51" s="147"/>
      <c r="U51" s="143"/>
    </row>
    <row r="52" spans="1:21" s="144" customFormat="1">
      <c r="A52" s="145" t="s">
        <v>156</v>
      </c>
      <c r="B52" s="146">
        <f t="shared" si="14"/>
        <v>0</v>
      </c>
      <c r="C52" s="147"/>
      <c r="D52" s="147"/>
      <c r="E52" s="147">
        <f t="shared" si="16"/>
        <v>0</v>
      </c>
      <c r="F52" s="147"/>
      <c r="G52" s="147"/>
      <c r="H52" s="147"/>
      <c r="I52" s="147"/>
      <c r="J52" s="147"/>
      <c r="K52" s="147"/>
      <c r="L52" s="147"/>
      <c r="M52" s="147"/>
      <c r="N52" s="147"/>
      <c r="O52" s="147"/>
      <c r="P52" s="147"/>
      <c r="Q52" s="147"/>
      <c r="R52" s="551">
        <f t="shared" si="15"/>
        <v>0</v>
      </c>
      <c r="S52" s="147"/>
      <c r="T52" s="147"/>
      <c r="U52" s="143"/>
    </row>
    <row r="53" spans="1:21" s="144" customFormat="1">
      <c r="A53" s="1202" t="s">
        <v>2713</v>
      </c>
      <c r="B53" s="146">
        <f t="shared" si="14"/>
        <v>34200</v>
      </c>
      <c r="C53" s="147">
        <v>34200</v>
      </c>
      <c r="D53" s="147"/>
      <c r="E53" s="147">
        <f t="shared" si="16"/>
        <v>34200</v>
      </c>
      <c r="F53" s="147"/>
      <c r="G53" s="147"/>
      <c r="H53" s="147"/>
      <c r="I53" s="147"/>
      <c r="J53" s="147"/>
      <c r="K53" s="147"/>
      <c r="L53" s="147"/>
      <c r="M53" s="147"/>
      <c r="N53" s="147"/>
      <c r="O53" s="147"/>
      <c r="P53" s="147"/>
      <c r="Q53" s="147"/>
      <c r="R53" s="551">
        <f t="shared" si="15"/>
        <v>34200</v>
      </c>
      <c r="S53" s="147">
        <f>R53</f>
        <v>34200</v>
      </c>
      <c r="T53" s="147"/>
      <c r="U53" s="143"/>
    </row>
    <row r="54" spans="1:21" s="153" customFormat="1">
      <c r="A54" s="149" t="s">
        <v>158</v>
      </c>
      <c r="B54" s="150">
        <f>SUM(C54:D54)</f>
        <v>3367407</v>
      </c>
      <c r="C54" s="150">
        <f t="shared" ref="C54:T54" si="17">SUM(C45:C53)</f>
        <v>3367407</v>
      </c>
      <c r="D54" s="150">
        <f t="shared" si="17"/>
        <v>0</v>
      </c>
      <c r="E54" s="150">
        <f t="shared" si="17"/>
        <v>3367407</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1">
        <f t="shared" si="17"/>
        <v>3367407</v>
      </c>
      <c r="S54" s="150">
        <f t="shared" si="17"/>
        <v>3367407</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159</v>
      </c>
      <c r="B56" s="146">
        <f t="shared" ref="B56:B61" si="18">SUM(C56+D56)</f>
        <v>365427</v>
      </c>
      <c r="C56" s="147">
        <v>365427</v>
      </c>
      <c r="D56" s="147"/>
      <c r="E56" s="147">
        <f>C56</f>
        <v>365427</v>
      </c>
      <c r="F56" s="147"/>
      <c r="G56" s="147"/>
      <c r="H56" s="147"/>
      <c r="I56" s="147"/>
      <c r="J56" s="147"/>
      <c r="K56" s="147"/>
      <c r="L56" s="147"/>
      <c r="M56" s="147"/>
      <c r="N56" s="147"/>
      <c r="O56" s="147"/>
      <c r="P56" s="147"/>
      <c r="Q56" s="147"/>
      <c r="R56" s="551">
        <f t="shared" ref="R56:R61" si="19">SUM(E56:Q56)</f>
        <v>365427</v>
      </c>
      <c r="S56" s="148"/>
      <c r="T56" s="148"/>
      <c r="U56" s="143"/>
    </row>
    <row r="57" spans="1:21" s="204" customFormat="1">
      <c r="A57" s="198" t="s">
        <v>153</v>
      </c>
      <c r="B57" s="205">
        <f t="shared" si="18"/>
        <v>213340</v>
      </c>
      <c r="C57" s="202">
        <v>213340</v>
      </c>
      <c r="D57" s="202"/>
      <c r="E57" s="202">
        <f t="shared" ref="E57:E60" si="20">C57</f>
        <v>213340</v>
      </c>
      <c r="F57" s="202"/>
      <c r="G57" s="202"/>
      <c r="H57" s="202"/>
      <c r="I57" s="202"/>
      <c r="J57" s="202"/>
      <c r="K57" s="202"/>
      <c r="L57" s="202"/>
      <c r="M57" s="202"/>
      <c r="N57" s="202"/>
      <c r="O57" s="202"/>
      <c r="P57" s="202"/>
      <c r="Q57" s="202"/>
      <c r="R57" s="551">
        <f t="shared" si="19"/>
        <v>213340</v>
      </c>
      <c r="S57" s="206"/>
      <c r="T57" s="206"/>
      <c r="U57" s="203"/>
    </row>
    <row r="58" spans="1:21" s="144" customFormat="1">
      <c r="A58" s="145" t="s">
        <v>157</v>
      </c>
      <c r="B58" s="146">
        <f t="shared" si="18"/>
        <v>0</v>
      </c>
      <c r="C58" s="147"/>
      <c r="D58" s="147"/>
      <c r="E58" s="147">
        <f t="shared" si="20"/>
        <v>0</v>
      </c>
      <c r="F58" s="147"/>
      <c r="G58" s="147"/>
      <c r="H58" s="147"/>
      <c r="I58" s="147"/>
      <c r="J58" s="147"/>
      <c r="K58" s="147"/>
      <c r="L58" s="147"/>
      <c r="M58" s="147"/>
      <c r="N58" s="147"/>
      <c r="O58" s="147"/>
      <c r="P58" s="147"/>
      <c r="Q58" s="147"/>
      <c r="R58" s="551">
        <f t="shared" si="19"/>
        <v>0</v>
      </c>
      <c r="S58" s="148"/>
      <c r="T58" s="148"/>
      <c r="U58" s="143"/>
    </row>
    <row r="59" spans="1:21" s="144" customFormat="1">
      <c r="A59" s="304" t="s">
        <v>155</v>
      </c>
      <c r="B59" s="146">
        <f t="shared" si="18"/>
        <v>0</v>
      </c>
      <c r="C59" s="147"/>
      <c r="D59" s="147"/>
      <c r="E59" s="147">
        <f t="shared" si="20"/>
        <v>0</v>
      </c>
      <c r="F59" s="147"/>
      <c r="G59" s="147"/>
      <c r="H59" s="147"/>
      <c r="I59" s="147"/>
      <c r="J59" s="147"/>
      <c r="K59" s="147"/>
      <c r="L59" s="147"/>
      <c r="M59" s="147"/>
      <c r="N59" s="147"/>
      <c r="O59" s="147"/>
      <c r="P59" s="147"/>
      <c r="Q59" s="147"/>
      <c r="R59" s="551">
        <f t="shared" si="19"/>
        <v>0</v>
      </c>
      <c r="S59" s="148"/>
      <c r="T59" s="148"/>
      <c r="U59" s="143"/>
    </row>
    <row r="60" spans="1:21" s="144" customFormat="1">
      <c r="A60" s="145" t="s">
        <v>156</v>
      </c>
      <c r="B60" s="146">
        <f t="shared" si="18"/>
        <v>0</v>
      </c>
      <c r="C60" s="147"/>
      <c r="D60" s="147"/>
      <c r="E60" s="147">
        <f t="shared" si="20"/>
        <v>0</v>
      </c>
      <c r="F60" s="147"/>
      <c r="G60" s="147"/>
      <c r="H60" s="147"/>
      <c r="I60" s="147"/>
      <c r="J60" s="147"/>
      <c r="K60" s="147"/>
      <c r="L60" s="147"/>
      <c r="M60" s="147"/>
      <c r="N60" s="147"/>
      <c r="O60" s="147"/>
      <c r="P60" s="147"/>
      <c r="Q60" s="147"/>
      <c r="R60" s="551">
        <f t="shared" si="19"/>
        <v>0</v>
      </c>
      <c r="S60" s="148"/>
      <c r="T60" s="148"/>
      <c r="U60" s="143"/>
    </row>
    <row r="61" spans="1:21" s="144" customFormat="1">
      <c r="A61" s="1202" t="s">
        <v>2714</v>
      </c>
      <c r="B61" s="146">
        <f t="shared" si="18"/>
        <v>2893800</v>
      </c>
      <c r="C61" s="147">
        <v>2893800</v>
      </c>
      <c r="D61" s="147"/>
      <c r="E61" s="147">
        <f>C61-G61</f>
        <v>1231688</v>
      </c>
      <c r="F61" s="147"/>
      <c r="G61" s="147">
        <v>1662112</v>
      </c>
      <c r="H61" s="147"/>
      <c r="I61" s="147"/>
      <c r="J61" s="147"/>
      <c r="K61" s="147"/>
      <c r="L61" s="147"/>
      <c r="M61" s="147"/>
      <c r="N61" s="147"/>
      <c r="O61" s="147"/>
      <c r="P61" s="147"/>
      <c r="Q61" s="147"/>
      <c r="R61" s="551">
        <f t="shared" si="19"/>
        <v>2893800</v>
      </c>
      <c r="S61" s="148"/>
      <c r="T61" s="148"/>
      <c r="U61" s="143"/>
    </row>
    <row r="62" spans="1:21" s="144" customFormat="1" ht="13.7" customHeight="1">
      <c r="A62" s="149" t="s">
        <v>302</v>
      </c>
      <c r="B62" s="146">
        <f>SUM(C62:D62)</f>
        <v>3472567</v>
      </c>
      <c r="C62" s="146">
        <f t="shared" ref="C62:R62" si="21">SUM(C56:C61)</f>
        <v>3472567</v>
      </c>
      <c r="D62" s="146">
        <f t="shared" si="21"/>
        <v>0</v>
      </c>
      <c r="E62" s="146">
        <f t="shared" si="21"/>
        <v>1810455</v>
      </c>
      <c r="F62" s="146">
        <f t="shared" si="21"/>
        <v>0</v>
      </c>
      <c r="G62" s="146">
        <f t="shared" si="21"/>
        <v>1662112</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1">
        <f t="shared" si="21"/>
        <v>3472567</v>
      </c>
      <c r="S62" s="148"/>
      <c r="T62" s="148"/>
      <c r="U62" s="143"/>
    </row>
    <row r="63" spans="1:21" s="144" customFormat="1">
      <c r="A63" s="154" t="s">
        <v>303</v>
      </c>
      <c r="B63" s="146">
        <f t="shared" ref="B63:R63" si="22">SUM(B8+B11+B13+B14+B15+B26+B27+B38+B42+B43+B54+B62)</f>
        <v>44475770</v>
      </c>
      <c r="C63" s="146">
        <f t="shared" si="22"/>
        <v>44475770</v>
      </c>
      <c r="D63" s="146">
        <f t="shared" si="22"/>
        <v>0</v>
      </c>
      <c r="E63" s="146">
        <f t="shared" si="22"/>
        <v>21693658</v>
      </c>
      <c r="F63" s="146">
        <f t="shared" si="22"/>
        <v>21120000</v>
      </c>
      <c r="G63" s="146">
        <f t="shared" si="22"/>
        <v>1662112</v>
      </c>
      <c r="H63" s="146">
        <f t="shared" si="22"/>
        <v>0</v>
      </c>
      <c r="I63" s="146">
        <f t="shared" si="22"/>
        <v>0</v>
      </c>
      <c r="J63" s="146">
        <f t="shared" si="22"/>
        <v>0</v>
      </c>
      <c r="K63" s="146">
        <f t="shared" si="22"/>
        <v>0</v>
      </c>
      <c r="L63" s="146">
        <f t="shared" si="22"/>
        <v>0</v>
      </c>
      <c r="M63" s="146">
        <f t="shared" si="22"/>
        <v>0</v>
      </c>
      <c r="N63" s="146">
        <f t="shared" si="22"/>
        <v>0</v>
      </c>
      <c r="O63" s="146">
        <f t="shared" si="22"/>
        <v>0</v>
      </c>
      <c r="P63" s="146">
        <f t="shared" si="22"/>
        <v>0</v>
      </c>
      <c r="Q63" s="146">
        <f t="shared" si="22"/>
        <v>0</v>
      </c>
      <c r="R63" s="371">
        <f t="shared" si="22"/>
        <v>44475770</v>
      </c>
      <c r="S63" s="146">
        <f>SUM(S10+S13+S14+S15+S26+S27+S38+S42+S43+S54)</f>
        <v>41003202</v>
      </c>
      <c r="T63" s="146">
        <f>SUM(T11+T13+T14+T15+T26+T27+T38+T42+T43+T54)</f>
        <v>0</v>
      </c>
      <c r="U63" s="143"/>
    </row>
    <row r="64" spans="1:21" s="144" customFormat="1" ht="24">
      <c r="A64" s="141" t="s">
        <v>1824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85000</v>
      </c>
      <c r="C65" s="147">
        <v>85000</v>
      </c>
      <c r="D65" s="147"/>
      <c r="E65" s="147">
        <f>C65</f>
        <v>85000</v>
      </c>
      <c r="F65" s="147"/>
      <c r="G65" s="147"/>
      <c r="H65" s="147"/>
      <c r="I65" s="147"/>
      <c r="J65" s="147"/>
      <c r="K65" s="147"/>
      <c r="L65" s="147"/>
      <c r="M65" s="147"/>
      <c r="N65" s="147"/>
      <c r="O65" s="147"/>
      <c r="P65" s="147"/>
      <c r="Q65" s="147"/>
      <c r="R65" s="551">
        <f>SUM(E65:Q65)</f>
        <v>85000</v>
      </c>
      <c r="S65" s="147"/>
      <c r="T65" s="147"/>
      <c r="U65" s="143"/>
    </row>
    <row r="66" spans="1:21" s="144" customFormat="1" ht="24" customHeight="1">
      <c r="A66" s="304" t="s">
        <v>1821</v>
      </c>
      <c r="B66" s="146">
        <f>SUM(C66+D66)</f>
        <v>0</v>
      </c>
      <c r="C66" s="147"/>
      <c r="D66" s="147"/>
      <c r="E66" s="147"/>
      <c r="F66" s="147"/>
      <c r="G66" s="147"/>
      <c r="H66" s="147"/>
      <c r="I66" s="147"/>
      <c r="J66" s="147"/>
      <c r="K66" s="147"/>
      <c r="L66" s="147"/>
      <c r="M66" s="147"/>
      <c r="N66" s="147"/>
      <c r="O66" s="147"/>
      <c r="P66" s="147"/>
      <c r="Q66" s="147"/>
      <c r="R66" s="551">
        <f>SUM(E66:Q66)</f>
        <v>0</v>
      </c>
      <c r="S66" s="147"/>
      <c r="T66" s="147"/>
      <c r="U66" s="143"/>
    </row>
    <row r="67" spans="1:21" s="144" customFormat="1" ht="24" customHeight="1">
      <c r="A67" s="304" t="s">
        <v>1822</v>
      </c>
      <c r="B67" s="146">
        <f>SUM(C67+D67)</f>
        <v>0</v>
      </c>
      <c r="C67" s="147"/>
      <c r="D67" s="147"/>
      <c r="E67" s="147"/>
      <c r="F67" s="147"/>
      <c r="G67" s="147"/>
      <c r="H67" s="147"/>
      <c r="I67" s="147"/>
      <c r="J67" s="147"/>
      <c r="K67" s="147"/>
      <c r="L67" s="147"/>
      <c r="M67" s="147"/>
      <c r="N67" s="147"/>
      <c r="O67" s="147"/>
      <c r="P67" s="147"/>
      <c r="Q67" s="147"/>
      <c r="R67" s="551">
        <f>SUM(E67:Q67)</f>
        <v>0</v>
      </c>
      <c r="S67" s="147"/>
      <c r="T67" s="147"/>
      <c r="U67" s="143"/>
    </row>
    <row r="68" spans="1:21" s="144" customFormat="1" ht="12" customHeight="1">
      <c r="A68" s="304" t="s">
        <v>1828</v>
      </c>
      <c r="B68" s="146">
        <f>SUM(C68+D68)</f>
        <v>0</v>
      </c>
      <c r="C68" s="147"/>
      <c r="D68" s="147"/>
      <c r="E68" s="147"/>
      <c r="F68" s="147"/>
      <c r="G68" s="147"/>
      <c r="H68" s="147"/>
      <c r="I68" s="147"/>
      <c r="J68" s="147"/>
      <c r="K68" s="147"/>
      <c r="L68" s="147"/>
      <c r="M68" s="147"/>
      <c r="N68" s="147"/>
      <c r="O68" s="147"/>
      <c r="P68" s="147"/>
      <c r="Q68" s="147"/>
      <c r="R68" s="551">
        <f>SUM(E68:Q68)</f>
        <v>0</v>
      </c>
      <c r="S68" s="147"/>
      <c r="T68" s="147"/>
      <c r="U68" s="143"/>
    </row>
    <row r="69" spans="1:21" s="144" customFormat="1">
      <c r="A69" s="1202" t="s">
        <v>34</v>
      </c>
      <c r="B69" s="146">
        <f>SUM(C69+D69)</f>
        <v>0</v>
      </c>
      <c r="C69" s="147"/>
      <c r="D69" s="147"/>
      <c r="E69" s="147"/>
      <c r="F69" s="147"/>
      <c r="G69" s="147"/>
      <c r="H69" s="147"/>
      <c r="I69" s="147"/>
      <c r="J69" s="147"/>
      <c r="K69" s="147"/>
      <c r="L69" s="147"/>
      <c r="M69" s="147"/>
      <c r="N69" s="147"/>
      <c r="O69" s="147"/>
      <c r="P69" s="147"/>
      <c r="Q69" s="147"/>
      <c r="R69" s="551">
        <f>SUM(E69:Q69)</f>
        <v>0</v>
      </c>
      <c r="S69" s="147"/>
      <c r="T69" s="147"/>
      <c r="U69" s="143"/>
    </row>
    <row r="70" spans="1:21" s="144" customFormat="1">
      <c r="A70" s="149" t="s">
        <v>1825</v>
      </c>
      <c r="B70" s="146">
        <f>SUM(C70:D70)</f>
        <v>85000</v>
      </c>
      <c r="C70" s="146">
        <f>SUM(C65:C69)</f>
        <v>85000</v>
      </c>
      <c r="D70" s="146">
        <f>SUM(D65:D69)</f>
        <v>0</v>
      </c>
      <c r="E70" s="146">
        <f t="shared" ref="E70:T70" si="23">SUM(E65:E69)</f>
        <v>85000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1">
        <f t="shared" si="23"/>
        <v>85000</v>
      </c>
      <c r="S70" s="150">
        <f t="shared" si="23"/>
        <v>0</v>
      </c>
      <c r="T70" s="150">
        <f t="shared" si="23"/>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1">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1">
        <f>SUM(E73:Q73)</f>
        <v>0</v>
      </c>
      <c r="S73" s="148"/>
      <c r="T73" s="148"/>
      <c r="U73" s="143"/>
    </row>
    <row r="74" spans="1:21" s="144" customFormat="1">
      <c r="A74" s="485" t="s">
        <v>1040</v>
      </c>
      <c r="B74" s="146">
        <f>SUM(C74+D74)</f>
        <v>0</v>
      </c>
      <c r="C74" s="147"/>
      <c r="D74" s="147"/>
      <c r="E74" s="147"/>
      <c r="F74" s="147"/>
      <c r="G74" s="147"/>
      <c r="H74" s="147"/>
      <c r="I74" s="147"/>
      <c r="J74" s="147"/>
      <c r="K74" s="147"/>
      <c r="L74" s="147"/>
      <c r="M74" s="147"/>
      <c r="N74" s="147"/>
      <c r="O74" s="147"/>
      <c r="P74" s="147"/>
      <c r="Q74" s="147"/>
      <c r="R74" s="551">
        <f>SUM(E74:Q74)</f>
        <v>0</v>
      </c>
      <c r="S74" s="148"/>
      <c r="T74" s="148"/>
      <c r="U74" s="143"/>
    </row>
    <row r="75" spans="1:21" s="144" customFormat="1">
      <c r="A75" s="145" t="s">
        <v>614</v>
      </c>
      <c r="B75" s="146">
        <f>SUM(C75+D75)</f>
        <v>603843</v>
      </c>
      <c r="C75" s="147">
        <v>603843</v>
      </c>
      <c r="D75" s="147"/>
      <c r="E75" s="147">
        <f>C75</f>
        <v>603843</v>
      </c>
      <c r="F75" s="147"/>
      <c r="G75" s="147"/>
      <c r="H75" s="147"/>
      <c r="I75" s="147"/>
      <c r="J75" s="147"/>
      <c r="K75" s="147"/>
      <c r="L75" s="147"/>
      <c r="M75" s="147"/>
      <c r="N75" s="147"/>
      <c r="O75" s="147"/>
      <c r="P75" s="147"/>
      <c r="Q75" s="147"/>
      <c r="R75" s="551">
        <f>SUM(E75:Q75)</f>
        <v>603843</v>
      </c>
      <c r="S75" s="148"/>
      <c r="T75" s="148"/>
      <c r="U75" s="143"/>
    </row>
    <row r="76" spans="1:21" s="144" customFormat="1">
      <c r="A76" s="1202" t="s">
        <v>34</v>
      </c>
      <c r="B76" s="146">
        <f>SUM(C76+D76)</f>
        <v>0</v>
      </c>
      <c r="C76" s="147"/>
      <c r="D76" s="147"/>
      <c r="E76" s="147"/>
      <c r="F76" s="147"/>
      <c r="G76" s="147"/>
      <c r="H76" s="147"/>
      <c r="I76" s="147"/>
      <c r="J76" s="147"/>
      <c r="K76" s="147"/>
      <c r="L76" s="147"/>
      <c r="M76" s="147"/>
      <c r="N76" s="147"/>
      <c r="O76" s="147"/>
      <c r="P76" s="147"/>
      <c r="Q76" s="147"/>
      <c r="R76" s="551">
        <f>SUM(E76:Q76)</f>
        <v>0</v>
      </c>
      <c r="S76" s="148"/>
      <c r="T76" s="148"/>
      <c r="U76" s="143"/>
    </row>
    <row r="77" spans="1:21" s="144" customFormat="1">
      <c r="A77" s="149" t="s">
        <v>615</v>
      </c>
      <c r="B77" s="146">
        <f>SUM(C77:D77)</f>
        <v>603843</v>
      </c>
      <c r="C77" s="146">
        <f>SUM(C72:C76)</f>
        <v>603843</v>
      </c>
      <c r="D77" s="146">
        <f>SUM(D72:D76)</f>
        <v>0</v>
      </c>
      <c r="E77" s="146">
        <f t="shared" ref="E77:Q77" si="24">SUM(E72:E76)</f>
        <v>603843</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1">
        <f>SUM(R72:R76)</f>
        <v>603843</v>
      </c>
      <c r="S77" s="148"/>
      <c r="T77" s="148"/>
      <c r="U77" s="143"/>
    </row>
    <row r="78" spans="1:21" s="144" customFormat="1">
      <c r="A78" s="141" t="s">
        <v>1353</v>
      </c>
      <c r="B78" s="151"/>
      <c r="C78" s="151"/>
      <c r="D78" s="151"/>
      <c r="E78" s="151"/>
      <c r="F78" s="151"/>
      <c r="G78" s="151"/>
      <c r="H78" s="151"/>
      <c r="I78" s="151"/>
      <c r="J78" s="151"/>
      <c r="K78" s="151"/>
      <c r="L78" s="151"/>
      <c r="M78" s="151"/>
      <c r="N78" s="151"/>
      <c r="O78" s="151"/>
      <c r="P78" s="151"/>
      <c r="Q78" s="151"/>
      <c r="R78" s="372"/>
      <c r="S78" s="151"/>
      <c r="T78" s="151"/>
      <c r="U78" s="143"/>
    </row>
    <row r="79" spans="1:21" s="144" customFormat="1">
      <c r="A79" s="304" t="s">
        <v>1355</v>
      </c>
      <c r="B79" s="146">
        <f>SUM(C79:D79)</f>
        <v>3512927</v>
      </c>
      <c r="C79" s="147">
        <v>3512927</v>
      </c>
      <c r="D79" s="147"/>
      <c r="E79" s="147">
        <f>C79</f>
        <v>3512927</v>
      </c>
      <c r="F79" s="147"/>
      <c r="G79" s="147"/>
      <c r="H79" s="147"/>
      <c r="I79" s="147"/>
      <c r="J79" s="147"/>
      <c r="K79" s="147"/>
      <c r="L79" s="147"/>
      <c r="M79" s="147"/>
      <c r="N79" s="147"/>
      <c r="O79" s="147"/>
      <c r="P79" s="147"/>
      <c r="Q79" s="147"/>
      <c r="R79" s="551">
        <f>SUM(E79:Q79)</f>
        <v>3512927</v>
      </c>
      <c r="S79" s="147">
        <f>R79</f>
        <v>3512927</v>
      </c>
      <c r="T79" s="147"/>
      <c r="U79" s="143"/>
    </row>
    <row r="80" spans="1:21" s="144" customFormat="1">
      <c r="A80" s="304" t="s">
        <v>58</v>
      </c>
      <c r="B80" s="146">
        <f>SUM(C80:D80)</f>
        <v>580966</v>
      </c>
      <c r="C80" s="147">
        <v>580966</v>
      </c>
      <c r="D80" s="147"/>
      <c r="E80" s="147">
        <f>C80</f>
        <v>580966</v>
      </c>
      <c r="F80" s="147"/>
      <c r="G80" s="147"/>
      <c r="H80" s="147"/>
      <c r="I80" s="147"/>
      <c r="J80" s="147"/>
      <c r="K80" s="147"/>
      <c r="L80" s="147"/>
      <c r="M80" s="147"/>
      <c r="N80" s="147"/>
      <c r="O80" s="147"/>
      <c r="P80" s="147"/>
      <c r="Q80" s="147"/>
      <c r="R80" s="551">
        <f>SUM(E80:Q80)</f>
        <v>580966</v>
      </c>
      <c r="S80" s="147">
        <f>R80</f>
        <v>580966</v>
      </c>
      <c r="T80" s="147"/>
      <c r="U80" s="143"/>
    </row>
    <row r="81" spans="1:21" s="144" customFormat="1">
      <c r="A81" s="149" t="s">
        <v>1352</v>
      </c>
      <c r="B81" s="146">
        <f>SUM(C81:D81)</f>
        <v>4093893</v>
      </c>
      <c r="C81" s="544">
        <f>SUM(C79:C80)</f>
        <v>4093893</v>
      </c>
      <c r="D81" s="544">
        <f t="shared" ref="D81:T81" si="25">SUM(D79:D80)</f>
        <v>0</v>
      </c>
      <c r="E81" s="544">
        <f t="shared" si="25"/>
        <v>4093893</v>
      </c>
      <c r="F81" s="544">
        <f t="shared" si="25"/>
        <v>0</v>
      </c>
      <c r="G81" s="544">
        <f t="shared" si="25"/>
        <v>0</v>
      </c>
      <c r="H81" s="544">
        <f t="shared" si="25"/>
        <v>0</v>
      </c>
      <c r="I81" s="544">
        <f t="shared" si="25"/>
        <v>0</v>
      </c>
      <c r="J81" s="544">
        <f t="shared" si="25"/>
        <v>0</v>
      </c>
      <c r="K81" s="544">
        <f t="shared" si="25"/>
        <v>0</v>
      </c>
      <c r="L81" s="544">
        <f t="shared" si="25"/>
        <v>0</v>
      </c>
      <c r="M81" s="544">
        <f t="shared" si="25"/>
        <v>0</v>
      </c>
      <c r="N81" s="544">
        <f t="shared" si="25"/>
        <v>0</v>
      </c>
      <c r="O81" s="544">
        <f t="shared" si="25"/>
        <v>0</v>
      </c>
      <c r="P81" s="544">
        <f t="shared" si="25"/>
        <v>0</v>
      </c>
      <c r="Q81" s="544">
        <f t="shared" si="25"/>
        <v>0</v>
      </c>
      <c r="R81" s="544">
        <f t="shared" si="25"/>
        <v>4093893</v>
      </c>
      <c r="S81" s="544">
        <f t="shared" si="25"/>
        <v>4093893</v>
      </c>
      <c r="T81" s="544">
        <f t="shared" si="25"/>
        <v>0</v>
      </c>
      <c r="U81" s="143"/>
    </row>
    <row r="82" spans="1:21" s="144" customFormat="1">
      <c r="A82" s="141" t="s">
        <v>789</v>
      </c>
      <c r="B82" s="151"/>
      <c r="C82" s="151"/>
      <c r="D82" s="151"/>
      <c r="E82" s="151"/>
      <c r="F82" s="151"/>
      <c r="G82" s="151"/>
      <c r="H82" s="151"/>
      <c r="I82" s="151"/>
      <c r="J82" s="151"/>
      <c r="K82" s="151"/>
      <c r="L82" s="151"/>
      <c r="M82" s="151"/>
      <c r="N82" s="151"/>
      <c r="O82" s="151"/>
      <c r="P82" s="151"/>
      <c r="Q82" s="151"/>
      <c r="R82" s="372"/>
      <c r="S82" s="151"/>
      <c r="T82" s="151"/>
      <c r="U82" s="143"/>
    </row>
    <row r="83" spans="1:21" s="144" customFormat="1" ht="13.7" customHeight="1">
      <c r="A83" s="145" t="s">
        <v>2518</v>
      </c>
      <c r="B83" s="146">
        <f t="shared" ref="B83:B95" si="26">SUM(C83+D83)</f>
        <v>101729</v>
      </c>
      <c r="C83" s="147">
        <v>101729</v>
      </c>
      <c r="D83" s="147"/>
      <c r="E83" s="147">
        <f>C83</f>
        <v>101729</v>
      </c>
      <c r="F83" s="147"/>
      <c r="G83" s="147"/>
      <c r="H83" s="147"/>
      <c r="I83" s="147"/>
      <c r="J83" s="147"/>
      <c r="K83" s="147"/>
      <c r="L83" s="147"/>
      <c r="M83" s="147"/>
      <c r="N83" s="147"/>
      <c r="O83" s="147"/>
      <c r="P83" s="147"/>
      <c r="Q83" s="147"/>
      <c r="R83" s="551">
        <f t="shared" ref="R83:R95" si="27">SUM(E83:Q83)</f>
        <v>101729</v>
      </c>
      <c r="S83" s="148"/>
      <c r="T83" s="148"/>
      <c r="U83" s="143"/>
    </row>
    <row r="84" spans="1:21" s="144" customFormat="1">
      <c r="A84" s="145" t="s">
        <v>791</v>
      </c>
      <c r="B84" s="146">
        <f t="shared" si="26"/>
        <v>0</v>
      </c>
      <c r="C84" s="147"/>
      <c r="D84" s="147"/>
      <c r="E84" s="147">
        <f t="shared" ref="E84:E95" si="28">C84</f>
        <v>0</v>
      </c>
      <c r="F84" s="147"/>
      <c r="G84" s="147"/>
      <c r="H84" s="147"/>
      <c r="I84" s="147"/>
      <c r="J84" s="147"/>
      <c r="K84" s="147"/>
      <c r="L84" s="147"/>
      <c r="M84" s="147"/>
      <c r="N84" s="147"/>
      <c r="O84" s="147"/>
      <c r="P84" s="147"/>
      <c r="Q84" s="147"/>
      <c r="R84" s="551">
        <f t="shared" si="27"/>
        <v>0</v>
      </c>
      <c r="S84" s="147"/>
      <c r="T84" s="147"/>
      <c r="U84" s="143"/>
    </row>
    <row r="85" spans="1:21" s="144" customFormat="1">
      <c r="A85" s="145" t="s">
        <v>792</v>
      </c>
      <c r="B85" s="146">
        <f t="shared" si="26"/>
        <v>8225287</v>
      </c>
      <c r="C85" s="147">
        <v>8225287</v>
      </c>
      <c r="D85" s="147"/>
      <c r="E85" s="147">
        <f t="shared" si="28"/>
        <v>8225287</v>
      </c>
      <c r="F85" s="147"/>
      <c r="G85" s="147"/>
      <c r="H85" s="147"/>
      <c r="I85" s="147"/>
      <c r="J85" s="147"/>
      <c r="K85" s="147"/>
      <c r="L85" s="147"/>
      <c r="M85" s="147"/>
      <c r="N85" s="147"/>
      <c r="O85" s="147"/>
      <c r="P85" s="147"/>
      <c r="Q85" s="147"/>
      <c r="R85" s="551">
        <f t="shared" si="27"/>
        <v>8225287</v>
      </c>
      <c r="S85" s="147">
        <f>R85</f>
        <v>8225287</v>
      </c>
      <c r="T85" s="147"/>
      <c r="U85" s="143"/>
    </row>
    <row r="86" spans="1:21" s="144" customFormat="1">
      <c r="A86" s="145" t="s">
        <v>793</v>
      </c>
      <c r="B86" s="146">
        <f t="shared" si="26"/>
        <v>774644</v>
      </c>
      <c r="C86" s="147">
        <v>774644</v>
      </c>
      <c r="D86" s="147"/>
      <c r="E86" s="147">
        <f t="shared" si="28"/>
        <v>774644</v>
      </c>
      <c r="F86" s="147"/>
      <c r="G86" s="147"/>
      <c r="H86" s="147"/>
      <c r="I86" s="147"/>
      <c r="J86" s="147"/>
      <c r="K86" s="147"/>
      <c r="L86" s="147"/>
      <c r="M86" s="147"/>
      <c r="N86" s="147"/>
      <c r="O86" s="147"/>
      <c r="P86" s="147"/>
      <c r="Q86" s="147"/>
      <c r="R86" s="551">
        <f t="shared" si="27"/>
        <v>774644</v>
      </c>
      <c r="S86" s="147">
        <f>R86</f>
        <v>774644</v>
      </c>
      <c r="T86" s="147"/>
      <c r="U86" s="143"/>
    </row>
    <row r="87" spans="1:21" s="144" customFormat="1">
      <c r="A87" s="145" t="s">
        <v>794</v>
      </c>
      <c r="B87" s="146">
        <f t="shared" si="26"/>
        <v>0</v>
      </c>
      <c r="C87" s="147"/>
      <c r="D87" s="147"/>
      <c r="E87" s="147">
        <f t="shared" si="28"/>
        <v>0</v>
      </c>
      <c r="F87" s="147"/>
      <c r="G87" s="147"/>
      <c r="H87" s="147"/>
      <c r="I87" s="147"/>
      <c r="J87" s="147"/>
      <c r="K87" s="147"/>
      <c r="L87" s="147"/>
      <c r="M87" s="147"/>
      <c r="N87" s="147"/>
      <c r="O87" s="147"/>
      <c r="P87" s="147"/>
      <c r="Q87" s="147"/>
      <c r="R87" s="551">
        <f t="shared" si="27"/>
        <v>0</v>
      </c>
      <c r="S87" s="147"/>
      <c r="T87" s="147"/>
      <c r="U87" s="143"/>
    </row>
    <row r="88" spans="1:21" s="144" customFormat="1">
      <c r="A88" s="145" t="s">
        <v>795</v>
      </c>
      <c r="B88" s="146">
        <f t="shared" si="26"/>
        <v>152000</v>
      </c>
      <c r="C88" s="147">
        <v>152000</v>
      </c>
      <c r="D88" s="147"/>
      <c r="E88" s="147">
        <f t="shared" si="28"/>
        <v>152000</v>
      </c>
      <c r="F88" s="147"/>
      <c r="G88" s="147"/>
      <c r="H88" s="147"/>
      <c r="I88" s="147"/>
      <c r="J88" s="147"/>
      <c r="K88" s="147"/>
      <c r="L88" s="147"/>
      <c r="M88" s="147"/>
      <c r="N88" s="147"/>
      <c r="O88" s="147"/>
      <c r="P88" s="147"/>
      <c r="Q88" s="147"/>
      <c r="R88" s="551">
        <f t="shared" si="27"/>
        <v>152000</v>
      </c>
      <c r="S88" s="148"/>
      <c r="T88" s="148"/>
      <c r="U88" s="143"/>
    </row>
    <row r="89" spans="1:21" s="144" customFormat="1">
      <c r="A89" s="145" t="s">
        <v>796</v>
      </c>
      <c r="B89" s="146">
        <f t="shared" si="26"/>
        <v>352525</v>
      </c>
      <c r="C89" s="147">
        <v>352525</v>
      </c>
      <c r="D89" s="147"/>
      <c r="E89" s="147">
        <f t="shared" si="28"/>
        <v>352525</v>
      </c>
      <c r="F89" s="147"/>
      <c r="G89" s="147"/>
      <c r="H89" s="147"/>
      <c r="I89" s="147"/>
      <c r="J89" s="147"/>
      <c r="K89" s="147"/>
      <c r="L89" s="147"/>
      <c r="M89" s="147"/>
      <c r="N89" s="147"/>
      <c r="O89" s="147"/>
      <c r="P89" s="147"/>
      <c r="Q89" s="147"/>
      <c r="R89" s="551">
        <f t="shared" si="27"/>
        <v>352525</v>
      </c>
      <c r="S89" s="147">
        <f>R89</f>
        <v>352525</v>
      </c>
      <c r="T89" s="147"/>
      <c r="U89" s="143"/>
    </row>
    <row r="90" spans="1:21" s="144" customFormat="1">
      <c r="A90" s="145" t="s">
        <v>797</v>
      </c>
      <c r="B90" s="146">
        <f t="shared" si="26"/>
        <v>7500</v>
      </c>
      <c r="C90" s="147">
        <v>7500</v>
      </c>
      <c r="D90" s="147"/>
      <c r="E90" s="147">
        <f t="shared" si="28"/>
        <v>7500</v>
      </c>
      <c r="F90" s="147"/>
      <c r="G90" s="147"/>
      <c r="H90" s="147"/>
      <c r="I90" s="147"/>
      <c r="J90" s="147"/>
      <c r="K90" s="147"/>
      <c r="L90" s="147"/>
      <c r="M90" s="147"/>
      <c r="N90" s="147"/>
      <c r="O90" s="147"/>
      <c r="P90" s="147"/>
      <c r="Q90" s="147"/>
      <c r="R90" s="551">
        <f t="shared" si="27"/>
        <v>7500</v>
      </c>
      <c r="S90" s="147">
        <f>R90</f>
        <v>7500</v>
      </c>
      <c r="T90" s="147"/>
      <c r="U90" s="143"/>
    </row>
    <row r="91" spans="1:21" s="144" customFormat="1">
      <c r="A91" s="145" t="s">
        <v>373</v>
      </c>
      <c r="B91" s="146">
        <f t="shared" si="26"/>
        <v>25000</v>
      </c>
      <c r="C91" s="147">
        <v>25000</v>
      </c>
      <c r="D91" s="147"/>
      <c r="E91" s="147">
        <f t="shared" si="28"/>
        <v>25000</v>
      </c>
      <c r="F91" s="147"/>
      <c r="G91" s="147"/>
      <c r="H91" s="147"/>
      <c r="I91" s="147"/>
      <c r="J91" s="147"/>
      <c r="K91" s="147"/>
      <c r="L91" s="147"/>
      <c r="M91" s="147"/>
      <c r="N91" s="147"/>
      <c r="O91" s="147"/>
      <c r="P91" s="147"/>
      <c r="Q91" s="147"/>
      <c r="R91" s="551">
        <f t="shared" si="27"/>
        <v>25000</v>
      </c>
      <c r="S91" s="147">
        <f>R91</f>
        <v>25000</v>
      </c>
      <c r="T91" s="147"/>
      <c r="U91" s="143"/>
    </row>
    <row r="92" spans="1:21" s="144" customFormat="1">
      <c r="A92" s="304" t="s">
        <v>1354</v>
      </c>
      <c r="B92" s="146">
        <f t="shared" si="26"/>
        <v>5000</v>
      </c>
      <c r="C92" s="147">
        <v>5000</v>
      </c>
      <c r="D92" s="147"/>
      <c r="E92" s="147">
        <f t="shared" si="28"/>
        <v>5000</v>
      </c>
      <c r="F92" s="147"/>
      <c r="G92" s="147"/>
      <c r="H92" s="147"/>
      <c r="I92" s="147"/>
      <c r="J92" s="147"/>
      <c r="K92" s="147"/>
      <c r="L92" s="147"/>
      <c r="M92" s="147"/>
      <c r="N92" s="147"/>
      <c r="O92" s="147"/>
      <c r="P92" s="147"/>
      <c r="Q92" s="147"/>
      <c r="R92" s="551">
        <f t="shared" si="27"/>
        <v>5000</v>
      </c>
      <c r="S92" s="147">
        <f>R92</f>
        <v>5000</v>
      </c>
      <c r="T92" s="147"/>
      <c r="U92" s="143"/>
    </row>
    <row r="93" spans="1:21" s="144" customFormat="1">
      <c r="A93" s="1202" t="s">
        <v>2715</v>
      </c>
      <c r="B93" s="146">
        <f t="shared" si="26"/>
        <v>143169</v>
      </c>
      <c r="C93" s="147">
        <v>143169</v>
      </c>
      <c r="D93" s="147"/>
      <c r="E93" s="147">
        <f t="shared" si="28"/>
        <v>143169</v>
      </c>
      <c r="F93" s="147"/>
      <c r="G93" s="147"/>
      <c r="H93" s="147"/>
      <c r="I93" s="147"/>
      <c r="J93" s="147"/>
      <c r="K93" s="147"/>
      <c r="L93" s="147"/>
      <c r="M93" s="147"/>
      <c r="N93" s="147"/>
      <c r="O93" s="147"/>
      <c r="P93" s="147"/>
      <c r="Q93" s="147"/>
      <c r="R93" s="551">
        <f t="shared" si="27"/>
        <v>143169</v>
      </c>
      <c r="S93" s="147">
        <f>R93</f>
        <v>143169</v>
      </c>
      <c r="T93" s="147"/>
      <c r="U93" s="143"/>
    </row>
    <row r="94" spans="1:21" s="144" customFormat="1">
      <c r="A94" s="1202" t="s">
        <v>34</v>
      </c>
      <c r="B94" s="146">
        <f t="shared" si="26"/>
        <v>0</v>
      </c>
      <c r="C94" s="147"/>
      <c r="D94" s="147"/>
      <c r="E94" s="147">
        <f t="shared" si="28"/>
        <v>0</v>
      </c>
      <c r="F94" s="147"/>
      <c r="G94" s="147"/>
      <c r="H94" s="147"/>
      <c r="I94" s="147"/>
      <c r="J94" s="147"/>
      <c r="K94" s="147"/>
      <c r="L94" s="147"/>
      <c r="M94" s="147"/>
      <c r="N94" s="147"/>
      <c r="O94" s="147"/>
      <c r="P94" s="147"/>
      <c r="Q94" s="147"/>
      <c r="R94" s="551">
        <f t="shared" si="27"/>
        <v>0</v>
      </c>
      <c r="S94" s="147"/>
      <c r="T94" s="147"/>
      <c r="U94" s="143"/>
    </row>
    <row r="95" spans="1:21" s="144" customFormat="1">
      <c r="A95" s="1202" t="s">
        <v>34</v>
      </c>
      <c r="B95" s="146">
        <f t="shared" si="26"/>
        <v>0</v>
      </c>
      <c r="C95" s="147"/>
      <c r="D95" s="147"/>
      <c r="E95" s="147">
        <f t="shared" si="28"/>
        <v>0</v>
      </c>
      <c r="F95" s="147"/>
      <c r="G95" s="147"/>
      <c r="H95" s="147"/>
      <c r="I95" s="147"/>
      <c r="J95" s="147"/>
      <c r="K95" s="147"/>
      <c r="L95" s="147"/>
      <c r="M95" s="147"/>
      <c r="N95" s="147"/>
      <c r="O95" s="147"/>
      <c r="P95" s="147"/>
      <c r="Q95" s="147"/>
      <c r="R95" s="551">
        <f t="shared" si="27"/>
        <v>0</v>
      </c>
      <c r="S95" s="147"/>
      <c r="T95" s="147"/>
      <c r="U95" s="143"/>
    </row>
    <row r="96" spans="1:21" s="144" customFormat="1">
      <c r="A96" s="149" t="s">
        <v>798</v>
      </c>
      <c r="B96" s="146">
        <f>SUM(C96:D96)</f>
        <v>9786854</v>
      </c>
      <c r="C96" s="146">
        <f t="shared" ref="C96:R96" si="29">SUM(C83:C95)</f>
        <v>9786854</v>
      </c>
      <c r="D96" s="146">
        <f t="shared" si="29"/>
        <v>0</v>
      </c>
      <c r="E96" s="146">
        <f t="shared" si="29"/>
        <v>9786854</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71">
        <f t="shared" si="29"/>
        <v>9786854</v>
      </c>
      <c r="S96" s="150">
        <f>SUM(S84:S87,S89:S95)</f>
        <v>9533125</v>
      </c>
      <c r="T96" s="146">
        <f>SUM(T84:T87,T89:T95)</f>
        <v>0</v>
      </c>
      <c r="U96" s="143"/>
    </row>
    <row r="97" spans="1:21" s="144" customFormat="1">
      <c r="A97" s="149" t="s">
        <v>799</v>
      </c>
      <c r="B97" s="146">
        <f>SUM(C97:D97)</f>
        <v>59045360</v>
      </c>
      <c r="C97" s="146">
        <f t="shared" ref="C97:R97" si="30">SUM(C63+C70+C77+C81+C96)</f>
        <v>59045360</v>
      </c>
      <c r="D97" s="146">
        <f t="shared" si="30"/>
        <v>0</v>
      </c>
      <c r="E97" s="146">
        <f t="shared" si="30"/>
        <v>36263248</v>
      </c>
      <c r="F97" s="146">
        <f t="shared" si="30"/>
        <v>21120000</v>
      </c>
      <c r="G97" s="146">
        <f t="shared" si="30"/>
        <v>1662112</v>
      </c>
      <c r="H97" s="146">
        <f t="shared" si="30"/>
        <v>0</v>
      </c>
      <c r="I97" s="146">
        <f t="shared" si="30"/>
        <v>0</v>
      </c>
      <c r="J97" s="146">
        <f t="shared" si="30"/>
        <v>0</v>
      </c>
      <c r="K97" s="146">
        <f t="shared" si="30"/>
        <v>0</v>
      </c>
      <c r="L97" s="146">
        <f t="shared" si="30"/>
        <v>0</v>
      </c>
      <c r="M97" s="146">
        <f t="shared" si="30"/>
        <v>0</v>
      </c>
      <c r="N97" s="146">
        <f t="shared" si="30"/>
        <v>0</v>
      </c>
      <c r="O97" s="146">
        <f t="shared" si="30"/>
        <v>0</v>
      </c>
      <c r="P97" s="146">
        <f t="shared" si="30"/>
        <v>0</v>
      </c>
      <c r="Q97" s="146">
        <f t="shared" si="30"/>
        <v>0</v>
      </c>
      <c r="R97" s="146">
        <f t="shared" si="30"/>
        <v>59045360</v>
      </c>
      <c r="S97" s="146">
        <f>SUM(S63+S70+S81+S96)</f>
        <v>54630220</v>
      </c>
      <c r="T97" s="146">
        <f>SUM(T63+T70+T81+T96)</f>
        <v>0</v>
      </c>
      <c r="U97" s="143"/>
    </row>
    <row r="98" spans="1:21" s="144" customFormat="1">
      <c r="A98" s="141" t="s">
        <v>800</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801</v>
      </c>
      <c r="B99" s="146">
        <f>SUM(C99+D99)</f>
        <v>8194533</v>
      </c>
      <c r="C99" s="1016">
        <v>8194533</v>
      </c>
      <c r="D99" s="1016"/>
      <c r="E99" s="1016">
        <f>C99-H99</f>
        <v>2660093</v>
      </c>
      <c r="F99" s="147"/>
      <c r="G99" s="147"/>
      <c r="H99" s="147">
        <v>5534440</v>
      </c>
      <c r="I99" s="147"/>
      <c r="J99" s="147"/>
      <c r="K99" s="147"/>
      <c r="L99" s="147"/>
      <c r="M99" s="147"/>
      <c r="N99" s="147"/>
      <c r="O99" s="147"/>
      <c r="P99" s="147"/>
      <c r="Q99" s="147"/>
      <c r="R99" s="551">
        <f>SUM(E99:Q99)</f>
        <v>8194533</v>
      </c>
      <c r="S99" s="147">
        <f>R99</f>
        <v>8194533</v>
      </c>
      <c r="T99" s="147"/>
      <c r="U99" s="143"/>
    </row>
    <row r="100" spans="1:21" s="144" customFormat="1">
      <c r="A100" s="304" t="s">
        <v>1826</v>
      </c>
      <c r="B100" s="146">
        <f>SUM(C100+D100)</f>
        <v>0</v>
      </c>
      <c r="C100" s="147"/>
      <c r="D100" s="147"/>
      <c r="E100" s="147"/>
      <c r="F100" s="147"/>
      <c r="G100" s="147"/>
      <c r="H100" s="147"/>
      <c r="I100" s="147"/>
      <c r="J100" s="147"/>
      <c r="K100" s="147"/>
      <c r="L100" s="147"/>
      <c r="M100" s="147"/>
      <c r="N100" s="147"/>
      <c r="O100" s="147"/>
      <c r="P100" s="147"/>
      <c r="Q100" s="147"/>
      <c r="R100" s="551">
        <f>SUM(E100:Q100)</f>
        <v>0</v>
      </c>
      <c r="S100" s="147"/>
      <c r="T100" s="147"/>
      <c r="U100" s="143"/>
    </row>
    <row r="101" spans="1:21" s="144" customFormat="1" ht="12" customHeight="1">
      <c r="A101" s="145" t="s">
        <v>802</v>
      </c>
      <c r="B101" s="146">
        <f>SUM(C101+D101)</f>
        <v>0</v>
      </c>
      <c r="C101" s="147"/>
      <c r="D101" s="147"/>
      <c r="E101" s="147"/>
      <c r="F101" s="147"/>
      <c r="G101" s="147"/>
      <c r="H101" s="147"/>
      <c r="I101" s="147"/>
      <c r="J101" s="147"/>
      <c r="K101" s="147"/>
      <c r="L101" s="147"/>
      <c r="M101" s="147"/>
      <c r="N101" s="147"/>
      <c r="O101" s="147"/>
      <c r="P101" s="147"/>
      <c r="Q101" s="147"/>
      <c r="R101" s="551">
        <f>SUM(E101:Q101)</f>
        <v>0</v>
      </c>
      <c r="S101" s="147"/>
      <c r="T101" s="147"/>
      <c r="U101" s="143"/>
    </row>
    <row r="102" spans="1:21" s="144" customFormat="1">
      <c r="A102" s="304" t="s">
        <v>1827</v>
      </c>
      <c r="B102" s="146">
        <f>SUM(C102+D102)</f>
        <v>0</v>
      </c>
      <c r="C102" s="147"/>
      <c r="D102" s="147"/>
      <c r="E102" s="147"/>
      <c r="F102" s="147"/>
      <c r="G102" s="147"/>
      <c r="H102" s="147"/>
      <c r="I102" s="147"/>
      <c r="J102" s="147"/>
      <c r="K102" s="147"/>
      <c r="L102" s="147"/>
      <c r="M102" s="147"/>
      <c r="N102" s="147"/>
      <c r="O102" s="147"/>
      <c r="P102" s="147"/>
      <c r="Q102" s="147"/>
      <c r="R102" s="551">
        <f>SUM(E102:Q102)</f>
        <v>0</v>
      </c>
      <c r="S102" s="147"/>
      <c r="T102" s="147"/>
      <c r="U102" s="143"/>
    </row>
    <row r="103" spans="1:21" s="144" customFormat="1">
      <c r="A103" s="1202" t="s">
        <v>34</v>
      </c>
      <c r="B103" s="146">
        <f>SUM(C103+D103)</f>
        <v>0</v>
      </c>
      <c r="C103" s="147"/>
      <c r="D103" s="147"/>
      <c r="E103" s="147"/>
      <c r="F103" s="147"/>
      <c r="G103" s="147"/>
      <c r="H103" s="147"/>
      <c r="I103" s="147"/>
      <c r="J103" s="147"/>
      <c r="K103" s="147"/>
      <c r="L103" s="147"/>
      <c r="M103" s="147"/>
      <c r="N103" s="147"/>
      <c r="O103" s="147"/>
      <c r="P103" s="147"/>
      <c r="Q103" s="147"/>
      <c r="R103" s="551">
        <f>SUM(E103:Q103)</f>
        <v>0</v>
      </c>
      <c r="S103" s="147"/>
      <c r="T103" s="147"/>
      <c r="U103" s="143"/>
    </row>
    <row r="104" spans="1:21" s="144" customFormat="1">
      <c r="A104" s="149" t="s">
        <v>803</v>
      </c>
      <c r="B104" s="146">
        <f>SUM(C104:D104)</f>
        <v>8194533</v>
      </c>
      <c r="C104" s="146">
        <f>SUM(C99:C103)</f>
        <v>8194533</v>
      </c>
      <c r="D104" s="146">
        <f t="shared" ref="D104:T104" si="31">SUM(D99:D103)</f>
        <v>0</v>
      </c>
      <c r="E104" s="146">
        <f t="shared" si="31"/>
        <v>2660093</v>
      </c>
      <c r="F104" s="146">
        <f t="shared" si="31"/>
        <v>0</v>
      </c>
      <c r="G104" s="146">
        <f t="shared" si="31"/>
        <v>0</v>
      </c>
      <c r="H104" s="146">
        <f t="shared" si="31"/>
        <v>5534440</v>
      </c>
      <c r="I104" s="146">
        <f t="shared" si="31"/>
        <v>0</v>
      </c>
      <c r="J104" s="146">
        <f t="shared" si="31"/>
        <v>0</v>
      </c>
      <c r="K104" s="146">
        <f t="shared" si="31"/>
        <v>0</v>
      </c>
      <c r="L104" s="146">
        <f t="shared" si="31"/>
        <v>0</v>
      </c>
      <c r="M104" s="146">
        <f t="shared" si="31"/>
        <v>0</v>
      </c>
      <c r="N104" s="146">
        <f t="shared" si="31"/>
        <v>0</v>
      </c>
      <c r="O104" s="146">
        <f t="shared" si="31"/>
        <v>0</v>
      </c>
      <c r="P104" s="146">
        <f t="shared" si="31"/>
        <v>0</v>
      </c>
      <c r="Q104" s="146">
        <f t="shared" si="31"/>
        <v>0</v>
      </c>
      <c r="R104" s="371">
        <f t="shared" si="31"/>
        <v>8194533</v>
      </c>
      <c r="S104" s="150">
        <f t="shared" si="31"/>
        <v>8194533</v>
      </c>
      <c r="T104" s="150">
        <f t="shared" si="31"/>
        <v>0</v>
      </c>
      <c r="U104" s="143"/>
    </row>
    <row r="105" spans="1:21" s="144" customFormat="1">
      <c r="A105" s="149" t="s">
        <v>804</v>
      </c>
      <c r="B105" s="150">
        <f>SUM(C105:D105)</f>
        <v>67239893</v>
      </c>
      <c r="C105" s="150">
        <f t="shared" ref="C105:R105" si="32">SUM(C97+C104)</f>
        <v>67239893</v>
      </c>
      <c r="D105" s="150">
        <f t="shared" si="32"/>
        <v>0</v>
      </c>
      <c r="E105" s="150">
        <f t="shared" si="32"/>
        <v>38923341</v>
      </c>
      <c r="F105" s="150">
        <f t="shared" si="32"/>
        <v>21120000</v>
      </c>
      <c r="G105" s="150">
        <f t="shared" si="32"/>
        <v>1662112</v>
      </c>
      <c r="H105" s="150">
        <f t="shared" si="32"/>
        <v>5534440</v>
      </c>
      <c r="I105" s="150">
        <f t="shared" si="32"/>
        <v>0</v>
      </c>
      <c r="J105" s="150">
        <f t="shared" si="32"/>
        <v>0</v>
      </c>
      <c r="K105" s="150">
        <f t="shared" si="32"/>
        <v>0</v>
      </c>
      <c r="L105" s="150">
        <f t="shared" si="32"/>
        <v>0</v>
      </c>
      <c r="M105" s="150">
        <f t="shared" si="32"/>
        <v>0</v>
      </c>
      <c r="N105" s="150">
        <f t="shared" si="32"/>
        <v>0</v>
      </c>
      <c r="O105" s="150">
        <f t="shared" si="32"/>
        <v>0</v>
      </c>
      <c r="P105" s="150">
        <f t="shared" si="32"/>
        <v>0</v>
      </c>
      <c r="Q105" s="150">
        <f t="shared" si="32"/>
        <v>0</v>
      </c>
      <c r="R105" s="371">
        <f t="shared" si="32"/>
        <v>67239893</v>
      </c>
      <c r="S105" s="150">
        <f>S97+S104</f>
        <v>62824753</v>
      </c>
      <c r="T105" s="150">
        <f>T97+T104</f>
        <v>0</v>
      </c>
      <c r="U105" s="143"/>
    </row>
    <row r="106" spans="1:21">
      <c r="A106" s="549" t="s">
        <v>1081</v>
      </c>
      <c r="B106" s="157"/>
      <c r="C106" s="157"/>
      <c r="D106" s="157"/>
      <c r="H106" s="159" t="s">
        <v>93</v>
      </c>
      <c r="I106" s="159"/>
      <c r="J106" s="159"/>
      <c r="R106" s="160" t="s">
        <v>94</v>
      </c>
      <c r="S106" s="147"/>
      <c r="T106" s="147"/>
    </row>
    <row r="107" spans="1:21">
      <c r="A107" s="157" t="s">
        <v>184</v>
      </c>
      <c r="C107" s="157"/>
      <c r="D107" s="157"/>
      <c r="I107" s="162" t="s">
        <v>351</v>
      </c>
      <c r="J107" s="162"/>
      <c r="R107" s="160" t="s">
        <v>95</v>
      </c>
      <c r="S107" s="150">
        <f>S105+S106</f>
        <v>62824753</v>
      </c>
      <c r="T107" s="150">
        <f>T105+T106</f>
        <v>0</v>
      </c>
    </row>
    <row r="108" spans="1:21" s="201" customFormat="1">
      <c r="A108" s="162" t="s">
        <v>908</v>
      </c>
      <c r="B108" s="157"/>
      <c r="C108" s="157"/>
      <c r="D108" s="157"/>
      <c r="E108" s="323">
        <f>Application!AO636</f>
        <v>38923341</v>
      </c>
      <c r="F108" s="323">
        <f>Application!AO623</f>
        <v>21120000</v>
      </c>
      <c r="G108" s="323">
        <f>Application!AO624</f>
        <v>1662112</v>
      </c>
      <c r="H108" s="323">
        <f>Application!AO625</f>
        <v>5534440</v>
      </c>
      <c r="I108" s="323">
        <f>Application!AO626</f>
        <v>0</v>
      </c>
      <c r="J108" s="323">
        <f>Application!AO627</f>
        <v>0</v>
      </c>
      <c r="K108" s="323">
        <f>Application!AO628</f>
        <v>0</v>
      </c>
      <c r="L108" s="323">
        <f>Application!AO629</f>
        <v>0</v>
      </c>
      <c r="M108" s="323">
        <f>Application!AO630</f>
        <v>0</v>
      </c>
      <c r="N108" s="323">
        <f>Application!AO631</f>
        <v>0</v>
      </c>
      <c r="O108" s="323">
        <f>Application!AO632</f>
        <v>0</v>
      </c>
      <c r="P108" s="323">
        <f>Application!AO633</f>
        <v>0</v>
      </c>
      <c r="Q108" s="323">
        <f>Application!AO634</f>
        <v>0</v>
      </c>
      <c r="R108" s="158"/>
      <c r="S108" s="158"/>
      <c r="T108" s="158"/>
      <c r="U108" s="200"/>
    </row>
    <row r="109" spans="1:21" ht="10.15" customHeight="1">
      <c r="A109" s="157"/>
      <c r="B109" s="157"/>
      <c r="C109" s="157"/>
      <c r="D109" s="157"/>
    </row>
    <row r="110" spans="1:21">
      <c r="A110" s="162" t="s">
        <v>998</v>
      </c>
      <c r="B110" s="157"/>
      <c r="C110" s="157"/>
      <c r="D110" s="157"/>
    </row>
    <row r="111" spans="1:21">
      <c r="A111" s="156" t="s">
        <v>999</v>
      </c>
      <c r="B111" s="157"/>
      <c r="C111" s="157"/>
      <c r="D111" s="157"/>
    </row>
    <row r="112" spans="1:21" ht="12" customHeight="1">
      <c r="A112" s="336"/>
      <c r="B112" s="157"/>
      <c r="C112" s="157"/>
      <c r="D112" s="157"/>
    </row>
    <row r="113" spans="1:21">
      <c r="A113" s="156" t="s">
        <v>1077</v>
      </c>
      <c r="B113" s="157"/>
      <c r="C113" s="157"/>
      <c r="D113" s="157"/>
    </row>
    <row r="114" spans="1:21">
      <c r="A114" s="156" t="s">
        <v>2519</v>
      </c>
      <c r="B114" s="157"/>
      <c r="C114" s="157"/>
      <c r="D114" s="157"/>
    </row>
    <row r="115" spans="1:21" ht="12" customHeight="1">
      <c r="A115" s="336"/>
      <c r="B115" s="157"/>
      <c r="C115" s="157"/>
      <c r="D115" s="157"/>
    </row>
    <row r="116" spans="1:21">
      <c r="A116" s="374" t="s">
        <v>1083</v>
      </c>
      <c r="B116" s="157"/>
      <c r="C116" s="157"/>
      <c r="D116" s="157"/>
    </row>
    <row r="117" spans="1:21">
      <c r="A117" s="374" t="s">
        <v>1370</v>
      </c>
      <c r="B117" s="157"/>
      <c r="C117" s="157"/>
      <c r="D117" s="157"/>
    </row>
    <row r="118" spans="1:21">
      <c r="A118" s="374" t="s">
        <v>1082</v>
      </c>
      <c r="B118" s="157"/>
      <c r="C118" s="157"/>
      <c r="D118" s="157"/>
    </row>
    <row r="119" spans="1:21">
      <c r="A119" s="374" t="s">
        <v>1084</v>
      </c>
      <c r="B119" s="157"/>
      <c r="C119" s="157"/>
      <c r="D119" s="157"/>
    </row>
    <row r="120" spans="1:21" ht="12" customHeight="1">
      <c r="A120" s="373"/>
      <c r="B120" s="157"/>
      <c r="C120" s="157"/>
      <c r="D120" s="157"/>
    </row>
    <row r="121" spans="1:21" ht="15.75">
      <c r="A121" s="367" t="s">
        <v>1062</v>
      </c>
      <c r="B121" s="157"/>
      <c r="C121" s="157"/>
      <c r="D121" s="157"/>
    </row>
    <row r="122" spans="1:21">
      <c r="A122" s="354" t="s">
        <v>1046</v>
      </c>
      <c r="B122" s="353"/>
      <c r="C122" s="353"/>
      <c r="D122" s="1855" t="s">
        <v>1047</v>
      </c>
      <c r="E122" s="1855"/>
      <c r="F122" s="1855"/>
      <c r="G122" s="353"/>
      <c r="H122" s="353"/>
      <c r="I122" s="353"/>
      <c r="J122" s="353"/>
      <c r="K122" s="353"/>
      <c r="L122" s="353"/>
      <c r="M122" s="353"/>
      <c r="N122" s="353"/>
      <c r="O122" s="353"/>
      <c r="P122" s="353"/>
      <c r="Q122" s="353"/>
      <c r="R122" s="353"/>
      <c r="S122" s="353"/>
      <c r="T122" s="353"/>
      <c r="U122" s="355"/>
    </row>
    <row r="123" spans="1:21">
      <c r="A123" s="353" t="s">
        <v>1048</v>
      </c>
      <c r="B123" s="362"/>
      <c r="C123" s="353"/>
      <c r="D123" s="1857" t="s">
        <v>1371</v>
      </c>
      <c r="E123" s="1858"/>
      <c r="F123" s="1858"/>
      <c r="G123" s="1858"/>
      <c r="H123" s="1858"/>
      <c r="I123" s="1858"/>
      <c r="J123" s="1858"/>
      <c r="K123" s="1858"/>
      <c r="L123" s="1858"/>
      <c r="M123" s="1858"/>
      <c r="N123" s="1858"/>
      <c r="O123" s="1858"/>
      <c r="P123" s="1858"/>
      <c r="Q123" s="1858"/>
      <c r="R123" s="1858"/>
      <c r="S123" s="1858"/>
      <c r="T123" s="353"/>
      <c r="U123" s="355"/>
    </row>
    <row r="124" spans="1:21" ht="12.75">
      <c r="A124" s="117" t="s">
        <v>1049</v>
      </c>
      <c r="B124" s="362"/>
      <c r="C124" s="117"/>
      <c r="D124" s="1858"/>
      <c r="E124" s="1858"/>
      <c r="F124" s="1858"/>
      <c r="G124" s="1858"/>
      <c r="H124" s="1858"/>
      <c r="I124" s="1858"/>
      <c r="J124" s="1858"/>
      <c r="K124" s="1858"/>
      <c r="L124" s="1858"/>
      <c r="M124" s="1858"/>
      <c r="N124" s="1858"/>
      <c r="O124" s="1858"/>
      <c r="P124" s="1858"/>
      <c r="Q124" s="1858"/>
      <c r="R124" s="1858"/>
      <c r="S124" s="1858"/>
      <c r="T124" s="353"/>
      <c r="U124" s="355"/>
    </row>
    <row r="125" spans="1:21" ht="12.75">
      <c r="A125" s="117" t="s">
        <v>1050</v>
      </c>
      <c r="B125" s="362"/>
      <c r="C125" s="117"/>
      <c r="D125" s="1858"/>
      <c r="E125" s="1858"/>
      <c r="F125" s="1858"/>
      <c r="G125" s="1858"/>
      <c r="H125" s="1858"/>
      <c r="I125" s="1858"/>
      <c r="J125" s="1858"/>
      <c r="K125" s="1858"/>
      <c r="L125" s="1858"/>
      <c r="M125" s="1858"/>
      <c r="N125" s="1858"/>
      <c r="O125" s="1858"/>
      <c r="P125" s="1858"/>
      <c r="Q125" s="1858"/>
      <c r="R125" s="1858"/>
      <c r="S125" s="1858"/>
      <c r="T125" s="353"/>
      <c r="U125" s="355"/>
    </row>
    <row r="126" spans="1:21" ht="12.75">
      <c r="A126" s="117" t="s">
        <v>1051</v>
      </c>
      <c r="B126" s="362"/>
      <c r="C126" s="117"/>
      <c r="D126" s="116"/>
      <c r="E126" s="116"/>
      <c r="F126" s="116"/>
      <c r="G126" s="116"/>
      <c r="H126" s="116"/>
      <c r="I126" s="116"/>
      <c r="J126" s="116"/>
      <c r="K126" s="116"/>
      <c r="L126" s="116"/>
      <c r="M126" s="116"/>
      <c r="N126" s="116"/>
      <c r="O126" s="117"/>
      <c r="P126" s="117"/>
      <c r="Q126" s="117"/>
      <c r="R126" s="117"/>
      <c r="S126" s="117"/>
      <c r="T126" s="353"/>
      <c r="U126" s="355"/>
    </row>
    <row r="127" spans="1:21" ht="12.75">
      <c r="A127" s="117" t="s">
        <v>1052</v>
      </c>
      <c r="B127" s="362"/>
      <c r="C127" s="117"/>
      <c r="D127" s="116"/>
      <c r="E127" s="116"/>
      <c r="F127" s="116"/>
      <c r="G127" s="116"/>
      <c r="H127" s="116"/>
      <c r="I127" s="116"/>
      <c r="J127" s="116"/>
      <c r="K127" s="116"/>
      <c r="L127" s="116"/>
      <c r="M127" s="116"/>
      <c r="N127" s="116"/>
      <c r="O127" s="117"/>
      <c r="P127" s="117"/>
      <c r="Q127" s="117"/>
      <c r="R127" s="117"/>
      <c r="S127" s="117"/>
      <c r="T127" s="353"/>
      <c r="U127" s="355"/>
    </row>
    <row r="128" spans="1:21" ht="12.75">
      <c r="A128" s="117" t="s">
        <v>1053</v>
      </c>
      <c r="B128" s="362"/>
      <c r="C128" s="117"/>
      <c r="D128" s="1852"/>
      <c r="E128" s="1852"/>
      <c r="F128" s="1852"/>
      <c r="G128" s="1852"/>
      <c r="H128" s="1852"/>
      <c r="I128" s="117"/>
      <c r="J128" s="1853"/>
      <c r="K128" s="1853"/>
      <c r="L128" s="117"/>
      <c r="M128" s="117"/>
      <c r="N128" s="117"/>
      <c r="O128" s="117"/>
      <c r="P128" s="117"/>
      <c r="Q128" s="117"/>
      <c r="R128" s="117"/>
      <c r="S128" s="117"/>
      <c r="T128" s="353"/>
      <c r="U128" s="355"/>
    </row>
    <row r="129" spans="1:21" ht="12.75">
      <c r="A129" s="117" t="s">
        <v>301</v>
      </c>
      <c r="B129" s="362"/>
      <c r="C129" s="117"/>
      <c r="D129" s="1854" t="s">
        <v>1054</v>
      </c>
      <c r="E129" s="1854"/>
      <c r="F129" s="1854"/>
      <c r="G129" s="1854"/>
      <c r="H129" s="1854"/>
      <c r="I129" s="117"/>
      <c r="J129" s="117" t="s">
        <v>1055</v>
      </c>
      <c r="K129" s="117"/>
      <c r="L129" s="117"/>
      <c r="M129" s="117"/>
      <c r="N129" s="117"/>
      <c r="O129" s="117"/>
      <c r="P129" s="117"/>
      <c r="Q129" s="117"/>
      <c r="R129" s="117"/>
      <c r="S129" s="117"/>
      <c r="T129" s="353"/>
      <c r="U129" s="355"/>
    </row>
    <row r="130" spans="1:21" ht="12" customHeight="1">
      <c r="A130" s="117"/>
      <c r="B130" s="361"/>
      <c r="C130" s="117"/>
      <c r="D130" s="117"/>
      <c r="E130" s="117"/>
      <c r="F130" s="117"/>
      <c r="G130" s="117"/>
      <c r="H130" s="117"/>
      <c r="I130" s="117"/>
      <c r="J130" s="117"/>
      <c r="K130" s="117"/>
      <c r="L130" s="117"/>
      <c r="M130" s="117"/>
      <c r="N130" s="117"/>
      <c r="O130" s="117"/>
      <c r="P130" s="117"/>
      <c r="Q130" s="117"/>
      <c r="R130" s="117"/>
      <c r="S130" s="117"/>
      <c r="T130" s="353"/>
      <c r="U130" s="355"/>
    </row>
    <row r="131" spans="1:21" ht="12.75">
      <c r="A131" s="364" t="s">
        <v>1056</v>
      </c>
      <c r="B131" s="363">
        <f>SUM(B123:B129)</f>
        <v>0</v>
      </c>
      <c r="C131" s="117"/>
      <c r="D131" s="1829"/>
      <c r="E131" s="1829"/>
      <c r="F131" s="1829"/>
      <c r="G131" s="1829"/>
      <c r="H131" s="1829"/>
      <c r="I131" s="117"/>
      <c r="J131" s="1829"/>
      <c r="K131" s="1829"/>
      <c r="L131" s="1829"/>
      <c r="M131" s="1829"/>
      <c r="N131" s="117"/>
      <c r="O131" s="117"/>
      <c r="P131" s="117"/>
      <c r="Q131" s="117"/>
      <c r="R131" s="117"/>
      <c r="S131" s="117"/>
      <c r="T131" s="353"/>
      <c r="U131" s="355"/>
    </row>
    <row r="132" spans="1:21" ht="12" customHeight="1">
      <c r="A132" s="365"/>
      <c r="B132" s="117"/>
      <c r="C132" s="117"/>
      <c r="D132" s="1859" t="s">
        <v>1057</v>
      </c>
      <c r="E132" s="1859"/>
      <c r="F132" s="1859"/>
      <c r="G132" s="1859"/>
      <c r="H132" s="1859"/>
      <c r="I132" s="117"/>
      <c r="J132" s="1859" t="s">
        <v>1058</v>
      </c>
      <c r="K132" s="1859"/>
      <c r="L132" s="1859"/>
      <c r="M132" s="1859"/>
      <c r="N132" s="117"/>
      <c r="O132" s="117"/>
      <c r="P132" s="117"/>
      <c r="Q132" s="117"/>
      <c r="R132" s="117"/>
      <c r="S132" s="117"/>
      <c r="T132" s="353"/>
      <c r="U132" s="355"/>
    </row>
    <row r="133" spans="1:21" ht="12" customHeight="1">
      <c r="A133" s="365"/>
      <c r="B133" s="117"/>
      <c r="C133" s="117"/>
      <c r="D133" s="117"/>
      <c r="E133" s="117"/>
      <c r="F133" s="117"/>
      <c r="G133" s="117"/>
      <c r="H133" s="117"/>
      <c r="I133" s="117"/>
      <c r="J133" s="117"/>
      <c r="K133" s="117"/>
      <c r="L133" s="117"/>
      <c r="M133" s="117"/>
      <c r="N133" s="117"/>
      <c r="O133" s="117"/>
      <c r="P133" s="117"/>
      <c r="Q133" s="117"/>
      <c r="R133" s="117"/>
      <c r="S133" s="117"/>
      <c r="T133" s="353"/>
      <c r="U133" s="355"/>
    </row>
    <row r="134" spans="1:21" ht="12.75">
      <c r="A134" s="91" t="s">
        <v>1059</v>
      </c>
      <c r="B134" s="117"/>
      <c r="C134" s="117"/>
      <c r="D134" s="117"/>
      <c r="E134" s="117"/>
      <c r="F134" s="117"/>
      <c r="G134" s="117"/>
      <c r="H134" s="117"/>
      <c r="I134" s="117"/>
      <c r="J134" s="117"/>
      <c r="K134" s="117"/>
      <c r="L134" s="117"/>
      <c r="M134" s="117"/>
      <c r="N134" s="117"/>
      <c r="O134" s="117"/>
      <c r="P134" s="117"/>
      <c r="Q134" s="117"/>
      <c r="R134" s="117"/>
      <c r="S134" s="117"/>
      <c r="T134" s="353"/>
      <c r="U134" s="355"/>
    </row>
    <row r="135" spans="1:21" ht="12.75">
      <c r="A135" s="336" t="s">
        <v>1060</v>
      </c>
      <c r="B135" s="117"/>
      <c r="C135" s="117"/>
      <c r="D135" s="117"/>
      <c r="E135" s="117"/>
      <c r="F135" s="117"/>
      <c r="G135" s="117"/>
      <c r="H135" s="117"/>
      <c r="I135" s="117"/>
      <c r="J135" s="117"/>
      <c r="K135" s="117"/>
      <c r="L135" s="117"/>
      <c r="M135" s="117"/>
      <c r="N135" s="366"/>
      <c r="O135" s="117"/>
      <c r="P135" s="117"/>
      <c r="Q135" s="117"/>
      <c r="R135" s="117"/>
      <c r="S135" s="117"/>
      <c r="T135" s="353"/>
      <c r="U135" s="355"/>
    </row>
    <row r="136" spans="1:21" ht="12" customHeight="1">
      <c r="A136" s="365"/>
      <c r="B136" s="117"/>
      <c r="C136" s="117"/>
      <c r="D136" s="117"/>
      <c r="E136" s="117"/>
      <c r="F136" s="117"/>
      <c r="G136" s="117"/>
      <c r="H136" s="117"/>
      <c r="I136" s="117"/>
      <c r="J136" s="117"/>
      <c r="K136" s="117"/>
      <c r="L136" s="117"/>
      <c r="M136" s="117"/>
      <c r="N136" s="117"/>
      <c r="O136" s="117"/>
      <c r="P136" s="117"/>
      <c r="Q136" s="117"/>
      <c r="R136" s="117"/>
      <c r="S136" s="117"/>
      <c r="T136" s="359"/>
      <c r="U136" s="360"/>
    </row>
    <row r="137" spans="1:21" ht="12.75">
      <c r="A137" s="365"/>
      <c r="B137" s="117"/>
      <c r="C137" s="117"/>
      <c r="D137" s="117"/>
      <c r="E137" s="117"/>
      <c r="F137" s="117"/>
      <c r="G137" s="117"/>
      <c r="H137" s="117"/>
      <c r="I137" s="117"/>
      <c r="J137" s="117"/>
      <c r="K137" s="117"/>
      <c r="L137" s="117"/>
      <c r="M137" s="117"/>
      <c r="N137" s="117"/>
      <c r="O137" s="117"/>
      <c r="P137" s="117"/>
      <c r="Q137" s="117"/>
      <c r="R137" s="117"/>
      <c r="S137" s="117"/>
      <c r="T137" s="359"/>
      <c r="U137" s="360"/>
    </row>
    <row r="138" spans="1:21" ht="12" customHeight="1">
      <c r="A138" s="1860"/>
      <c r="B138" s="1852"/>
      <c r="C138" s="1852"/>
      <c r="D138" s="357"/>
      <c r="E138" s="1853"/>
      <c r="F138" s="1853"/>
      <c r="G138" s="117"/>
      <c r="H138" s="117"/>
      <c r="I138" s="117"/>
      <c r="J138" s="117"/>
      <c r="K138" s="117"/>
      <c r="L138" s="117"/>
      <c r="M138" s="117"/>
      <c r="N138" s="117"/>
      <c r="O138" s="117"/>
      <c r="P138" s="117"/>
      <c r="Q138" s="117"/>
      <c r="R138" s="117"/>
      <c r="S138" s="117"/>
      <c r="T138" s="359"/>
      <c r="U138" s="360"/>
    </row>
    <row r="139" spans="1:21" ht="12.75">
      <c r="A139" s="1856" t="s">
        <v>1061</v>
      </c>
      <c r="B139" s="1856"/>
      <c r="C139" s="1856"/>
      <c r="D139" s="357"/>
      <c r="E139" s="117" t="s">
        <v>1055</v>
      </c>
      <c r="F139" s="117"/>
      <c r="G139" s="117"/>
      <c r="H139" s="117"/>
      <c r="I139" s="117"/>
      <c r="J139" s="117"/>
      <c r="K139" s="117"/>
      <c r="L139" s="117"/>
      <c r="M139" s="117"/>
      <c r="N139" s="117"/>
      <c r="O139" s="117"/>
      <c r="P139" s="117"/>
      <c r="Q139" s="117"/>
      <c r="R139" s="117"/>
      <c r="S139" s="117"/>
      <c r="T139" s="359"/>
      <c r="U139" s="360"/>
    </row>
    <row r="140" spans="1:21" ht="12.75">
      <c r="A140" s="365"/>
      <c r="B140" s="117"/>
      <c r="C140" s="117"/>
      <c r="D140" s="357"/>
      <c r="E140" s="117"/>
      <c r="F140" s="117"/>
      <c r="G140" s="117"/>
      <c r="H140" s="117"/>
      <c r="I140" s="117"/>
      <c r="J140" s="117"/>
      <c r="K140" s="117"/>
      <c r="L140" s="117"/>
      <c r="M140" s="117"/>
      <c r="N140" s="117"/>
      <c r="O140" s="117"/>
      <c r="P140" s="117"/>
      <c r="Q140" s="117"/>
      <c r="R140" s="117"/>
      <c r="S140" s="117"/>
      <c r="T140" s="356"/>
      <c r="U140" s="358"/>
    </row>
    <row r="151"/>
    <row r="152"/>
    <row r="153"/>
    <row r="154"/>
    <row r="155"/>
  </sheetData>
  <sheetProtection algorithmName="SHA-512" hashValue="T+DR5wxKijvPYkePlp+w6qGx/tpHmyatKcQJVmm3cMQ1Wv/p22mnZcifi9n62/PTdv8Ji1CE+8aAe4DH41pzYw==" saltValue="NdnyJQlsKi6V2vNRGhaLeA=="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T9">
    <cfRule type="expression" dxfId="173" priority="254" stopIfTrue="1">
      <formula>T9&gt;C9</formula>
    </cfRule>
  </conditionalFormatting>
  <conditionalFormatting sqref="S10">
    <cfRule type="expression" dxfId="172" priority="253" stopIfTrue="1">
      <formula>(S10+T10)&gt;C10</formula>
    </cfRule>
  </conditionalFormatting>
  <conditionalFormatting sqref="R8">
    <cfRule type="cellIs" dxfId="171" priority="242" stopIfTrue="1" operator="notEqual">
      <formula>$B8</formula>
    </cfRule>
    <cfRule type="cellIs" priority="245" stopIfTrue="1" operator="notEqual">
      <formula>$B8</formula>
    </cfRule>
  </conditionalFormatting>
  <conditionalFormatting sqref="R4:R7 R56:R61 R45:R53 R83:R95 R99:R103">
    <cfRule type="cellIs" dxfId="170" priority="244" stopIfTrue="1" operator="notEqual">
      <formula>$B4</formula>
    </cfRule>
  </conditionalFormatting>
  <conditionalFormatting sqref="R9:R10">
    <cfRule type="cellIs" dxfId="169" priority="243" stopIfTrue="1" operator="notEqual">
      <formula>$B9</formula>
    </cfRule>
  </conditionalFormatting>
  <conditionalFormatting sqref="R11:R12">
    <cfRule type="cellIs" dxfId="168" priority="240" stopIfTrue="1" operator="notEqual">
      <formula>$B11</formula>
    </cfRule>
    <cfRule type="cellIs" priority="241" stopIfTrue="1" operator="notEqual">
      <formula>$B11</formula>
    </cfRule>
  </conditionalFormatting>
  <conditionalFormatting sqref="R13:R15">
    <cfRule type="cellIs" dxfId="167" priority="239" stopIfTrue="1" operator="notEqual">
      <formula>$B13</formula>
    </cfRule>
  </conditionalFormatting>
  <conditionalFormatting sqref="R26">
    <cfRule type="cellIs" dxfId="166" priority="237" stopIfTrue="1" operator="notEqual">
      <formula>$B26</formula>
    </cfRule>
    <cfRule type="cellIs" priority="238" stopIfTrue="1" operator="notEqual">
      <formula>$B26</formula>
    </cfRule>
  </conditionalFormatting>
  <conditionalFormatting sqref="R17:R25">
    <cfRule type="cellIs" dxfId="165" priority="236" stopIfTrue="1" operator="notEqual">
      <formula>$B17</formula>
    </cfRule>
  </conditionalFormatting>
  <conditionalFormatting sqref="R27">
    <cfRule type="cellIs" dxfId="164" priority="235" stopIfTrue="1" operator="notEqual">
      <formula>$B27</formula>
    </cfRule>
  </conditionalFormatting>
  <conditionalFormatting sqref="R38">
    <cfRule type="cellIs" dxfId="163" priority="233" stopIfTrue="1" operator="notEqual">
      <formula>$B38</formula>
    </cfRule>
    <cfRule type="cellIs" priority="234" stopIfTrue="1" operator="notEqual">
      <formula>$B38</formula>
    </cfRule>
  </conditionalFormatting>
  <conditionalFormatting sqref="R29:R37">
    <cfRule type="cellIs" dxfId="162" priority="232" stopIfTrue="1" operator="notEqual">
      <formula>$B29</formula>
    </cfRule>
  </conditionalFormatting>
  <conditionalFormatting sqref="R42">
    <cfRule type="cellIs" dxfId="161" priority="230" stopIfTrue="1" operator="notEqual">
      <formula>$B42</formula>
    </cfRule>
    <cfRule type="cellIs" priority="231" stopIfTrue="1" operator="notEqual">
      <formula>$B42</formula>
    </cfRule>
  </conditionalFormatting>
  <conditionalFormatting sqref="R40:R41">
    <cfRule type="cellIs" dxfId="160" priority="229" stopIfTrue="1" operator="notEqual">
      <formula>$B40</formula>
    </cfRule>
  </conditionalFormatting>
  <conditionalFormatting sqref="R43">
    <cfRule type="cellIs" dxfId="159" priority="228" stopIfTrue="1" operator="notEqual">
      <formula>$B43</formula>
    </cfRule>
  </conditionalFormatting>
  <conditionalFormatting sqref="R54">
    <cfRule type="cellIs" dxfId="158" priority="226" stopIfTrue="1" operator="notEqual">
      <formula>$B54</formula>
    </cfRule>
    <cfRule type="cellIs" priority="227" stopIfTrue="1" operator="notEqual">
      <formula>$B54</formula>
    </cfRule>
  </conditionalFormatting>
  <conditionalFormatting sqref="R62:R63">
    <cfRule type="cellIs" dxfId="157" priority="223" stopIfTrue="1" operator="notEqual">
      <formula>$B62</formula>
    </cfRule>
    <cfRule type="cellIs" priority="224" stopIfTrue="1" operator="notEqual">
      <formula>$B62</formula>
    </cfRule>
  </conditionalFormatting>
  <conditionalFormatting sqref="R70">
    <cfRule type="cellIs" dxfId="156" priority="220" stopIfTrue="1" operator="notEqual">
      <formula>$B70</formula>
    </cfRule>
    <cfRule type="cellIs" priority="221" stopIfTrue="1" operator="notEqual">
      <formula>$B70</formula>
    </cfRule>
  </conditionalFormatting>
  <conditionalFormatting sqref="R65:R69">
    <cfRule type="cellIs" dxfId="155" priority="219" stopIfTrue="1" operator="notEqual">
      <formula>$B65</formula>
    </cfRule>
  </conditionalFormatting>
  <conditionalFormatting sqref="R77">
    <cfRule type="cellIs" dxfId="154" priority="217" stopIfTrue="1" operator="notEqual">
      <formula>$B77</formula>
    </cfRule>
    <cfRule type="cellIs" priority="218" stopIfTrue="1" operator="notEqual">
      <formula>$B77</formula>
    </cfRule>
  </conditionalFormatting>
  <conditionalFormatting sqref="R96">
    <cfRule type="cellIs" dxfId="153" priority="215" stopIfTrue="1" operator="notEqual">
      <formula>$B96</formula>
    </cfRule>
    <cfRule type="cellIs" priority="216" stopIfTrue="1" operator="notEqual">
      <formula>$B96</formula>
    </cfRule>
  </conditionalFormatting>
  <conditionalFormatting sqref="R72:R76">
    <cfRule type="cellIs" dxfId="152" priority="214" stopIfTrue="1" operator="notEqual">
      <formula>$B72</formula>
    </cfRule>
  </conditionalFormatting>
  <conditionalFormatting sqref="R79:R80">
    <cfRule type="cellIs" dxfId="151" priority="213" stopIfTrue="1" operator="notEqual">
      <formula>$B79</formula>
    </cfRule>
  </conditionalFormatting>
  <conditionalFormatting sqref="R104:R105">
    <cfRule type="cellIs" dxfId="150" priority="210" stopIfTrue="1" operator="notEqual">
      <formula>$B104</formula>
    </cfRule>
    <cfRule type="cellIs" priority="211" stopIfTrue="1" operator="notEqual">
      <formula>$B104</formula>
    </cfRule>
  </conditionalFormatting>
  <conditionalFormatting sqref="E105:Q105">
    <cfRule type="cellIs" dxfId="149" priority="208" stopIfTrue="1" operator="notEqual">
      <formula>E$108</formula>
    </cfRule>
  </conditionalFormatting>
  <conditionalFormatting sqref="S13">
    <cfRule type="expression" dxfId="148" priority="205" stopIfTrue="1">
      <formula>(S13+T13)&gt;C13</formula>
    </cfRule>
  </conditionalFormatting>
  <conditionalFormatting sqref="S14">
    <cfRule type="expression" dxfId="147" priority="202" stopIfTrue="1">
      <formula>(S14+T14)&gt;C14</formula>
    </cfRule>
  </conditionalFormatting>
  <conditionalFormatting sqref="S17">
    <cfRule type="expression" dxfId="146" priority="201" stopIfTrue="1">
      <formula>(S17+T17)&gt;C17</formula>
    </cfRule>
  </conditionalFormatting>
  <conditionalFormatting sqref="S18">
    <cfRule type="expression" dxfId="145" priority="193" stopIfTrue="1">
      <formula>(S18+T18)&gt;C18</formula>
    </cfRule>
  </conditionalFormatting>
  <conditionalFormatting sqref="S19">
    <cfRule type="expression" dxfId="144" priority="191" stopIfTrue="1">
      <formula>(S19+T19)&gt;C19</formula>
    </cfRule>
  </conditionalFormatting>
  <conditionalFormatting sqref="S20">
    <cfRule type="expression" dxfId="143" priority="190" stopIfTrue="1">
      <formula>(S20+T20)&gt;C20</formula>
    </cfRule>
  </conditionalFormatting>
  <conditionalFormatting sqref="S21">
    <cfRule type="expression" dxfId="142" priority="189" stopIfTrue="1">
      <formula>(S21+T21)&gt;C21</formula>
    </cfRule>
  </conditionalFormatting>
  <conditionalFormatting sqref="S22">
    <cfRule type="expression" dxfId="141" priority="188" stopIfTrue="1">
      <formula>(S22+T22)&gt;C22</formula>
    </cfRule>
  </conditionalFormatting>
  <conditionalFormatting sqref="S23:S24">
    <cfRule type="expression" dxfId="140" priority="187" stopIfTrue="1">
      <formula>(S23+T23)&gt;C23</formula>
    </cfRule>
  </conditionalFormatting>
  <conditionalFormatting sqref="S25">
    <cfRule type="expression" dxfId="139" priority="186" stopIfTrue="1">
      <formula>(S25+T25)&gt;C25</formula>
    </cfRule>
  </conditionalFormatting>
  <conditionalFormatting sqref="S27">
    <cfRule type="expression" dxfId="138" priority="179" stopIfTrue="1">
      <formula>(S27+T27)&gt;C27</formula>
    </cfRule>
  </conditionalFormatting>
  <conditionalFormatting sqref="S29">
    <cfRule type="expression" dxfId="137" priority="177" stopIfTrue="1">
      <formula>(S29+T29)&gt;C29</formula>
    </cfRule>
  </conditionalFormatting>
  <conditionalFormatting sqref="S30">
    <cfRule type="expression" dxfId="136" priority="175" stopIfTrue="1">
      <formula>(S30+T30)&gt;C30</formula>
    </cfRule>
  </conditionalFormatting>
  <conditionalFormatting sqref="S31">
    <cfRule type="expression" dxfId="135" priority="174" stopIfTrue="1">
      <formula>(S31+T31)&gt;C31</formula>
    </cfRule>
  </conditionalFormatting>
  <conditionalFormatting sqref="S32">
    <cfRule type="expression" dxfId="134" priority="173" stopIfTrue="1">
      <formula>(S32+T32)&gt;C32</formula>
    </cfRule>
  </conditionalFormatting>
  <conditionalFormatting sqref="S33">
    <cfRule type="expression" dxfId="133" priority="172" stopIfTrue="1">
      <formula>(S33+T33)&gt;C33</formula>
    </cfRule>
  </conditionalFormatting>
  <conditionalFormatting sqref="S34">
    <cfRule type="expression" dxfId="132" priority="171" stopIfTrue="1">
      <formula>(S34+T34)&gt;C34</formula>
    </cfRule>
  </conditionalFormatting>
  <conditionalFormatting sqref="S35:S36">
    <cfRule type="expression" dxfId="131" priority="170" stopIfTrue="1">
      <formula>(S35+T35)&gt;C35</formula>
    </cfRule>
  </conditionalFormatting>
  <conditionalFormatting sqref="S37">
    <cfRule type="expression" dxfId="130" priority="169" stopIfTrue="1">
      <formula>(S37+T37)&gt;C37</formula>
    </cfRule>
  </conditionalFormatting>
  <conditionalFormatting sqref="S40">
    <cfRule type="expression" dxfId="129" priority="161" stopIfTrue="1">
      <formula>(S40+T40)&gt;C40</formula>
    </cfRule>
  </conditionalFormatting>
  <conditionalFormatting sqref="S41">
    <cfRule type="expression" dxfId="128" priority="160" stopIfTrue="1">
      <formula>(S41+T41)&gt;C41</formula>
    </cfRule>
  </conditionalFormatting>
  <conditionalFormatting sqref="S43">
    <cfRule type="expression" dxfId="127" priority="157" stopIfTrue="1">
      <formula>(S43+T43)&gt;C43</formula>
    </cfRule>
  </conditionalFormatting>
  <conditionalFormatting sqref="S45">
    <cfRule type="expression" dxfId="126" priority="155" stopIfTrue="1">
      <formula>(S45+T45)&gt;C45</formula>
    </cfRule>
  </conditionalFormatting>
  <conditionalFormatting sqref="S46">
    <cfRule type="expression" dxfId="125" priority="150" stopIfTrue="1">
      <formula>(S46+T46)&gt;C46</formula>
    </cfRule>
  </conditionalFormatting>
  <conditionalFormatting sqref="S47">
    <cfRule type="expression" dxfId="124" priority="149" stopIfTrue="1">
      <formula>(S47+T47)&gt;C47</formula>
    </cfRule>
  </conditionalFormatting>
  <conditionalFormatting sqref="S48">
    <cfRule type="expression" dxfId="123" priority="148" stopIfTrue="1">
      <formula>(S48+T48)&gt;C48</formula>
    </cfRule>
  </conditionalFormatting>
  <conditionalFormatting sqref="S49">
    <cfRule type="expression" dxfId="122" priority="147" stopIfTrue="1">
      <formula>(S49+T49)&gt;C49</formula>
    </cfRule>
  </conditionalFormatting>
  <conditionalFormatting sqref="S50">
    <cfRule type="expression" dxfId="121" priority="146" stopIfTrue="1">
      <formula>(S50+T50)&gt;C50</formula>
    </cfRule>
  </conditionalFormatting>
  <conditionalFormatting sqref="S51">
    <cfRule type="expression" dxfId="120" priority="145" stopIfTrue="1">
      <formula>(S51+T51)&gt;C51</formula>
    </cfRule>
  </conditionalFormatting>
  <conditionalFormatting sqref="S52">
    <cfRule type="expression" dxfId="119" priority="144" stopIfTrue="1">
      <formula>(S52+T52)&gt;C52</formula>
    </cfRule>
  </conditionalFormatting>
  <conditionalFormatting sqref="S53">
    <cfRule type="expression" dxfId="118" priority="142" stopIfTrue="1">
      <formula>(S53+T53)&gt;C53</formula>
    </cfRule>
  </conditionalFormatting>
  <conditionalFormatting sqref="S65:S68">
    <cfRule type="expression" dxfId="117" priority="132" stopIfTrue="1">
      <formula>(S65+T65)&gt;C65</formula>
    </cfRule>
  </conditionalFormatting>
  <conditionalFormatting sqref="S69">
    <cfRule type="expression" dxfId="116" priority="131" stopIfTrue="1">
      <formula>(S69+T69)&gt;C69</formula>
    </cfRule>
  </conditionalFormatting>
  <conditionalFormatting sqref="S79">
    <cfRule type="expression" dxfId="115" priority="128" stopIfTrue="1">
      <formula>(S79+T79)&gt;C79</formula>
    </cfRule>
  </conditionalFormatting>
  <conditionalFormatting sqref="S80">
    <cfRule type="expression" dxfId="114" priority="127" stopIfTrue="1">
      <formula>(S80+T80)&gt;C80</formula>
    </cfRule>
  </conditionalFormatting>
  <conditionalFormatting sqref="S84">
    <cfRule type="expression" dxfId="113" priority="124" stopIfTrue="1">
      <formula>(S84+T84)&gt;C84</formula>
    </cfRule>
  </conditionalFormatting>
  <conditionalFormatting sqref="S85">
    <cfRule type="expression" dxfId="112" priority="123" stopIfTrue="1">
      <formula>(S85+T85)&gt;C85</formula>
    </cfRule>
  </conditionalFormatting>
  <conditionalFormatting sqref="S86">
    <cfRule type="expression" dxfId="111" priority="122" stopIfTrue="1">
      <formula>(S86+T86)&gt;C86</formula>
    </cfRule>
  </conditionalFormatting>
  <conditionalFormatting sqref="S87">
    <cfRule type="expression" dxfId="110" priority="121" stopIfTrue="1">
      <formula>(S87+T87)&gt;C87</formula>
    </cfRule>
  </conditionalFormatting>
  <conditionalFormatting sqref="S89">
    <cfRule type="expression" dxfId="109" priority="116" stopIfTrue="1">
      <formula>(S89+T89)&gt;C89</formula>
    </cfRule>
  </conditionalFormatting>
  <conditionalFormatting sqref="S90">
    <cfRule type="expression" dxfId="108" priority="115" stopIfTrue="1">
      <formula>(S90+T90)&gt;C90</formula>
    </cfRule>
  </conditionalFormatting>
  <conditionalFormatting sqref="S91">
    <cfRule type="expression" dxfId="107" priority="114" stopIfTrue="1">
      <formula>(S91+T91)&gt;C91</formula>
    </cfRule>
  </conditionalFormatting>
  <conditionalFormatting sqref="S92">
    <cfRule type="expression" dxfId="106" priority="113" stopIfTrue="1">
      <formula>(S92+T92)&gt;C92</formula>
    </cfRule>
  </conditionalFormatting>
  <conditionalFormatting sqref="S93">
    <cfRule type="expression" dxfId="105" priority="112" stopIfTrue="1">
      <formula>(S93+T93)&gt;C93</formula>
    </cfRule>
  </conditionalFormatting>
  <conditionalFormatting sqref="S94">
    <cfRule type="expression" dxfId="104" priority="111" stopIfTrue="1">
      <formula>(S94+T94)&gt;C94</formula>
    </cfRule>
  </conditionalFormatting>
  <conditionalFormatting sqref="S95">
    <cfRule type="expression" dxfId="103" priority="110" stopIfTrue="1">
      <formula>(S95+T95)&gt;C95</formula>
    </cfRule>
  </conditionalFormatting>
  <conditionalFormatting sqref="S99">
    <cfRule type="expression" dxfId="102" priority="98" stopIfTrue="1">
      <formula>(S99+T99)&gt;C99</formula>
    </cfRule>
  </conditionalFormatting>
  <conditionalFormatting sqref="S100">
    <cfRule type="expression" dxfId="101" priority="97" stopIfTrue="1">
      <formula>(S100+T100)&gt;C100</formula>
    </cfRule>
  </conditionalFormatting>
  <conditionalFormatting sqref="S101">
    <cfRule type="expression" dxfId="100" priority="95" stopIfTrue="1">
      <formula>(S101+T101)&gt;C101</formula>
    </cfRule>
  </conditionalFormatting>
  <conditionalFormatting sqref="S102">
    <cfRule type="expression" dxfId="99" priority="94" stopIfTrue="1">
      <formula>(S102+T102)&gt;C102</formula>
    </cfRule>
  </conditionalFormatting>
  <conditionalFormatting sqref="S103">
    <cfRule type="expression" dxfId="98" priority="93" stopIfTrue="1">
      <formula>(S103+T103)&gt;C103</formula>
    </cfRule>
  </conditionalFormatting>
  <conditionalFormatting sqref="C10">
    <cfRule type="expression" dxfId="97" priority="85">
      <formula>"(S10+T10)&gt;C10 "</formula>
    </cfRule>
  </conditionalFormatting>
  <conditionalFormatting sqref="T10">
    <cfRule type="expression" dxfId="96" priority="83" stopIfTrue="1">
      <formula>(S10+T10)&gt;C10</formula>
    </cfRule>
  </conditionalFormatting>
  <conditionalFormatting sqref="T13">
    <cfRule type="expression" dxfId="95" priority="81" stopIfTrue="1">
      <formula>(S13+T13)&gt;C13</formula>
    </cfRule>
  </conditionalFormatting>
  <conditionalFormatting sqref="T14">
    <cfRule type="expression" dxfId="94" priority="80" stopIfTrue="1">
      <formula>(S14+T14)&gt;C14</formula>
    </cfRule>
  </conditionalFormatting>
  <conditionalFormatting sqref="T17">
    <cfRule type="expression" dxfId="93" priority="79" stopIfTrue="1">
      <formula>(S17+T17)&gt;C17</formula>
    </cfRule>
  </conditionalFormatting>
  <conditionalFormatting sqref="T18">
    <cfRule type="expression" dxfId="92" priority="62" stopIfTrue="1">
      <formula>(S18+T18)&gt;C18</formula>
    </cfRule>
  </conditionalFormatting>
  <conditionalFormatting sqref="T19">
    <cfRule type="expression" dxfId="91" priority="61" stopIfTrue="1">
      <formula>(S19+T19)&gt;C19</formula>
    </cfRule>
  </conditionalFormatting>
  <conditionalFormatting sqref="T20">
    <cfRule type="expression" dxfId="90" priority="60" stopIfTrue="1">
      <formula>(S20+T20)&gt;C20</formula>
    </cfRule>
  </conditionalFormatting>
  <conditionalFormatting sqref="T21">
    <cfRule type="expression" dxfId="89" priority="59" stopIfTrue="1">
      <formula>(S21+T21)&gt;C21</formula>
    </cfRule>
  </conditionalFormatting>
  <conditionalFormatting sqref="T22">
    <cfRule type="expression" dxfId="88" priority="58" stopIfTrue="1">
      <formula>(S22+T22)&gt;C22</formula>
    </cfRule>
  </conditionalFormatting>
  <conditionalFormatting sqref="T23:T24">
    <cfRule type="expression" dxfId="87" priority="57" stopIfTrue="1">
      <formula>(S23+T23)&gt;C23</formula>
    </cfRule>
  </conditionalFormatting>
  <conditionalFormatting sqref="T25">
    <cfRule type="expression" dxfId="86" priority="56" stopIfTrue="1">
      <formula>(S25+T25)&gt;C25</formula>
    </cfRule>
  </conditionalFormatting>
  <conditionalFormatting sqref="T27">
    <cfRule type="expression" dxfId="85" priority="54" stopIfTrue="1">
      <formula>(S27+T27)&gt;C27</formula>
    </cfRule>
  </conditionalFormatting>
  <conditionalFormatting sqref="T29">
    <cfRule type="expression" dxfId="84" priority="53" stopIfTrue="1">
      <formula>(S29+T29)&gt;C29</formula>
    </cfRule>
  </conditionalFormatting>
  <conditionalFormatting sqref="T30">
    <cfRule type="expression" dxfId="83" priority="51" stopIfTrue="1">
      <formula>(S30+T30)&gt;C30</formula>
    </cfRule>
  </conditionalFormatting>
  <conditionalFormatting sqref="T31">
    <cfRule type="expression" dxfId="82" priority="50" stopIfTrue="1">
      <formula>(S31+T31)&gt;C31</formula>
    </cfRule>
  </conditionalFormatting>
  <conditionalFormatting sqref="T32">
    <cfRule type="expression" dxfId="81" priority="49" stopIfTrue="1">
      <formula>(S32+T32)&gt;C32</formula>
    </cfRule>
  </conditionalFormatting>
  <conditionalFormatting sqref="T33">
    <cfRule type="expression" dxfId="80" priority="48" stopIfTrue="1">
      <formula>(S33+T33)&gt;C33</formula>
    </cfRule>
  </conditionalFormatting>
  <conditionalFormatting sqref="T34">
    <cfRule type="expression" dxfId="79" priority="47" stopIfTrue="1">
      <formula>(S34+T34)&gt;C34</formula>
    </cfRule>
  </conditionalFormatting>
  <conditionalFormatting sqref="T35:T36">
    <cfRule type="expression" dxfId="78" priority="46" stopIfTrue="1">
      <formula>(S35+T35)&gt;C35</formula>
    </cfRule>
  </conditionalFormatting>
  <conditionalFormatting sqref="T37">
    <cfRule type="expression" dxfId="77" priority="45" stopIfTrue="1">
      <formula>(S37+T37)&gt;C37</formula>
    </cfRule>
  </conditionalFormatting>
  <conditionalFormatting sqref="T40">
    <cfRule type="expression" dxfId="76" priority="44" stopIfTrue="1">
      <formula>(S40+T40)&gt;C40</formula>
    </cfRule>
  </conditionalFormatting>
  <conditionalFormatting sqref="T41">
    <cfRule type="expression" dxfId="75" priority="43" stopIfTrue="1">
      <formula>(S41+T41)&gt;C41</formula>
    </cfRule>
  </conditionalFormatting>
  <conditionalFormatting sqref="T43">
    <cfRule type="expression" dxfId="74" priority="42" stopIfTrue="1">
      <formula>(S43+T43)&gt;C43</formula>
    </cfRule>
  </conditionalFormatting>
  <conditionalFormatting sqref="T45">
    <cfRule type="expression" dxfId="73" priority="41" stopIfTrue="1">
      <formula>(S45+T45)&gt;C45</formula>
    </cfRule>
  </conditionalFormatting>
  <conditionalFormatting sqref="T46">
    <cfRule type="expression" dxfId="72" priority="40" stopIfTrue="1">
      <formula>(S46+T46)&gt;C46</formula>
    </cfRule>
  </conditionalFormatting>
  <conditionalFormatting sqref="T47">
    <cfRule type="expression" dxfId="71" priority="39" stopIfTrue="1">
      <formula>(S47+T47)&gt;C47</formula>
    </cfRule>
  </conditionalFormatting>
  <conditionalFormatting sqref="T48">
    <cfRule type="expression" dxfId="70" priority="38" stopIfTrue="1">
      <formula>(S48+T48)&gt;C48</formula>
    </cfRule>
  </conditionalFormatting>
  <conditionalFormatting sqref="T49">
    <cfRule type="expression" dxfId="69" priority="37" stopIfTrue="1">
      <formula>(S49+T49)&gt;C49</formula>
    </cfRule>
  </conditionalFormatting>
  <conditionalFormatting sqref="T50">
    <cfRule type="expression" dxfId="68" priority="36" stopIfTrue="1">
      <formula>(S50+T50)&gt;C50</formula>
    </cfRule>
  </conditionalFormatting>
  <conditionalFormatting sqref="T51">
    <cfRule type="expression" dxfId="67" priority="35" stopIfTrue="1">
      <formula>(S51+T51)&gt;C51</formula>
    </cfRule>
  </conditionalFormatting>
  <conditionalFormatting sqref="T52">
    <cfRule type="expression" dxfId="66" priority="34" stopIfTrue="1">
      <formula>(S52+T52)&gt;C52</formula>
    </cfRule>
  </conditionalFormatting>
  <conditionalFormatting sqref="T53">
    <cfRule type="expression" dxfId="65" priority="32" stopIfTrue="1">
      <formula>(S53+T53)&gt;C53</formula>
    </cfRule>
  </conditionalFormatting>
  <conditionalFormatting sqref="T65:T68">
    <cfRule type="expression" dxfId="64" priority="31" stopIfTrue="1">
      <formula>(S65+T65)&gt;C65</formula>
    </cfRule>
  </conditionalFormatting>
  <conditionalFormatting sqref="T69">
    <cfRule type="expression" dxfId="63" priority="30" stopIfTrue="1">
      <formula>(S69+T69)&gt;C69</formula>
    </cfRule>
  </conditionalFormatting>
  <conditionalFormatting sqref="T79">
    <cfRule type="expression" dxfId="62" priority="29" stopIfTrue="1">
      <formula>(S79+T79)&gt;C79</formula>
    </cfRule>
  </conditionalFormatting>
  <conditionalFormatting sqref="T80">
    <cfRule type="expression" dxfId="61" priority="28" stopIfTrue="1">
      <formula>(S80+T80)&gt;C80</formula>
    </cfRule>
  </conditionalFormatting>
  <conditionalFormatting sqref="T84">
    <cfRule type="expression" dxfId="60" priority="27" stopIfTrue="1">
      <formula>(S84+T84)&gt;C84</formula>
    </cfRule>
  </conditionalFormatting>
  <conditionalFormatting sqref="T85">
    <cfRule type="expression" dxfId="59" priority="26" stopIfTrue="1">
      <formula>(S85+T85)&gt;C85</formula>
    </cfRule>
  </conditionalFormatting>
  <conditionalFormatting sqref="T86">
    <cfRule type="expression" dxfId="58" priority="25" stopIfTrue="1">
      <formula>(S86+T86)&gt;C86</formula>
    </cfRule>
  </conditionalFormatting>
  <conditionalFormatting sqref="T87">
    <cfRule type="expression" dxfId="57" priority="24" stopIfTrue="1">
      <formula>(S87+T87)&gt;C87</formula>
    </cfRule>
  </conditionalFormatting>
  <conditionalFormatting sqref="T89">
    <cfRule type="expression" dxfId="56" priority="23" stopIfTrue="1">
      <formula>(S89+T89)&gt;C89</formula>
    </cfRule>
  </conditionalFormatting>
  <conditionalFormatting sqref="T90">
    <cfRule type="expression" dxfId="55" priority="22" stopIfTrue="1">
      <formula>(S90+T90)&gt;C90</formula>
    </cfRule>
  </conditionalFormatting>
  <conditionalFormatting sqref="T91">
    <cfRule type="expression" dxfId="54" priority="21" stopIfTrue="1">
      <formula>(S91+T91)&gt;C91</formula>
    </cfRule>
  </conditionalFormatting>
  <conditionalFormatting sqref="T92">
    <cfRule type="expression" dxfId="53" priority="20" stopIfTrue="1">
      <formula>(S92+T92)&gt;C92</formula>
    </cfRule>
  </conditionalFormatting>
  <conditionalFormatting sqref="T93">
    <cfRule type="expression" dxfId="52" priority="19" stopIfTrue="1">
      <formula>(S93+T93)&gt;C93</formula>
    </cfRule>
  </conditionalFormatting>
  <conditionalFormatting sqref="T94">
    <cfRule type="expression" dxfId="51" priority="18" stopIfTrue="1">
      <formula>(S94+T94)&gt;C94</formula>
    </cfRule>
  </conditionalFormatting>
  <conditionalFormatting sqref="T95">
    <cfRule type="expression" dxfId="50" priority="17" stopIfTrue="1">
      <formula>(S95+T95)&gt;C95</formula>
    </cfRule>
  </conditionalFormatting>
  <conditionalFormatting sqref="T99">
    <cfRule type="expression" dxfId="49" priority="14" stopIfTrue="1">
      <formula>(S99+T99)&gt;C99</formula>
    </cfRule>
  </conditionalFormatting>
  <conditionalFormatting sqref="T100">
    <cfRule type="expression" dxfId="48" priority="13" stopIfTrue="1">
      <formula>(S100+T100)&gt;C100</formula>
    </cfRule>
  </conditionalFormatting>
  <conditionalFormatting sqref="T101">
    <cfRule type="expression" dxfId="47" priority="11" stopIfTrue="1">
      <formula>(S101+T101)&gt;C101</formula>
    </cfRule>
  </conditionalFormatting>
  <conditionalFormatting sqref="T102">
    <cfRule type="expression" dxfId="46" priority="10" stopIfTrue="1">
      <formula>(S102+T102)&gt;C102</formula>
    </cfRule>
  </conditionalFormatting>
  <conditionalFormatting sqref="T103">
    <cfRule type="expression" dxfId="45" priority="9" stopIfTrue="1">
      <formula>(S103+T103)&gt;C103</formula>
    </cfRule>
  </conditionalFormatting>
  <conditionalFormatting sqref="A25">
    <cfRule type="expression" dxfId="44" priority="8">
      <formula>AND(B25&gt;0,OR(A25="",A25="Other: (Specify)"))</formula>
    </cfRule>
  </conditionalFormatting>
  <conditionalFormatting sqref="A37">
    <cfRule type="expression" dxfId="43" priority="7">
      <formula>AND(B37&gt;0,OR(A37="",A37="Other: (Specify)"))</formula>
    </cfRule>
  </conditionalFormatting>
  <conditionalFormatting sqref="A53">
    <cfRule type="expression" dxfId="42" priority="6">
      <formula>AND(B53&gt;0,OR(A53="",A53="Other: (Specify)"))</formula>
    </cfRule>
  </conditionalFormatting>
  <conditionalFormatting sqref="A61">
    <cfRule type="expression" dxfId="41" priority="5">
      <formula>AND(B61&gt;0,OR(A61="",A61="Other: (Specify)"))</formula>
    </cfRule>
  </conditionalFormatting>
  <conditionalFormatting sqref="A69">
    <cfRule type="expression" dxfId="40" priority="4">
      <formula>AND(B69&gt;0,OR(A69="",A69="Other: (Specify)"))</formula>
    </cfRule>
  </conditionalFormatting>
  <conditionalFormatting sqref="A76">
    <cfRule type="expression" dxfId="39" priority="3">
      <formula>AND(B76&gt;0,OR(A76="",A76="Other: (Specify)"))</formula>
    </cfRule>
  </conditionalFormatting>
  <conditionalFormatting sqref="A93:A95">
    <cfRule type="expression" dxfId="38" priority="2">
      <formula>AND(B93&gt;0,OR(A93="",A93="Other: (Specify)"))</formula>
    </cfRule>
  </conditionalFormatting>
  <conditionalFormatting sqref="A103">
    <cfRule type="expression" dxfId="37" priority="1">
      <formula>AND(B103&gt;0,OR(A103="",A103="Other: (Specify)"))</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showZeros="0" topLeftCell="A63" zoomScaleNormal="100" zoomScaleSheetLayoutView="100" workbookViewId="0">
      <selection activeCell="F100" sqref="F100"/>
    </sheetView>
  </sheetViews>
  <sheetFormatPr defaultColWidth="0" defaultRowHeight="12" zeroHeight="1"/>
  <cols>
    <col min="1" max="1" width="32.7109375" style="429" customWidth="1"/>
    <col min="2" max="3" width="12.140625" style="425" customWidth="1"/>
    <col min="4" max="6" width="12.85546875" style="425" customWidth="1"/>
    <col min="7" max="9" width="12.140625" style="425" customWidth="1"/>
    <col min="10" max="10" width="12.140625" style="426" customWidth="1"/>
    <col min="11" max="11" width="8.85546875" style="427" hidden="1" customWidth="1"/>
    <col min="12" max="21" width="8.85546875" style="425" hidden="1" customWidth="1"/>
    <col min="22" max="23" width="0" style="425" hidden="1"/>
    <col min="24" max="256" width="8.85546875" style="425" hidden="1"/>
    <col min="257" max="257" width="32.7109375" style="425" hidden="1" customWidth="1"/>
    <col min="258" max="259" width="12.140625" style="425" hidden="1" customWidth="1"/>
    <col min="260" max="260" width="12.85546875" style="425" hidden="1" customWidth="1"/>
    <col min="261" max="266" width="12.140625" style="425" hidden="1" customWidth="1"/>
    <col min="267" max="277" width="8.85546875" style="425" hidden="1" customWidth="1"/>
    <col min="278" max="512" width="8.85546875" style="425" hidden="1"/>
    <col min="513" max="513" width="32.7109375" style="425" hidden="1" customWidth="1"/>
    <col min="514" max="515" width="12.140625" style="425" hidden="1" customWidth="1"/>
    <col min="516" max="516" width="12.85546875" style="425" hidden="1" customWidth="1"/>
    <col min="517" max="522" width="12.140625" style="425" hidden="1" customWidth="1"/>
    <col min="523" max="533" width="8.85546875" style="425" hidden="1" customWidth="1"/>
    <col min="534" max="768" width="8.85546875" style="425" hidden="1"/>
    <col min="769" max="769" width="32.7109375" style="425" hidden="1" customWidth="1"/>
    <col min="770" max="771" width="12.140625" style="425" hidden="1" customWidth="1"/>
    <col min="772" max="772" width="12.85546875" style="425" hidden="1" customWidth="1"/>
    <col min="773" max="778" width="12.140625" style="425" hidden="1" customWidth="1"/>
    <col min="779" max="789" width="8.85546875" style="425" hidden="1" customWidth="1"/>
    <col min="790" max="1024" width="8.85546875" style="425" hidden="1"/>
    <col min="1025" max="1025" width="32.7109375" style="425" hidden="1" customWidth="1"/>
    <col min="1026" max="1027" width="12.140625" style="425" hidden="1" customWidth="1"/>
    <col min="1028" max="1028" width="12.85546875" style="425" hidden="1" customWidth="1"/>
    <col min="1029" max="1034" width="12.140625" style="425" hidden="1" customWidth="1"/>
    <col min="1035" max="1045" width="8.85546875" style="425" hidden="1" customWidth="1"/>
    <col min="1046" max="1280" width="8.85546875" style="425" hidden="1"/>
    <col min="1281" max="1281" width="32.7109375" style="425" hidden="1" customWidth="1"/>
    <col min="1282" max="1283" width="12.140625" style="425" hidden="1" customWidth="1"/>
    <col min="1284" max="1284" width="12.85546875" style="425" hidden="1" customWidth="1"/>
    <col min="1285" max="1290" width="12.140625" style="425" hidden="1" customWidth="1"/>
    <col min="1291" max="1301" width="8.85546875" style="425" hidden="1" customWidth="1"/>
    <col min="1302" max="1536" width="8.85546875" style="425" hidden="1"/>
    <col min="1537" max="1537" width="32.7109375" style="425" hidden="1" customWidth="1"/>
    <col min="1538" max="1539" width="12.140625" style="425" hidden="1" customWidth="1"/>
    <col min="1540" max="1540" width="12.85546875" style="425" hidden="1" customWidth="1"/>
    <col min="1541" max="1546" width="12.140625" style="425" hidden="1" customWidth="1"/>
    <col min="1547" max="1557" width="8.85546875" style="425" hidden="1" customWidth="1"/>
    <col min="1558" max="1792" width="8.85546875" style="425" hidden="1"/>
    <col min="1793" max="1793" width="32.7109375" style="425" hidden="1" customWidth="1"/>
    <col min="1794" max="1795" width="12.140625" style="425" hidden="1" customWidth="1"/>
    <col min="1796" max="1796" width="12.85546875" style="425" hidden="1" customWidth="1"/>
    <col min="1797" max="1802" width="12.140625" style="425" hidden="1" customWidth="1"/>
    <col min="1803" max="1813" width="8.85546875" style="425" hidden="1" customWidth="1"/>
    <col min="1814" max="2048" width="8.85546875" style="425" hidden="1"/>
    <col min="2049" max="2049" width="32.7109375" style="425" hidden="1" customWidth="1"/>
    <col min="2050" max="2051" width="12.140625" style="425" hidden="1" customWidth="1"/>
    <col min="2052" max="2052" width="12.85546875" style="425" hidden="1" customWidth="1"/>
    <col min="2053" max="2058" width="12.140625" style="425" hidden="1" customWidth="1"/>
    <col min="2059" max="2069" width="8.85546875" style="425" hidden="1" customWidth="1"/>
    <col min="2070" max="2304" width="8.85546875" style="425" hidden="1"/>
    <col min="2305" max="2305" width="32.7109375" style="425" hidden="1" customWidth="1"/>
    <col min="2306" max="2307" width="12.140625" style="425" hidden="1" customWidth="1"/>
    <col min="2308" max="2308" width="12.85546875" style="425" hidden="1" customWidth="1"/>
    <col min="2309" max="2314" width="12.140625" style="425" hidden="1" customWidth="1"/>
    <col min="2315" max="2325" width="8.85546875" style="425" hidden="1" customWidth="1"/>
    <col min="2326" max="2560" width="8.85546875" style="425" hidden="1"/>
    <col min="2561" max="2561" width="32.7109375" style="425" hidden="1" customWidth="1"/>
    <col min="2562" max="2563" width="12.140625" style="425" hidden="1" customWidth="1"/>
    <col min="2564" max="2564" width="12.85546875" style="425" hidden="1" customWidth="1"/>
    <col min="2565" max="2570" width="12.140625" style="425" hidden="1" customWidth="1"/>
    <col min="2571" max="2581" width="8.85546875" style="425" hidden="1" customWidth="1"/>
    <col min="2582" max="2816" width="8.85546875" style="425" hidden="1"/>
    <col min="2817" max="2817" width="32.7109375" style="425" hidden="1" customWidth="1"/>
    <col min="2818" max="2819" width="12.140625" style="425" hidden="1" customWidth="1"/>
    <col min="2820" max="2820" width="12.85546875" style="425" hidden="1" customWidth="1"/>
    <col min="2821" max="2826" width="12.140625" style="425" hidden="1" customWidth="1"/>
    <col min="2827" max="2837" width="8.85546875" style="425" hidden="1" customWidth="1"/>
    <col min="2838" max="3072" width="8.85546875" style="425" hidden="1"/>
    <col min="3073" max="3073" width="32.7109375" style="425" hidden="1" customWidth="1"/>
    <col min="3074" max="3075" width="12.140625" style="425" hidden="1" customWidth="1"/>
    <col min="3076" max="3076" width="12.85546875" style="425" hidden="1" customWidth="1"/>
    <col min="3077" max="3082" width="12.140625" style="425" hidden="1" customWidth="1"/>
    <col min="3083" max="3093" width="8.85546875" style="425" hidden="1" customWidth="1"/>
    <col min="3094" max="3328" width="8.85546875" style="425" hidden="1"/>
    <col min="3329" max="3329" width="32.7109375" style="425" hidden="1" customWidth="1"/>
    <col min="3330" max="3331" width="12.140625" style="425" hidden="1" customWidth="1"/>
    <col min="3332" max="3332" width="12.85546875" style="425" hidden="1" customWidth="1"/>
    <col min="3333" max="3338" width="12.140625" style="425" hidden="1" customWidth="1"/>
    <col min="3339" max="3349" width="8.85546875" style="425" hidden="1" customWidth="1"/>
    <col min="3350" max="3584" width="8.85546875" style="425" hidden="1"/>
    <col min="3585" max="3585" width="32.7109375" style="425" hidden="1" customWidth="1"/>
    <col min="3586" max="3587" width="12.140625" style="425" hidden="1" customWidth="1"/>
    <col min="3588" max="3588" width="12.85546875" style="425" hidden="1" customWidth="1"/>
    <col min="3589" max="3594" width="12.140625" style="425" hidden="1" customWidth="1"/>
    <col min="3595" max="3605" width="8.85546875" style="425" hidden="1" customWidth="1"/>
    <col min="3606" max="3840" width="8.85546875" style="425" hidden="1"/>
    <col min="3841" max="3841" width="32.7109375" style="425" hidden="1" customWidth="1"/>
    <col min="3842" max="3843" width="12.140625" style="425" hidden="1" customWidth="1"/>
    <col min="3844" max="3844" width="12.85546875" style="425" hidden="1" customWidth="1"/>
    <col min="3845" max="3850" width="12.140625" style="425" hidden="1" customWidth="1"/>
    <col min="3851" max="3861" width="8.85546875" style="425" hidden="1" customWidth="1"/>
    <col min="3862" max="4096" width="8.85546875" style="425" hidden="1"/>
    <col min="4097" max="4097" width="32.7109375" style="425" hidden="1" customWidth="1"/>
    <col min="4098" max="4099" width="12.140625" style="425" hidden="1" customWidth="1"/>
    <col min="4100" max="4100" width="12.85546875" style="425" hidden="1" customWidth="1"/>
    <col min="4101" max="4106" width="12.140625" style="425" hidden="1" customWidth="1"/>
    <col min="4107" max="4117" width="8.85546875" style="425" hidden="1" customWidth="1"/>
    <col min="4118" max="4352" width="8.85546875" style="425" hidden="1"/>
    <col min="4353" max="4353" width="32.7109375" style="425" hidden="1" customWidth="1"/>
    <col min="4354" max="4355" width="12.140625" style="425" hidden="1" customWidth="1"/>
    <col min="4356" max="4356" width="12.85546875" style="425" hidden="1" customWidth="1"/>
    <col min="4357" max="4362" width="12.140625" style="425" hidden="1" customWidth="1"/>
    <col min="4363" max="4373" width="8.85546875" style="425" hidden="1" customWidth="1"/>
    <col min="4374" max="4608" width="8.85546875" style="425" hidden="1"/>
    <col min="4609" max="4609" width="32.7109375" style="425" hidden="1" customWidth="1"/>
    <col min="4610" max="4611" width="12.140625" style="425" hidden="1" customWidth="1"/>
    <col min="4612" max="4612" width="12.85546875" style="425" hidden="1" customWidth="1"/>
    <col min="4613" max="4618" width="12.140625" style="425" hidden="1" customWidth="1"/>
    <col min="4619" max="4629" width="8.85546875" style="425" hidden="1" customWidth="1"/>
    <col min="4630" max="4864" width="8.85546875" style="425" hidden="1"/>
    <col min="4865" max="4865" width="32.7109375" style="425" hidden="1" customWidth="1"/>
    <col min="4866" max="4867" width="12.140625" style="425" hidden="1" customWidth="1"/>
    <col min="4868" max="4868" width="12.85546875" style="425" hidden="1" customWidth="1"/>
    <col min="4869" max="4874" width="12.140625" style="425" hidden="1" customWidth="1"/>
    <col min="4875" max="4885" width="8.85546875" style="425" hidden="1" customWidth="1"/>
    <col min="4886" max="5120" width="8.85546875" style="425" hidden="1"/>
    <col min="5121" max="5121" width="32.7109375" style="425" hidden="1" customWidth="1"/>
    <col min="5122" max="5123" width="12.140625" style="425" hidden="1" customWidth="1"/>
    <col min="5124" max="5124" width="12.85546875" style="425" hidden="1" customWidth="1"/>
    <col min="5125" max="5130" width="12.140625" style="425" hidden="1" customWidth="1"/>
    <col min="5131" max="5141" width="8.85546875" style="425" hidden="1" customWidth="1"/>
    <col min="5142" max="5376" width="8.85546875" style="425" hidden="1"/>
    <col min="5377" max="5377" width="32.7109375" style="425" hidden="1" customWidth="1"/>
    <col min="5378" max="5379" width="12.140625" style="425" hidden="1" customWidth="1"/>
    <col min="5380" max="5380" width="12.85546875" style="425" hidden="1" customWidth="1"/>
    <col min="5381" max="5386" width="12.140625" style="425" hidden="1" customWidth="1"/>
    <col min="5387" max="5397" width="8.85546875" style="425" hidden="1" customWidth="1"/>
    <col min="5398" max="5632" width="8.85546875" style="425" hidden="1"/>
    <col min="5633" max="5633" width="32.7109375" style="425" hidden="1" customWidth="1"/>
    <col min="5634" max="5635" width="12.140625" style="425" hidden="1" customWidth="1"/>
    <col min="5636" max="5636" width="12.85546875" style="425" hidden="1" customWidth="1"/>
    <col min="5637" max="5642" width="12.140625" style="425" hidden="1" customWidth="1"/>
    <col min="5643" max="5653" width="8.85546875" style="425" hidden="1" customWidth="1"/>
    <col min="5654" max="5888" width="8.85546875" style="425" hidden="1"/>
    <col min="5889" max="5889" width="32.7109375" style="425" hidden="1" customWidth="1"/>
    <col min="5890" max="5891" width="12.140625" style="425" hidden="1" customWidth="1"/>
    <col min="5892" max="5892" width="12.85546875" style="425" hidden="1" customWidth="1"/>
    <col min="5893" max="5898" width="12.140625" style="425" hidden="1" customWidth="1"/>
    <col min="5899" max="5909" width="8.85546875" style="425" hidden="1" customWidth="1"/>
    <col min="5910" max="6144" width="8.85546875" style="425" hidden="1"/>
    <col min="6145" max="6145" width="32.7109375" style="425" hidden="1" customWidth="1"/>
    <col min="6146" max="6147" width="12.140625" style="425" hidden="1" customWidth="1"/>
    <col min="6148" max="6148" width="12.85546875" style="425" hidden="1" customWidth="1"/>
    <col min="6149" max="6154" width="12.140625" style="425" hidden="1" customWidth="1"/>
    <col min="6155" max="6165" width="8.85546875" style="425" hidden="1" customWidth="1"/>
    <col min="6166" max="6400" width="8.85546875" style="425" hidden="1"/>
    <col min="6401" max="6401" width="32.7109375" style="425" hidden="1" customWidth="1"/>
    <col min="6402" max="6403" width="12.140625" style="425" hidden="1" customWidth="1"/>
    <col min="6404" max="6404" width="12.85546875" style="425" hidden="1" customWidth="1"/>
    <col min="6405" max="6410" width="12.140625" style="425" hidden="1" customWidth="1"/>
    <col min="6411" max="6421" width="8.85546875" style="425" hidden="1" customWidth="1"/>
    <col min="6422" max="6656" width="8.85546875" style="425" hidden="1"/>
    <col min="6657" max="6657" width="32.7109375" style="425" hidden="1" customWidth="1"/>
    <col min="6658" max="6659" width="12.140625" style="425" hidden="1" customWidth="1"/>
    <col min="6660" max="6660" width="12.85546875" style="425" hidden="1" customWidth="1"/>
    <col min="6661" max="6666" width="12.140625" style="425" hidden="1" customWidth="1"/>
    <col min="6667" max="6677" width="8.85546875" style="425" hidden="1" customWidth="1"/>
    <col min="6678" max="6912" width="8.85546875" style="425" hidden="1"/>
    <col min="6913" max="6913" width="32.7109375" style="425" hidden="1" customWidth="1"/>
    <col min="6914" max="6915" width="12.140625" style="425" hidden="1" customWidth="1"/>
    <col min="6916" max="6916" width="12.85546875" style="425" hidden="1" customWidth="1"/>
    <col min="6917" max="6922" width="12.140625" style="425" hidden="1" customWidth="1"/>
    <col min="6923" max="6933" width="8.85546875" style="425" hidden="1" customWidth="1"/>
    <col min="6934" max="7168" width="8.85546875" style="425" hidden="1"/>
    <col min="7169" max="7169" width="32.7109375" style="425" hidden="1" customWidth="1"/>
    <col min="7170" max="7171" width="12.140625" style="425" hidden="1" customWidth="1"/>
    <col min="7172" max="7172" width="12.85546875" style="425" hidden="1" customWidth="1"/>
    <col min="7173" max="7178" width="12.140625" style="425" hidden="1" customWidth="1"/>
    <col min="7179" max="7189" width="8.85546875" style="425" hidden="1" customWidth="1"/>
    <col min="7190" max="7424" width="8.85546875" style="425" hidden="1"/>
    <col min="7425" max="7425" width="32.7109375" style="425" hidden="1" customWidth="1"/>
    <col min="7426" max="7427" width="12.140625" style="425" hidden="1" customWidth="1"/>
    <col min="7428" max="7428" width="12.85546875" style="425" hidden="1" customWidth="1"/>
    <col min="7429" max="7434" width="12.140625" style="425" hidden="1" customWidth="1"/>
    <col min="7435" max="7445" width="8.85546875" style="425" hidden="1" customWidth="1"/>
    <col min="7446" max="7680" width="8.85546875" style="425" hidden="1"/>
    <col min="7681" max="7681" width="32.7109375" style="425" hidden="1" customWidth="1"/>
    <col min="7682" max="7683" width="12.140625" style="425" hidden="1" customWidth="1"/>
    <col min="7684" max="7684" width="12.85546875" style="425" hidden="1" customWidth="1"/>
    <col min="7685" max="7690" width="12.140625" style="425" hidden="1" customWidth="1"/>
    <col min="7691" max="7701" width="8.85546875" style="425" hidden="1" customWidth="1"/>
    <col min="7702" max="7936" width="8.85546875" style="425" hidden="1"/>
    <col min="7937" max="7937" width="32.7109375" style="425" hidden="1" customWidth="1"/>
    <col min="7938" max="7939" width="12.140625" style="425" hidden="1" customWidth="1"/>
    <col min="7940" max="7940" width="12.85546875" style="425" hidden="1" customWidth="1"/>
    <col min="7941" max="7946" width="12.140625" style="425" hidden="1" customWidth="1"/>
    <col min="7947" max="7957" width="8.85546875" style="425" hidden="1" customWidth="1"/>
    <col min="7958" max="8192" width="8.85546875" style="425" hidden="1"/>
    <col min="8193" max="8193" width="32.7109375" style="425" hidden="1" customWidth="1"/>
    <col min="8194" max="8195" width="12.140625" style="425" hidden="1" customWidth="1"/>
    <col min="8196" max="8196" width="12.85546875" style="425" hidden="1" customWidth="1"/>
    <col min="8197" max="8202" width="12.140625" style="425" hidden="1" customWidth="1"/>
    <col min="8203" max="8213" width="8.85546875" style="425" hidden="1" customWidth="1"/>
    <col min="8214" max="8448" width="8.85546875" style="425" hidden="1"/>
    <col min="8449" max="8449" width="32.7109375" style="425" hidden="1" customWidth="1"/>
    <col min="8450" max="8451" width="12.140625" style="425" hidden="1" customWidth="1"/>
    <col min="8452" max="8452" width="12.85546875" style="425" hidden="1" customWidth="1"/>
    <col min="8453" max="8458" width="12.140625" style="425" hidden="1" customWidth="1"/>
    <col min="8459" max="8469" width="8.85546875" style="425" hidden="1" customWidth="1"/>
    <col min="8470" max="8704" width="8.85546875" style="425" hidden="1"/>
    <col min="8705" max="8705" width="32.7109375" style="425" hidden="1" customWidth="1"/>
    <col min="8706" max="8707" width="12.140625" style="425" hidden="1" customWidth="1"/>
    <col min="8708" max="8708" width="12.85546875" style="425" hidden="1" customWidth="1"/>
    <col min="8709" max="8714" width="12.140625" style="425" hidden="1" customWidth="1"/>
    <col min="8715" max="8725" width="8.85546875" style="425" hidden="1" customWidth="1"/>
    <col min="8726" max="8960" width="8.85546875" style="425" hidden="1"/>
    <col min="8961" max="8961" width="32.7109375" style="425" hidden="1" customWidth="1"/>
    <col min="8962" max="8963" width="12.140625" style="425" hidden="1" customWidth="1"/>
    <col min="8964" max="8964" width="12.85546875" style="425" hidden="1" customWidth="1"/>
    <col min="8965" max="8970" width="12.140625" style="425" hidden="1" customWidth="1"/>
    <col min="8971" max="8981" width="8.85546875" style="425" hidden="1" customWidth="1"/>
    <col min="8982" max="9216" width="8.85546875" style="425" hidden="1"/>
    <col min="9217" max="9217" width="32.7109375" style="425" hidden="1" customWidth="1"/>
    <col min="9218" max="9219" width="12.140625" style="425" hidden="1" customWidth="1"/>
    <col min="9220" max="9220" width="12.85546875" style="425" hidden="1" customWidth="1"/>
    <col min="9221" max="9226" width="12.140625" style="425" hidden="1" customWidth="1"/>
    <col min="9227" max="9237" width="8.85546875" style="425" hidden="1" customWidth="1"/>
    <col min="9238" max="9472" width="8.85546875" style="425" hidden="1"/>
    <col min="9473" max="9473" width="32.7109375" style="425" hidden="1" customWidth="1"/>
    <col min="9474" max="9475" width="12.140625" style="425" hidden="1" customWidth="1"/>
    <col min="9476" max="9476" width="12.85546875" style="425" hidden="1" customWidth="1"/>
    <col min="9477" max="9482" width="12.140625" style="425" hidden="1" customWidth="1"/>
    <col min="9483" max="9493" width="8.85546875" style="425" hidden="1" customWidth="1"/>
    <col min="9494" max="9728" width="8.85546875" style="425" hidden="1"/>
    <col min="9729" max="9729" width="32.7109375" style="425" hidden="1" customWidth="1"/>
    <col min="9730" max="9731" width="12.140625" style="425" hidden="1" customWidth="1"/>
    <col min="9732" max="9732" width="12.85546875" style="425" hidden="1" customWidth="1"/>
    <col min="9733" max="9738" width="12.140625" style="425" hidden="1" customWidth="1"/>
    <col min="9739" max="9749" width="8.85546875" style="425" hidden="1" customWidth="1"/>
    <col min="9750" max="9984" width="8.85546875" style="425" hidden="1"/>
    <col min="9985" max="9985" width="32.7109375" style="425" hidden="1" customWidth="1"/>
    <col min="9986" max="9987" width="12.140625" style="425" hidden="1" customWidth="1"/>
    <col min="9988" max="9988" width="12.85546875" style="425" hidden="1" customWidth="1"/>
    <col min="9989" max="9994" width="12.140625" style="425" hidden="1" customWidth="1"/>
    <col min="9995" max="10005" width="8.85546875" style="425" hidden="1" customWidth="1"/>
    <col min="10006" max="10240" width="8.85546875" style="425" hidden="1"/>
    <col min="10241" max="10241" width="32.7109375" style="425" hidden="1" customWidth="1"/>
    <col min="10242" max="10243" width="12.140625" style="425" hidden="1" customWidth="1"/>
    <col min="10244" max="10244" width="12.85546875" style="425" hidden="1" customWidth="1"/>
    <col min="10245" max="10250" width="12.140625" style="425" hidden="1" customWidth="1"/>
    <col min="10251" max="10261" width="8.85546875" style="425" hidden="1" customWidth="1"/>
    <col min="10262" max="10496" width="8.85546875" style="425" hidden="1"/>
    <col min="10497" max="10497" width="32.7109375" style="425" hidden="1" customWidth="1"/>
    <col min="10498" max="10499" width="12.140625" style="425" hidden="1" customWidth="1"/>
    <col min="10500" max="10500" width="12.85546875" style="425" hidden="1" customWidth="1"/>
    <col min="10501" max="10506" width="12.140625" style="425" hidden="1" customWidth="1"/>
    <col min="10507" max="10517" width="8.85546875" style="425" hidden="1" customWidth="1"/>
    <col min="10518" max="10752" width="8.85546875" style="425" hidden="1"/>
    <col min="10753" max="10753" width="32.7109375" style="425" hidden="1" customWidth="1"/>
    <col min="10754" max="10755" width="12.140625" style="425" hidden="1" customWidth="1"/>
    <col min="10756" max="10756" width="12.85546875" style="425" hidden="1" customWidth="1"/>
    <col min="10757" max="10762" width="12.140625" style="425" hidden="1" customWidth="1"/>
    <col min="10763" max="10773" width="8.85546875" style="425" hidden="1" customWidth="1"/>
    <col min="10774" max="11008" width="8.85546875" style="425" hidden="1"/>
    <col min="11009" max="11009" width="32.7109375" style="425" hidden="1" customWidth="1"/>
    <col min="11010" max="11011" width="12.140625" style="425" hidden="1" customWidth="1"/>
    <col min="11012" max="11012" width="12.85546875" style="425" hidden="1" customWidth="1"/>
    <col min="11013" max="11018" width="12.140625" style="425" hidden="1" customWidth="1"/>
    <col min="11019" max="11029" width="8.85546875" style="425" hidden="1" customWidth="1"/>
    <col min="11030" max="11264" width="8.85546875" style="425" hidden="1"/>
    <col min="11265" max="11265" width="32.7109375" style="425" hidden="1" customWidth="1"/>
    <col min="11266" max="11267" width="12.140625" style="425" hidden="1" customWidth="1"/>
    <col min="11268" max="11268" width="12.85546875" style="425" hidden="1" customWidth="1"/>
    <col min="11269" max="11274" width="12.140625" style="425" hidden="1" customWidth="1"/>
    <col min="11275" max="11285" width="8.85546875" style="425" hidden="1" customWidth="1"/>
    <col min="11286" max="11520" width="8.85546875" style="425" hidden="1"/>
    <col min="11521" max="11521" width="32.7109375" style="425" hidden="1" customWidth="1"/>
    <col min="11522" max="11523" width="12.140625" style="425" hidden="1" customWidth="1"/>
    <col min="11524" max="11524" width="12.85546875" style="425" hidden="1" customWidth="1"/>
    <col min="11525" max="11530" width="12.140625" style="425" hidden="1" customWidth="1"/>
    <col min="11531" max="11541" width="8.85546875" style="425" hidden="1" customWidth="1"/>
    <col min="11542" max="11776" width="8.85546875" style="425" hidden="1"/>
    <col min="11777" max="11777" width="32.7109375" style="425" hidden="1" customWidth="1"/>
    <col min="11778" max="11779" width="12.140625" style="425" hidden="1" customWidth="1"/>
    <col min="11780" max="11780" width="12.85546875" style="425" hidden="1" customWidth="1"/>
    <col min="11781" max="11786" width="12.140625" style="425" hidden="1" customWidth="1"/>
    <col min="11787" max="11797" width="8.85546875" style="425" hidden="1" customWidth="1"/>
    <col min="11798" max="12032" width="8.85546875" style="425" hidden="1"/>
    <col min="12033" max="12033" width="32.7109375" style="425" hidden="1" customWidth="1"/>
    <col min="12034" max="12035" width="12.140625" style="425" hidden="1" customWidth="1"/>
    <col min="12036" max="12036" width="12.85546875" style="425" hidden="1" customWidth="1"/>
    <col min="12037" max="12042" width="12.140625" style="425" hidden="1" customWidth="1"/>
    <col min="12043" max="12053" width="8.85546875" style="425" hidden="1" customWidth="1"/>
    <col min="12054" max="12288" width="8.85546875" style="425" hidden="1"/>
    <col min="12289" max="12289" width="32.7109375" style="425" hidden="1" customWidth="1"/>
    <col min="12290" max="12291" width="12.140625" style="425" hidden="1" customWidth="1"/>
    <col min="12292" max="12292" width="12.85546875" style="425" hidden="1" customWidth="1"/>
    <col min="12293" max="12298" width="12.140625" style="425" hidden="1" customWidth="1"/>
    <col min="12299" max="12309" width="8.85546875" style="425" hidden="1" customWidth="1"/>
    <col min="12310" max="12544" width="8.85546875" style="425" hidden="1"/>
    <col min="12545" max="12545" width="32.7109375" style="425" hidden="1" customWidth="1"/>
    <col min="12546" max="12547" width="12.140625" style="425" hidden="1" customWidth="1"/>
    <col min="12548" max="12548" width="12.85546875" style="425" hidden="1" customWidth="1"/>
    <col min="12549" max="12554" width="12.140625" style="425" hidden="1" customWidth="1"/>
    <col min="12555" max="12565" width="8.85546875" style="425" hidden="1" customWidth="1"/>
    <col min="12566" max="12800" width="8.85546875" style="425" hidden="1"/>
    <col min="12801" max="12801" width="32.7109375" style="425" hidden="1" customWidth="1"/>
    <col min="12802" max="12803" width="12.140625" style="425" hidden="1" customWidth="1"/>
    <col min="12804" max="12804" width="12.85546875" style="425" hidden="1" customWidth="1"/>
    <col min="12805" max="12810" width="12.140625" style="425" hidden="1" customWidth="1"/>
    <col min="12811" max="12821" width="8.85546875" style="425" hidden="1" customWidth="1"/>
    <col min="12822" max="13056" width="8.85546875" style="425" hidden="1"/>
    <col min="13057" max="13057" width="32.7109375" style="425" hidden="1" customWidth="1"/>
    <col min="13058" max="13059" width="12.140625" style="425" hidden="1" customWidth="1"/>
    <col min="13060" max="13060" width="12.85546875" style="425" hidden="1" customWidth="1"/>
    <col min="13061" max="13066" width="12.140625" style="425" hidden="1" customWidth="1"/>
    <col min="13067" max="13077" width="8.85546875" style="425" hidden="1" customWidth="1"/>
    <col min="13078" max="13312" width="8.85546875" style="425" hidden="1"/>
    <col min="13313" max="13313" width="32.7109375" style="425" hidden="1" customWidth="1"/>
    <col min="13314" max="13315" width="12.140625" style="425" hidden="1" customWidth="1"/>
    <col min="13316" max="13316" width="12.85546875" style="425" hidden="1" customWidth="1"/>
    <col min="13317" max="13322" width="12.140625" style="425" hidden="1" customWidth="1"/>
    <col min="13323" max="13333" width="8.85546875" style="425" hidden="1" customWidth="1"/>
    <col min="13334" max="13568" width="8.85546875" style="425" hidden="1"/>
    <col min="13569" max="13569" width="32.7109375" style="425" hidden="1" customWidth="1"/>
    <col min="13570" max="13571" width="12.140625" style="425" hidden="1" customWidth="1"/>
    <col min="13572" max="13572" width="12.85546875" style="425" hidden="1" customWidth="1"/>
    <col min="13573" max="13578" width="12.140625" style="425" hidden="1" customWidth="1"/>
    <col min="13579" max="13589" width="8.85546875" style="425" hidden="1" customWidth="1"/>
    <col min="13590" max="13824" width="8.85546875" style="425" hidden="1"/>
    <col min="13825" max="13825" width="32.7109375" style="425" hidden="1" customWidth="1"/>
    <col min="13826" max="13827" width="12.140625" style="425" hidden="1" customWidth="1"/>
    <col min="13828" max="13828" width="12.85546875" style="425" hidden="1" customWidth="1"/>
    <col min="13829" max="13834" width="12.140625" style="425" hidden="1" customWidth="1"/>
    <col min="13835" max="13845" width="8.85546875" style="425" hidden="1" customWidth="1"/>
    <col min="13846" max="14080" width="8.85546875" style="425" hidden="1"/>
    <col min="14081" max="14081" width="32.7109375" style="425" hidden="1" customWidth="1"/>
    <col min="14082" max="14083" width="12.140625" style="425" hidden="1" customWidth="1"/>
    <col min="14084" max="14084" width="12.85546875" style="425" hidden="1" customWidth="1"/>
    <col min="14085" max="14090" width="12.140625" style="425" hidden="1" customWidth="1"/>
    <col min="14091" max="14101" width="8.85546875" style="425" hidden="1" customWidth="1"/>
    <col min="14102" max="14336" width="8.85546875" style="425" hidden="1"/>
    <col min="14337" max="14337" width="32.7109375" style="425" hidden="1" customWidth="1"/>
    <col min="14338" max="14339" width="12.140625" style="425" hidden="1" customWidth="1"/>
    <col min="14340" max="14340" width="12.85546875" style="425" hidden="1" customWidth="1"/>
    <col min="14341" max="14346" width="12.140625" style="425" hidden="1" customWidth="1"/>
    <col min="14347" max="14357" width="8.85546875" style="425" hidden="1" customWidth="1"/>
    <col min="14358" max="14592" width="8.85546875" style="425" hidden="1"/>
    <col min="14593" max="14593" width="32.7109375" style="425" hidden="1" customWidth="1"/>
    <col min="14594" max="14595" width="12.140625" style="425" hidden="1" customWidth="1"/>
    <col min="14596" max="14596" width="12.85546875" style="425" hidden="1" customWidth="1"/>
    <col min="14597" max="14602" width="12.140625" style="425" hidden="1" customWidth="1"/>
    <col min="14603" max="14613" width="8.85546875" style="425" hidden="1" customWidth="1"/>
    <col min="14614" max="14848" width="8.85546875" style="425" hidden="1"/>
    <col min="14849" max="14849" width="32.7109375" style="425" hidden="1" customWidth="1"/>
    <col min="14850" max="14851" width="12.140625" style="425" hidden="1" customWidth="1"/>
    <col min="14852" max="14852" width="12.85546875" style="425" hidden="1" customWidth="1"/>
    <col min="14853" max="14858" width="12.140625" style="425" hidden="1" customWidth="1"/>
    <col min="14859" max="14869" width="8.85546875" style="425" hidden="1" customWidth="1"/>
    <col min="14870" max="15104" width="8.85546875" style="425" hidden="1"/>
    <col min="15105" max="15105" width="32.7109375" style="425" hidden="1" customWidth="1"/>
    <col min="15106" max="15107" width="12.140625" style="425" hidden="1" customWidth="1"/>
    <col min="15108" max="15108" width="12.85546875" style="425" hidden="1" customWidth="1"/>
    <col min="15109" max="15114" width="12.140625" style="425" hidden="1" customWidth="1"/>
    <col min="15115" max="15125" width="8.85546875" style="425" hidden="1" customWidth="1"/>
    <col min="15126" max="15360" width="8.85546875" style="425" hidden="1"/>
    <col min="15361" max="15361" width="32.7109375" style="425" hidden="1" customWidth="1"/>
    <col min="15362" max="15363" width="12.140625" style="425" hidden="1" customWidth="1"/>
    <col min="15364" max="15364" width="12.85546875" style="425" hidden="1" customWidth="1"/>
    <col min="15365" max="15370" width="12.140625" style="425" hidden="1" customWidth="1"/>
    <col min="15371" max="15381" width="8.85546875" style="425" hidden="1" customWidth="1"/>
    <col min="15382" max="15616" width="8.85546875" style="425" hidden="1"/>
    <col min="15617" max="15617" width="32.7109375" style="425" hidden="1" customWidth="1"/>
    <col min="15618" max="15619" width="12.140625" style="425" hidden="1" customWidth="1"/>
    <col min="15620" max="15620" width="12.85546875" style="425" hidden="1" customWidth="1"/>
    <col min="15621" max="15626" width="12.140625" style="425" hidden="1" customWidth="1"/>
    <col min="15627" max="15637" width="8.85546875" style="425" hidden="1" customWidth="1"/>
    <col min="15638" max="15872" width="8.85546875" style="425" hidden="1"/>
    <col min="15873" max="15873" width="32.7109375" style="425" hidden="1" customWidth="1"/>
    <col min="15874" max="15875" width="12.140625" style="425" hidden="1" customWidth="1"/>
    <col min="15876" max="15876" width="12.85546875" style="425" hidden="1" customWidth="1"/>
    <col min="15877" max="15882" width="12.140625" style="425" hidden="1" customWidth="1"/>
    <col min="15883" max="15893" width="8.85546875" style="425" hidden="1" customWidth="1"/>
    <col min="15894" max="16128" width="8.85546875" style="425" hidden="1"/>
    <col min="16129" max="16129" width="32.7109375" style="425" hidden="1" customWidth="1"/>
    <col min="16130" max="16131" width="12.140625" style="425" hidden="1" customWidth="1"/>
    <col min="16132" max="16132" width="12.85546875" style="425" hidden="1" customWidth="1"/>
    <col min="16133" max="16138" width="12.140625" style="425" hidden="1" customWidth="1"/>
    <col min="16139" max="16149" width="8.85546875" style="425" hidden="1" customWidth="1"/>
    <col min="16150" max="16384" width="8.85546875" style="425" hidden="1"/>
  </cols>
  <sheetData>
    <row r="1" spans="1:11" s="388" customFormat="1" ht="12.75">
      <c r="A1" s="1863" t="s">
        <v>1374</v>
      </c>
      <c r="B1" s="1864"/>
      <c r="C1" s="1864"/>
      <c r="D1" s="1864"/>
      <c r="E1" s="1864"/>
      <c r="F1" s="1864"/>
      <c r="G1" s="1864"/>
      <c r="H1" s="1864"/>
      <c r="I1" s="1864"/>
      <c r="J1" s="1865"/>
      <c r="K1" s="387"/>
    </row>
    <row r="2" spans="1:11" s="433" customFormat="1" ht="72">
      <c r="A2" s="430"/>
      <c r="B2" s="431" t="s">
        <v>1088</v>
      </c>
      <c r="C2" s="431" t="s">
        <v>1376</v>
      </c>
      <c r="D2" s="431" t="s">
        <v>1377</v>
      </c>
      <c r="E2" s="431" t="s">
        <v>1299</v>
      </c>
      <c r="F2" s="431" t="s">
        <v>1378</v>
      </c>
      <c r="G2" s="431" t="s">
        <v>1379</v>
      </c>
      <c r="H2" s="431" t="s">
        <v>1089</v>
      </c>
      <c r="I2" s="431" t="s">
        <v>1380</v>
      </c>
      <c r="J2" s="431" t="s">
        <v>1381</v>
      </c>
      <c r="K2" s="432"/>
    </row>
    <row r="3" spans="1:11" s="392" customFormat="1">
      <c r="A3" s="389" t="s">
        <v>26</v>
      </c>
      <c r="B3" s="390"/>
      <c r="C3" s="390"/>
      <c r="D3" s="390"/>
      <c r="E3" s="390"/>
      <c r="F3" s="390"/>
      <c r="G3" s="390"/>
      <c r="H3" s="390"/>
      <c r="I3" s="390"/>
      <c r="J3" s="390"/>
      <c r="K3" s="391"/>
    </row>
    <row r="4" spans="1:11" s="392" customFormat="1">
      <c r="A4" s="396" t="s">
        <v>27</v>
      </c>
      <c r="B4" s="393">
        <f>'Sources and Uses Budget'!C4</f>
        <v>1</v>
      </c>
      <c r="C4" s="394">
        <v>1</v>
      </c>
      <c r="D4" s="394"/>
      <c r="E4" s="395"/>
      <c r="F4" s="395"/>
      <c r="G4" s="395"/>
      <c r="H4" s="395"/>
      <c r="I4" s="395"/>
      <c r="J4" s="395"/>
      <c r="K4" s="391"/>
    </row>
    <row r="5" spans="1:11" s="392" customFormat="1">
      <c r="A5" s="396" t="s">
        <v>28</v>
      </c>
      <c r="B5" s="393">
        <f>'Sources and Uses Budget'!C5</f>
        <v>0</v>
      </c>
      <c r="C5" s="394"/>
      <c r="D5" s="394"/>
      <c r="E5" s="395"/>
      <c r="F5" s="395"/>
      <c r="G5" s="395"/>
      <c r="H5" s="395"/>
      <c r="I5" s="395"/>
      <c r="J5" s="395"/>
      <c r="K5" s="391"/>
    </row>
    <row r="6" spans="1:11" s="392" customFormat="1">
      <c r="A6" s="396" t="s">
        <v>29</v>
      </c>
      <c r="B6" s="393">
        <f>'Sources and Uses Budget'!C6</f>
        <v>0</v>
      </c>
      <c r="C6" s="394"/>
      <c r="D6" s="394"/>
      <c r="E6" s="395"/>
      <c r="F6" s="395"/>
      <c r="G6" s="395"/>
      <c r="H6" s="395"/>
      <c r="I6" s="395"/>
      <c r="J6" s="395"/>
      <c r="K6" s="391"/>
    </row>
    <row r="7" spans="1:11" s="392" customFormat="1">
      <c r="A7" s="396" t="s">
        <v>98</v>
      </c>
      <c r="B7" s="393">
        <f>'Sources and Uses Budget'!C7</f>
        <v>0</v>
      </c>
      <c r="C7" s="394"/>
      <c r="D7" s="394"/>
      <c r="E7" s="395"/>
      <c r="F7" s="395"/>
      <c r="G7" s="395"/>
      <c r="H7" s="395"/>
      <c r="I7" s="395"/>
      <c r="J7" s="395"/>
      <c r="K7" s="391"/>
    </row>
    <row r="8" spans="1:11" s="392" customFormat="1">
      <c r="A8" s="397" t="s">
        <v>602</v>
      </c>
      <c r="B8" s="393">
        <f>'Sources and Uses Budget'!C8</f>
        <v>1</v>
      </c>
      <c r="C8" s="393">
        <f>SUM(C4:C7)</f>
        <v>1</v>
      </c>
      <c r="D8" s="393">
        <f>SUM(D4:D7)</f>
        <v>0</v>
      </c>
      <c r="E8" s="395"/>
      <c r="F8" s="395"/>
      <c r="G8" s="395"/>
      <c r="H8" s="395"/>
      <c r="I8" s="395"/>
      <c r="J8" s="395"/>
      <c r="K8" s="391"/>
    </row>
    <row r="9" spans="1:11" s="392" customFormat="1">
      <c r="A9" s="396" t="s">
        <v>603</v>
      </c>
      <c r="B9" s="393">
        <f>'Sources and Uses Budget'!C9</f>
        <v>0</v>
      </c>
      <c r="C9" s="394"/>
      <c r="D9" s="394"/>
      <c r="E9" s="395"/>
      <c r="F9" s="395"/>
      <c r="G9" s="395"/>
      <c r="H9" s="393">
        <f>'Sources and Uses Budget'!T9</f>
        <v>0</v>
      </c>
      <c r="I9" s="394"/>
      <c r="J9" s="394"/>
      <c r="K9" s="391"/>
    </row>
    <row r="10" spans="1:11" s="392" customFormat="1">
      <c r="A10" s="396" t="s">
        <v>604</v>
      </c>
      <c r="B10" s="393">
        <f>'Sources and Uses Budget'!C10</f>
        <v>140614</v>
      </c>
      <c r="C10" s="394">
        <f>B10</f>
        <v>140614</v>
      </c>
      <c r="D10" s="394"/>
      <c r="E10" s="393">
        <f>'Sources and Uses Budget'!S10</f>
        <v>140614</v>
      </c>
      <c r="F10" s="394">
        <f>E10</f>
        <v>140614</v>
      </c>
      <c r="G10" s="394"/>
      <c r="H10" s="393">
        <f>'Sources and Uses Budget'!T10</f>
        <v>0</v>
      </c>
      <c r="I10" s="394"/>
      <c r="J10" s="394"/>
      <c r="K10" s="391"/>
    </row>
    <row r="11" spans="1:11" s="392" customFormat="1">
      <c r="A11" s="397" t="s">
        <v>605</v>
      </c>
      <c r="B11" s="393">
        <f>'Sources and Uses Budget'!C11</f>
        <v>140614</v>
      </c>
      <c r="C11" s="393">
        <f>SUM(C9:C10)</f>
        <v>140614</v>
      </c>
      <c r="D11" s="393">
        <f>SUM(D9:D10)</f>
        <v>0</v>
      </c>
      <c r="E11" s="395"/>
      <c r="F11" s="395"/>
      <c r="G11" s="395"/>
      <c r="H11" s="393">
        <f>'Sources and Uses Budget'!T11</f>
        <v>0</v>
      </c>
      <c r="I11" s="393">
        <f>SUM(I9:I10)</f>
        <v>0</v>
      </c>
      <c r="J11" s="393">
        <f>SUM(J9:J10)</f>
        <v>0</v>
      </c>
      <c r="K11" s="391"/>
    </row>
    <row r="12" spans="1:11" s="392" customFormat="1">
      <c r="A12" s="397" t="s">
        <v>85</v>
      </c>
      <c r="B12" s="393">
        <f>'Sources and Uses Budget'!C12</f>
        <v>140615</v>
      </c>
      <c r="C12" s="393">
        <f>SUM(C8+C11)</f>
        <v>140615</v>
      </c>
      <c r="D12" s="393">
        <f>SUM(D8+D11)</f>
        <v>0</v>
      </c>
      <c r="E12" s="395"/>
      <c r="F12" s="395"/>
      <c r="G12" s="395"/>
      <c r="H12" s="395"/>
      <c r="I12" s="395"/>
      <c r="J12" s="395"/>
      <c r="K12" s="391"/>
    </row>
    <row r="13" spans="1:11" s="392" customFormat="1">
      <c r="A13" s="398" t="s">
        <v>935</v>
      </c>
      <c r="B13" s="393">
        <f>'Sources and Uses Budget'!C13</f>
        <v>0</v>
      </c>
      <c r="C13" s="394"/>
      <c r="D13" s="394"/>
      <c r="E13" s="393">
        <f>'Sources and Uses Budget'!S13</f>
        <v>0</v>
      </c>
      <c r="F13" s="394"/>
      <c r="G13" s="394"/>
      <c r="H13" s="393">
        <f>'Sources and Uses Budget'!T13</f>
        <v>0</v>
      </c>
      <c r="I13" s="394"/>
      <c r="J13" s="394"/>
      <c r="K13" s="391"/>
    </row>
    <row r="14" spans="1:11" s="392" customFormat="1" ht="24">
      <c r="A14" s="396" t="s">
        <v>936</v>
      </c>
      <c r="B14" s="393">
        <f>'Sources and Uses Budget'!C14</f>
        <v>0</v>
      </c>
      <c r="C14" s="394"/>
      <c r="D14" s="394"/>
      <c r="E14" s="393">
        <f>'Sources and Uses Budget'!S14</f>
        <v>0</v>
      </c>
      <c r="F14" s="394"/>
      <c r="G14" s="394"/>
      <c r="H14" s="393">
        <f>'Sources and Uses Budget'!T14</f>
        <v>0</v>
      </c>
      <c r="I14" s="394"/>
      <c r="J14" s="394"/>
      <c r="K14" s="391"/>
    </row>
    <row r="15" spans="1:11" s="392" customFormat="1">
      <c r="A15" s="396" t="s">
        <v>1303</v>
      </c>
      <c r="B15" s="393">
        <f>'Sources and Uses Budget'!C15</f>
        <v>0</v>
      </c>
      <c r="C15" s="394"/>
      <c r="D15" s="394"/>
      <c r="E15" s="395">
        <f>'Sources and Uses Budget'!S15</f>
        <v>0</v>
      </c>
      <c r="F15" s="395"/>
      <c r="G15" s="395"/>
      <c r="H15" s="395">
        <f>'Sources and Uses Budget'!T15</f>
        <v>0</v>
      </c>
      <c r="I15" s="395"/>
      <c r="J15" s="395"/>
      <c r="K15" s="391"/>
    </row>
    <row r="16" spans="1:11" s="392" customFormat="1">
      <c r="A16" s="389" t="s">
        <v>606</v>
      </c>
      <c r="B16" s="390"/>
      <c r="C16" s="390"/>
      <c r="D16" s="390"/>
      <c r="E16" s="390"/>
      <c r="F16" s="390"/>
      <c r="G16" s="390"/>
      <c r="H16" s="390"/>
      <c r="I16" s="390"/>
      <c r="J16" s="390"/>
      <c r="K16" s="391"/>
    </row>
    <row r="17" spans="1:11" s="392" customFormat="1">
      <c r="A17" s="396" t="s">
        <v>607</v>
      </c>
      <c r="B17" s="393">
        <f>'Sources and Uses Budget'!C17</f>
        <v>0</v>
      </c>
      <c r="C17" s="394"/>
      <c r="D17" s="394"/>
      <c r="E17" s="393">
        <f>'Sources and Uses Budget'!S17</f>
        <v>0</v>
      </c>
      <c r="F17" s="394"/>
      <c r="G17" s="394"/>
      <c r="H17" s="393">
        <f>'Sources and Uses Budget'!T17</f>
        <v>0</v>
      </c>
      <c r="I17" s="394"/>
      <c r="J17" s="394"/>
      <c r="K17" s="391"/>
    </row>
    <row r="18" spans="1:11" s="392" customFormat="1">
      <c r="A18" s="396" t="s">
        <v>608</v>
      </c>
      <c r="B18" s="393">
        <f>'Sources and Uses Budget'!C18</f>
        <v>0</v>
      </c>
      <c r="C18" s="394"/>
      <c r="D18" s="394"/>
      <c r="E18" s="393">
        <f>'Sources and Uses Budget'!S18</f>
        <v>0</v>
      </c>
      <c r="F18" s="394"/>
      <c r="G18" s="394"/>
      <c r="H18" s="393">
        <f>'Sources and Uses Budget'!T18</f>
        <v>0</v>
      </c>
      <c r="I18" s="394"/>
      <c r="J18" s="394"/>
      <c r="K18" s="391"/>
    </row>
    <row r="19" spans="1:11" s="392" customFormat="1">
      <c r="A19" s="396" t="s">
        <v>609</v>
      </c>
      <c r="B19" s="393">
        <f>'Sources and Uses Budget'!C19</f>
        <v>0</v>
      </c>
      <c r="C19" s="394"/>
      <c r="D19" s="394"/>
      <c r="E19" s="393">
        <f>'Sources and Uses Budget'!S19</f>
        <v>0</v>
      </c>
      <c r="F19" s="394"/>
      <c r="G19" s="394"/>
      <c r="H19" s="393">
        <f>'Sources and Uses Budget'!T19</f>
        <v>0</v>
      </c>
      <c r="I19" s="394"/>
      <c r="J19" s="394"/>
      <c r="K19" s="391"/>
    </row>
    <row r="20" spans="1:11" s="392" customFormat="1">
      <c r="A20" s="396" t="s">
        <v>138</v>
      </c>
      <c r="B20" s="393">
        <f>'Sources and Uses Budget'!C20</f>
        <v>0</v>
      </c>
      <c r="C20" s="394"/>
      <c r="D20" s="394"/>
      <c r="E20" s="393">
        <f>'Sources and Uses Budget'!S20</f>
        <v>0</v>
      </c>
      <c r="F20" s="394"/>
      <c r="G20" s="394"/>
      <c r="H20" s="393">
        <f>'Sources and Uses Budget'!T20</f>
        <v>0</v>
      </c>
      <c r="I20" s="394"/>
      <c r="J20" s="394"/>
      <c r="K20" s="391"/>
    </row>
    <row r="21" spans="1:11" s="392" customFormat="1">
      <c r="A21" s="396" t="s">
        <v>139</v>
      </c>
      <c r="B21" s="393">
        <f>'Sources and Uses Budget'!C21</f>
        <v>0</v>
      </c>
      <c r="C21" s="394"/>
      <c r="D21" s="394"/>
      <c r="E21" s="393">
        <f>'Sources and Uses Budget'!S21</f>
        <v>0</v>
      </c>
      <c r="F21" s="394"/>
      <c r="G21" s="394"/>
      <c r="H21" s="393">
        <f>'Sources and Uses Budget'!T21</f>
        <v>0</v>
      </c>
      <c r="I21" s="394"/>
      <c r="J21" s="394"/>
      <c r="K21" s="391"/>
    </row>
    <row r="22" spans="1:11" s="392" customFormat="1">
      <c r="A22" s="396" t="s">
        <v>140</v>
      </c>
      <c r="B22" s="393">
        <f>'Sources and Uses Budget'!C22</f>
        <v>0</v>
      </c>
      <c r="C22" s="394"/>
      <c r="D22" s="394"/>
      <c r="E22" s="393">
        <f>'Sources and Uses Budget'!S22</f>
        <v>0</v>
      </c>
      <c r="F22" s="394"/>
      <c r="G22" s="394"/>
      <c r="H22" s="393">
        <f>'Sources and Uses Budget'!T22</f>
        <v>0</v>
      </c>
      <c r="I22" s="394"/>
      <c r="J22" s="394"/>
      <c r="K22" s="391"/>
    </row>
    <row r="23" spans="1:11" s="392" customFormat="1">
      <c r="A23" s="396" t="s">
        <v>141</v>
      </c>
      <c r="B23" s="393">
        <f>'Sources and Uses Budget'!C23</f>
        <v>0</v>
      </c>
      <c r="C23" s="394"/>
      <c r="D23" s="394"/>
      <c r="E23" s="393">
        <f>'Sources and Uses Budget'!S23</f>
        <v>0</v>
      </c>
      <c r="F23" s="394"/>
      <c r="G23" s="394"/>
      <c r="H23" s="393">
        <f>'Sources and Uses Budget'!T23</f>
        <v>0</v>
      </c>
      <c r="I23" s="394"/>
      <c r="J23" s="394"/>
      <c r="K23" s="391"/>
    </row>
    <row r="24" spans="1:11" s="392" customFormat="1">
      <c r="A24" s="543" t="s">
        <v>1820</v>
      </c>
      <c r="B24" s="393">
        <f>'Sources and Uses Budget'!C24</f>
        <v>0</v>
      </c>
      <c r="C24" s="394"/>
      <c r="D24" s="394"/>
      <c r="E24" s="393">
        <f>'Sources and Uses Budget'!S24</f>
        <v>0</v>
      </c>
      <c r="F24" s="394"/>
      <c r="G24" s="394"/>
      <c r="H24" s="393">
        <f>'Sources and Uses Budget'!T24</f>
        <v>0</v>
      </c>
      <c r="I24" s="394"/>
      <c r="J24" s="394"/>
      <c r="K24" s="391"/>
    </row>
    <row r="25" spans="1:11" s="392" customFormat="1">
      <c r="A25" s="396" t="str">
        <f>'Sources and Uses Budget'!$A25</f>
        <v>Other: (Specify)</v>
      </c>
      <c r="B25" s="393">
        <f>'Sources and Uses Budget'!C25</f>
        <v>0</v>
      </c>
      <c r="C25" s="394"/>
      <c r="D25" s="394"/>
      <c r="E25" s="393">
        <f>'Sources and Uses Budget'!S25</f>
        <v>0</v>
      </c>
      <c r="F25" s="394"/>
      <c r="G25" s="394"/>
      <c r="H25" s="393">
        <f>'Sources and Uses Budget'!T25</f>
        <v>0</v>
      </c>
      <c r="I25" s="394"/>
      <c r="J25" s="394"/>
      <c r="K25" s="391"/>
    </row>
    <row r="26" spans="1:11" s="392" customFormat="1">
      <c r="A26" s="397" t="s">
        <v>134</v>
      </c>
      <c r="B26" s="393">
        <f>'Sources and Uses Budget'!C26</f>
        <v>0</v>
      </c>
      <c r="C26" s="393">
        <f>SUM(C17:C25)</f>
        <v>0</v>
      </c>
      <c r="D26" s="393">
        <f>SUM(D17:D25)</f>
        <v>0</v>
      </c>
      <c r="E26" s="393">
        <f>'Sources and Uses Budget'!S26</f>
        <v>0</v>
      </c>
      <c r="F26" s="399">
        <f>SUM(F17:F25)</f>
        <v>0</v>
      </c>
      <c r="G26" s="399">
        <f>SUM(G17:G25)</f>
        <v>0</v>
      </c>
      <c r="H26" s="393">
        <f>'Sources and Uses Budget'!T26</f>
        <v>0</v>
      </c>
      <c r="I26" s="399">
        <f>SUM(I17:I25)</f>
        <v>0</v>
      </c>
      <c r="J26" s="399">
        <f>SUM(J17:J25)</f>
        <v>0</v>
      </c>
      <c r="K26" s="391"/>
    </row>
    <row r="27" spans="1:11" s="392" customFormat="1">
      <c r="A27" s="397" t="s">
        <v>142</v>
      </c>
      <c r="B27" s="393">
        <f>'Sources and Uses Budget'!C27</f>
        <v>0</v>
      </c>
      <c r="C27" s="394"/>
      <c r="D27" s="394"/>
      <c r="E27" s="393">
        <f>'Sources and Uses Budget'!S27</f>
        <v>0</v>
      </c>
      <c r="F27" s="394"/>
      <c r="G27" s="394"/>
      <c r="H27" s="393">
        <f>'Sources and Uses Budget'!T27</f>
        <v>0</v>
      </c>
      <c r="I27" s="394"/>
      <c r="J27" s="394"/>
      <c r="K27" s="391"/>
    </row>
    <row r="28" spans="1:11" s="392" customFormat="1">
      <c r="A28" s="389" t="s">
        <v>143</v>
      </c>
      <c r="B28" s="390"/>
      <c r="C28" s="390"/>
      <c r="D28" s="390"/>
      <c r="E28" s="390"/>
      <c r="F28" s="390"/>
      <c r="G28" s="390"/>
      <c r="H28" s="390"/>
      <c r="I28" s="390"/>
      <c r="J28" s="390"/>
      <c r="K28" s="391"/>
    </row>
    <row r="29" spans="1:11" s="392" customFormat="1">
      <c r="A29" s="145" t="s">
        <v>607</v>
      </c>
      <c r="B29" s="393">
        <f>'Sources and Uses Budget'!C29</f>
        <v>4687119</v>
      </c>
      <c r="C29" s="394">
        <f>B29</f>
        <v>4687119</v>
      </c>
      <c r="D29" s="394"/>
      <c r="E29" s="393">
        <f>'Sources and Uses Budget'!S29</f>
        <v>4687119</v>
      </c>
      <c r="F29" s="394">
        <f>E29</f>
        <v>4687119</v>
      </c>
      <c r="G29" s="394"/>
      <c r="H29" s="393">
        <f>'Sources and Uses Budget'!T29</f>
        <v>0</v>
      </c>
      <c r="I29" s="394"/>
      <c r="J29" s="394"/>
      <c r="K29" s="391"/>
    </row>
    <row r="30" spans="1:11" s="392" customFormat="1">
      <c r="A30" s="145" t="s">
        <v>608</v>
      </c>
      <c r="B30" s="393">
        <f>'Sources and Uses Budget'!C30</f>
        <v>25879312</v>
      </c>
      <c r="C30" s="394">
        <f t="shared" ref="C30:C37" si="0">B30</f>
        <v>25879312</v>
      </c>
      <c r="D30" s="394"/>
      <c r="E30" s="393">
        <f>'Sources and Uses Budget'!S30</f>
        <v>25879312</v>
      </c>
      <c r="F30" s="394">
        <f t="shared" ref="F30:F33" si="1">E30</f>
        <v>25879312</v>
      </c>
      <c r="G30" s="394"/>
      <c r="H30" s="393">
        <f>'Sources and Uses Budget'!T30</f>
        <v>0</v>
      </c>
      <c r="I30" s="394"/>
      <c r="J30" s="394"/>
      <c r="K30" s="391"/>
    </row>
    <row r="31" spans="1:11" s="392" customFormat="1">
      <c r="A31" s="145" t="s">
        <v>609</v>
      </c>
      <c r="B31" s="393">
        <f>'Sources and Uses Budget'!C31</f>
        <v>1235000</v>
      </c>
      <c r="C31" s="394">
        <f t="shared" si="0"/>
        <v>1235000</v>
      </c>
      <c r="D31" s="394"/>
      <c r="E31" s="393">
        <f>'Sources and Uses Budget'!S31</f>
        <v>1235000</v>
      </c>
      <c r="F31" s="394">
        <f t="shared" si="1"/>
        <v>1235000</v>
      </c>
      <c r="G31" s="394"/>
      <c r="H31" s="393">
        <f>'Sources and Uses Budget'!T31</f>
        <v>0</v>
      </c>
      <c r="I31" s="394"/>
      <c r="J31" s="394"/>
      <c r="K31" s="391"/>
    </row>
    <row r="32" spans="1:11" s="392" customFormat="1">
      <c r="A32" s="145" t="s">
        <v>138</v>
      </c>
      <c r="B32" s="393">
        <f>'Sources and Uses Budget'!C32</f>
        <v>1593608</v>
      </c>
      <c r="C32" s="394">
        <f t="shared" si="0"/>
        <v>1593608</v>
      </c>
      <c r="D32" s="394"/>
      <c r="E32" s="393">
        <f>'Sources and Uses Budget'!S32</f>
        <v>1593608</v>
      </c>
      <c r="F32" s="394">
        <f t="shared" si="1"/>
        <v>1593608</v>
      </c>
      <c r="G32" s="394"/>
      <c r="H32" s="393">
        <f>'Sources and Uses Budget'!T32</f>
        <v>0</v>
      </c>
      <c r="I32" s="394"/>
      <c r="J32" s="394"/>
      <c r="K32" s="391"/>
    </row>
    <row r="33" spans="1:11" s="392" customFormat="1">
      <c r="A33" s="145" t="s">
        <v>139</v>
      </c>
      <c r="B33" s="393">
        <f>'Sources and Uses Budget'!C33</f>
        <v>1593608</v>
      </c>
      <c r="C33" s="394">
        <f t="shared" si="0"/>
        <v>1593608</v>
      </c>
      <c r="D33" s="394"/>
      <c r="E33" s="393">
        <f>'Sources and Uses Budget'!S33</f>
        <v>1593608</v>
      </c>
      <c r="F33" s="394">
        <f t="shared" si="1"/>
        <v>1593608</v>
      </c>
      <c r="G33" s="394"/>
      <c r="H33" s="393">
        <f>'Sources and Uses Budget'!T33</f>
        <v>0</v>
      </c>
      <c r="I33" s="394"/>
      <c r="J33" s="394"/>
      <c r="K33" s="391"/>
    </row>
    <row r="34" spans="1:11" s="392" customFormat="1">
      <c r="A34" s="145" t="s">
        <v>140</v>
      </c>
      <c r="B34" s="393">
        <f>'Sources and Uses Budget'!C34</f>
        <v>0</v>
      </c>
      <c r="C34" s="394">
        <f t="shared" si="0"/>
        <v>0</v>
      </c>
      <c r="D34" s="394"/>
      <c r="E34" s="393">
        <f>'Sources and Uses Budget'!S34</f>
        <v>0</v>
      </c>
      <c r="F34" s="394"/>
      <c r="G34" s="394"/>
      <c r="H34" s="393">
        <f>'Sources and Uses Budget'!T34</f>
        <v>0</v>
      </c>
      <c r="I34" s="394"/>
      <c r="J34" s="394"/>
      <c r="K34" s="391"/>
    </row>
    <row r="35" spans="1:11" s="392" customFormat="1">
      <c r="A35" s="145" t="s">
        <v>141</v>
      </c>
      <c r="B35" s="393">
        <f>'Sources and Uses Budget'!C35</f>
        <v>927413</v>
      </c>
      <c r="C35" s="394">
        <f t="shared" si="0"/>
        <v>927413</v>
      </c>
      <c r="D35" s="394"/>
      <c r="E35" s="393">
        <f>'Sources and Uses Budget'!S35</f>
        <v>927413</v>
      </c>
      <c r="F35" s="394">
        <f>E35</f>
        <v>927413</v>
      </c>
      <c r="G35" s="394"/>
      <c r="H35" s="393">
        <f>'Sources and Uses Budget'!T35</f>
        <v>0</v>
      </c>
      <c r="I35" s="394"/>
      <c r="J35" s="394"/>
      <c r="K35" s="391"/>
    </row>
    <row r="36" spans="1:11" s="392" customFormat="1">
      <c r="A36" s="543" t="s">
        <v>1820</v>
      </c>
      <c r="B36" s="393">
        <f>'Sources and Uses Budget'!C36</f>
        <v>0</v>
      </c>
      <c r="C36" s="394">
        <f t="shared" si="0"/>
        <v>0</v>
      </c>
      <c r="D36" s="394"/>
      <c r="E36" s="393">
        <f>'Sources and Uses Budget'!S36</f>
        <v>0</v>
      </c>
      <c r="F36" s="394"/>
      <c r="G36" s="394"/>
      <c r="H36" s="393">
        <f>'Sources and Uses Budget'!T36</f>
        <v>0</v>
      </c>
      <c r="I36" s="394"/>
      <c r="J36" s="394"/>
      <c r="K36" s="391"/>
    </row>
    <row r="37" spans="1:11" s="392" customFormat="1">
      <c r="A37" s="396" t="str">
        <f>'Sources and Uses Budget'!$A37</f>
        <v>Other: (Specify)</v>
      </c>
      <c r="B37" s="393">
        <f>'Sources and Uses Budget'!C37</f>
        <v>0</v>
      </c>
      <c r="C37" s="394">
        <f t="shared" si="0"/>
        <v>0</v>
      </c>
      <c r="D37" s="394"/>
      <c r="E37" s="393">
        <f>'Sources and Uses Budget'!S37</f>
        <v>0</v>
      </c>
      <c r="F37" s="394"/>
      <c r="G37" s="394"/>
      <c r="H37" s="393">
        <f>'Sources and Uses Budget'!T37</f>
        <v>0</v>
      </c>
      <c r="I37" s="394"/>
      <c r="J37" s="394"/>
      <c r="K37" s="391"/>
    </row>
    <row r="38" spans="1:11" s="392" customFormat="1">
      <c r="A38" s="397" t="s">
        <v>144</v>
      </c>
      <c r="B38" s="393">
        <f>'Sources and Uses Budget'!C38</f>
        <v>35916060</v>
      </c>
      <c r="C38" s="393">
        <f>SUM(C29:C37)</f>
        <v>35916060</v>
      </c>
      <c r="D38" s="393">
        <f>SUM(D29:D37)</f>
        <v>0</v>
      </c>
      <c r="E38" s="393">
        <f>'Sources and Uses Budget'!S38</f>
        <v>35916060</v>
      </c>
      <c r="F38" s="399">
        <f>SUM(F29:F37)</f>
        <v>35916060</v>
      </c>
      <c r="G38" s="399">
        <f>SUM(G29:G37)</f>
        <v>0</v>
      </c>
      <c r="H38" s="393">
        <f>'Sources and Uses Budget'!T38</f>
        <v>0</v>
      </c>
      <c r="I38" s="399">
        <f>SUM(I29:I37)</f>
        <v>0</v>
      </c>
      <c r="J38" s="399">
        <f>SUM(J29:J37)</f>
        <v>0</v>
      </c>
      <c r="K38" s="391"/>
    </row>
    <row r="39" spans="1:11" s="392" customFormat="1">
      <c r="A39" s="389" t="s">
        <v>145</v>
      </c>
      <c r="B39" s="390"/>
      <c r="C39" s="390"/>
      <c r="D39" s="390"/>
      <c r="E39" s="390"/>
      <c r="F39" s="390"/>
      <c r="G39" s="390"/>
      <c r="H39" s="390"/>
      <c r="I39" s="390"/>
      <c r="J39" s="390"/>
      <c r="K39" s="391"/>
    </row>
    <row r="40" spans="1:11" s="392" customFormat="1">
      <c r="A40" s="396" t="s">
        <v>146</v>
      </c>
      <c r="B40" s="393">
        <f>'Sources and Uses Budget'!C40</f>
        <v>1310091</v>
      </c>
      <c r="C40" s="394">
        <f>B40</f>
        <v>1310091</v>
      </c>
      <c r="D40" s="394"/>
      <c r="E40" s="393">
        <f>'Sources and Uses Budget'!S40</f>
        <v>1310091</v>
      </c>
      <c r="F40" s="394">
        <f>E40</f>
        <v>1310091</v>
      </c>
      <c r="G40" s="394"/>
      <c r="H40" s="393">
        <f>'Sources and Uses Budget'!T40</f>
        <v>0</v>
      </c>
      <c r="I40" s="394"/>
      <c r="J40" s="394"/>
      <c r="K40" s="391"/>
    </row>
    <row r="41" spans="1:11" s="392" customFormat="1">
      <c r="A41" s="396" t="s">
        <v>147</v>
      </c>
      <c r="B41" s="393">
        <f>'Sources and Uses Budget'!C41</f>
        <v>0</v>
      </c>
      <c r="C41" s="394"/>
      <c r="D41" s="394"/>
      <c r="E41" s="393">
        <f>'Sources and Uses Budget'!S41</f>
        <v>0</v>
      </c>
      <c r="F41" s="394"/>
      <c r="G41" s="394"/>
      <c r="H41" s="393">
        <f>'Sources and Uses Budget'!T41</f>
        <v>0</v>
      </c>
      <c r="I41" s="394"/>
      <c r="J41" s="394"/>
      <c r="K41" s="391"/>
    </row>
    <row r="42" spans="1:11" s="392" customFormat="1">
      <c r="A42" s="397" t="s">
        <v>148</v>
      </c>
      <c r="B42" s="393">
        <f>'Sources and Uses Budget'!C42</f>
        <v>1310091</v>
      </c>
      <c r="C42" s="393">
        <f>SUM(C39:C41)</f>
        <v>1310091</v>
      </c>
      <c r="D42" s="393">
        <f>SUM(D39:D41)</f>
        <v>0</v>
      </c>
      <c r="E42" s="393">
        <f>'Sources and Uses Budget'!S42</f>
        <v>1310091</v>
      </c>
      <c r="F42" s="399">
        <f>SUM(F40:F41)</f>
        <v>1310091</v>
      </c>
      <c r="G42" s="399">
        <f>SUM(G40:G41)</f>
        <v>0</v>
      </c>
      <c r="H42" s="393">
        <f>'Sources and Uses Budget'!T42</f>
        <v>0</v>
      </c>
      <c r="I42" s="399">
        <f>SUM(I40:I41)</f>
        <v>0</v>
      </c>
      <c r="J42" s="399">
        <f>SUM(J40:J41)</f>
        <v>0</v>
      </c>
      <c r="K42" s="391"/>
    </row>
    <row r="43" spans="1:11" s="392" customFormat="1">
      <c r="A43" s="397" t="s">
        <v>149</v>
      </c>
      <c r="B43" s="393">
        <f>'Sources and Uses Budget'!C43</f>
        <v>269030</v>
      </c>
      <c r="C43" s="394">
        <f>B43</f>
        <v>269030</v>
      </c>
      <c r="D43" s="394"/>
      <c r="E43" s="393">
        <f>'Sources and Uses Budget'!S43</f>
        <v>269030</v>
      </c>
      <c r="F43" s="394">
        <f>E43</f>
        <v>269030</v>
      </c>
      <c r="G43" s="394"/>
      <c r="H43" s="393">
        <f>'Sources and Uses Budget'!T43</f>
        <v>0</v>
      </c>
      <c r="I43" s="394"/>
      <c r="J43" s="394"/>
      <c r="K43" s="391"/>
    </row>
    <row r="44" spans="1:11" s="392" customFormat="1">
      <c r="A44" s="389" t="s">
        <v>150</v>
      </c>
      <c r="B44" s="390"/>
      <c r="C44" s="390"/>
      <c r="D44" s="390"/>
      <c r="E44" s="390"/>
      <c r="F44" s="390"/>
      <c r="G44" s="390"/>
      <c r="H44" s="390"/>
      <c r="I44" s="390"/>
      <c r="J44" s="390"/>
      <c r="K44" s="391"/>
    </row>
    <row r="45" spans="1:11" s="392" customFormat="1">
      <c r="A45" s="396" t="s">
        <v>151</v>
      </c>
      <c r="B45" s="393">
        <f>'Sources and Uses Budget'!C45</f>
        <v>3001097</v>
      </c>
      <c r="C45" s="394">
        <f>B45</f>
        <v>3001097</v>
      </c>
      <c r="D45" s="394"/>
      <c r="E45" s="393">
        <f>'Sources and Uses Budget'!S45</f>
        <v>3001097</v>
      </c>
      <c r="F45" s="394">
        <f>E45</f>
        <v>3001097</v>
      </c>
      <c r="G45" s="394"/>
      <c r="H45" s="393">
        <f>'Sources and Uses Budget'!T45</f>
        <v>0</v>
      </c>
      <c r="I45" s="394"/>
      <c r="J45" s="394"/>
      <c r="K45" s="391"/>
    </row>
    <row r="46" spans="1:11" s="392" customFormat="1">
      <c r="A46" s="396" t="s">
        <v>152</v>
      </c>
      <c r="B46" s="393">
        <f>'Sources and Uses Budget'!C46</f>
        <v>96236</v>
      </c>
      <c r="C46" s="394">
        <f t="shared" ref="C46:C53" si="2">B46</f>
        <v>96236</v>
      </c>
      <c r="D46" s="394"/>
      <c r="E46" s="393">
        <f>'Sources and Uses Budget'!S46</f>
        <v>96236</v>
      </c>
      <c r="F46" s="394">
        <f t="shared" ref="F46:F53" si="3">E46</f>
        <v>96236</v>
      </c>
      <c r="G46" s="394"/>
      <c r="H46" s="393">
        <f>'Sources and Uses Budget'!T46</f>
        <v>0</v>
      </c>
      <c r="I46" s="394"/>
      <c r="J46" s="394"/>
      <c r="K46" s="391"/>
    </row>
    <row r="47" spans="1:11" s="392" customFormat="1" ht="12" customHeight="1">
      <c r="A47" s="396" t="s">
        <v>153</v>
      </c>
      <c r="B47" s="393">
        <f>'Sources and Uses Budget'!C47</f>
        <v>0</v>
      </c>
      <c r="C47" s="394">
        <f t="shared" si="2"/>
        <v>0</v>
      </c>
      <c r="D47" s="394"/>
      <c r="E47" s="393">
        <f>'Sources and Uses Budget'!S47</f>
        <v>0</v>
      </c>
      <c r="F47" s="394">
        <f t="shared" si="3"/>
        <v>0</v>
      </c>
      <c r="G47" s="394"/>
      <c r="H47" s="393">
        <f>'Sources and Uses Budget'!T47</f>
        <v>0</v>
      </c>
      <c r="I47" s="394"/>
      <c r="J47" s="394"/>
      <c r="K47" s="391"/>
    </row>
    <row r="48" spans="1:11" s="392" customFormat="1">
      <c r="A48" s="396" t="s">
        <v>154</v>
      </c>
      <c r="B48" s="393">
        <f>'Sources and Uses Budget'!C48</f>
        <v>0</v>
      </c>
      <c r="C48" s="394">
        <f t="shared" si="2"/>
        <v>0</v>
      </c>
      <c r="D48" s="394"/>
      <c r="E48" s="393">
        <f>'Sources and Uses Budget'!S48</f>
        <v>0</v>
      </c>
      <c r="F48" s="394">
        <f t="shared" si="3"/>
        <v>0</v>
      </c>
      <c r="G48" s="394"/>
      <c r="H48" s="393">
        <f>'Sources and Uses Budget'!T48</f>
        <v>0</v>
      </c>
      <c r="I48" s="394"/>
      <c r="J48" s="394"/>
      <c r="K48" s="391"/>
    </row>
    <row r="49" spans="1:11" s="392" customFormat="1">
      <c r="A49" s="304" t="s">
        <v>57</v>
      </c>
      <c r="B49" s="393">
        <f>'Sources and Uses Budget'!C49</f>
        <v>0</v>
      </c>
      <c r="C49" s="394">
        <f t="shared" si="2"/>
        <v>0</v>
      </c>
      <c r="D49" s="394"/>
      <c r="E49" s="393">
        <f>'Sources and Uses Budget'!S49</f>
        <v>0</v>
      </c>
      <c r="F49" s="394">
        <f t="shared" si="3"/>
        <v>0</v>
      </c>
      <c r="G49" s="394"/>
      <c r="H49" s="393">
        <f>'Sources and Uses Budget'!T49</f>
        <v>0</v>
      </c>
      <c r="I49" s="394"/>
      <c r="J49" s="394"/>
      <c r="K49" s="391"/>
    </row>
    <row r="50" spans="1:11" s="392" customFormat="1">
      <c r="A50" s="396" t="s">
        <v>157</v>
      </c>
      <c r="B50" s="393">
        <f>'Sources and Uses Budget'!C50</f>
        <v>110000</v>
      </c>
      <c r="C50" s="394">
        <f t="shared" si="2"/>
        <v>110000</v>
      </c>
      <c r="D50" s="394"/>
      <c r="E50" s="393">
        <f>'Sources and Uses Budget'!S50</f>
        <v>110000</v>
      </c>
      <c r="F50" s="394">
        <f t="shared" si="3"/>
        <v>110000</v>
      </c>
      <c r="G50" s="394"/>
      <c r="H50" s="393">
        <f>'Sources and Uses Budget'!T50</f>
        <v>0</v>
      </c>
      <c r="I50" s="394"/>
      <c r="J50" s="394"/>
      <c r="K50" s="391"/>
    </row>
    <row r="51" spans="1:11" s="392" customFormat="1">
      <c r="A51" s="396" t="s">
        <v>155</v>
      </c>
      <c r="B51" s="393">
        <f>'Sources and Uses Budget'!C51</f>
        <v>125874</v>
      </c>
      <c r="C51" s="394">
        <f t="shared" si="2"/>
        <v>125874</v>
      </c>
      <c r="D51" s="394"/>
      <c r="E51" s="393">
        <f>'Sources and Uses Budget'!S51</f>
        <v>125874</v>
      </c>
      <c r="F51" s="394">
        <f t="shared" si="3"/>
        <v>125874</v>
      </c>
      <c r="G51" s="394"/>
      <c r="H51" s="393">
        <f>'Sources and Uses Budget'!T51</f>
        <v>0</v>
      </c>
      <c r="I51" s="394"/>
      <c r="J51" s="394"/>
      <c r="K51" s="391"/>
    </row>
    <row r="52" spans="1:11" s="392" customFormat="1">
      <c r="A52" s="396" t="s">
        <v>156</v>
      </c>
      <c r="B52" s="393">
        <f>'Sources and Uses Budget'!C52</f>
        <v>0</v>
      </c>
      <c r="C52" s="394">
        <f t="shared" si="2"/>
        <v>0</v>
      </c>
      <c r="D52" s="394"/>
      <c r="E52" s="393">
        <f>'Sources and Uses Budget'!S52</f>
        <v>0</v>
      </c>
      <c r="F52" s="394">
        <f t="shared" si="3"/>
        <v>0</v>
      </c>
      <c r="G52" s="394"/>
      <c r="H52" s="393">
        <f>'Sources and Uses Budget'!T52</f>
        <v>0</v>
      </c>
      <c r="I52" s="394"/>
      <c r="J52" s="394"/>
      <c r="K52" s="391"/>
    </row>
    <row r="53" spans="1:11" s="392" customFormat="1">
      <c r="A53" s="396" t="str">
        <f>'Sources and Uses Budget'!$A53</f>
        <v>Construction Inspection Fees</v>
      </c>
      <c r="B53" s="393">
        <f>'Sources and Uses Budget'!C53</f>
        <v>34200</v>
      </c>
      <c r="C53" s="394">
        <f t="shared" si="2"/>
        <v>34200</v>
      </c>
      <c r="D53" s="394"/>
      <c r="E53" s="393">
        <f>'Sources and Uses Budget'!S53</f>
        <v>34200</v>
      </c>
      <c r="F53" s="394">
        <f t="shared" si="3"/>
        <v>34200</v>
      </c>
      <c r="G53" s="394"/>
      <c r="H53" s="393">
        <f>'Sources and Uses Budget'!T53</f>
        <v>0</v>
      </c>
      <c r="I53" s="394"/>
      <c r="J53" s="394"/>
      <c r="K53" s="391"/>
    </row>
    <row r="54" spans="1:11" s="401" customFormat="1">
      <c r="A54" s="397" t="s">
        <v>158</v>
      </c>
      <c r="B54" s="393">
        <f>'Sources and Uses Budget'!C54</f>
        <v>3367407</v>
      </c>
      <c r="C54" s="399">
        <f>SUM(C45:C53)</f>
        <v>3367407</v>
      </c>
      <c r="D54" s="399">
        <f>SUM(D45:D53)</f>
        <v>0</v>
      </c>
      <c r="E54" s="393">
        <f>'Sources and Uses Budget'!S54</f>
        <v>3367407</v>
      </c>
      <c r="F54" s="399">
        <f>SUM(F45:F53)</f>
        <v>3367407</v>
      </c>
      <c r="G54" s="399">
        <f>SUM(G45:G53)</f>
        <v>0</v>
      </c>
      <c r="H54" s="393">
        <f>'Sources and Uses Budget'!T54</f>
        <v>0</v>
      </c>
      <c r="I54" s="399">
        <f>SUM(I45:I53)</f>
        <v>0</v>
      </c>
      <c r="J54" s="399">
        <f>SUM(J45:J53)</f>
        <v>0</v>
      </c>
      <c r="K54" s="400"/>
    </row>
    <row r="55" spans="1:11" s="392" customFormat="1">
      <c r="A55" s="389" t="s">
        <v>419</v>
      </c>
      <c r="B55" s="390"/>
      <c r="C55" s="390"/>
      <c r="D55" s="390"/>
      <c r="E55" s="390"/>
      <c r="F55" s="390"/>
      <c r="G55" s="390"/>
      <c r="H55" s="390"/>
      <c r="I55" s="390"/>
      <c r="J55" s="390"/>
      <c r="K55" s="391"/>
    </row>
    <row r="56" spans="1:11" s="392" customFormat="1">
      <c r="A56" s="396" t="s">
        <v>159</v>
      </c>
      <c r="B56" s="393">
        <f>'Sources and Uses Budget'!C56</f>
        <v>365427</v>
      </c>
      <c r="C56" s="394">
        <f>B56</f>
        <v>365427</v>
      </c>
      <c r="D56" s="394"/>
      <c r="E56" s="395"/>
      <c r="F56" s="395"/>
      <c r="G56" s="395"/>
      <c r="H56" s="395"/>
      <c r="I56" s="395"/>
      <c r="J56" s="395"/>
      <c r="K56" s="391"/>
    </row>
    <row r="57" spans="1:11" s="392" customFormat="1" ht="12" customHeight="1">
      <c r="A57" s="396" t="s">
        <v>153</v>
      </c>
      <c r="B57" s="393">
        <f>'Sources and Uses Budget'!C57</f>
        <v>213340</v>
      </c>
      <c r="C57" s="394">
        <f t="shared" ref="C57:C61" si="4">B57</f>
        <v>213340</v>
      </c>
      <c r="D57" s="394"/>
      <c r="E57" s="395"/>
      <c r="F57" s="395"/>
      <c r="G57" s="395"/>
      <c r="H57" s="395"/>
      <c r="I57" s="395"/>
      <c r="J57" s="395"/>
      <c r="K57" s="391"/>
    </row>
    <row r="58" spans="1:11" s="392" customFormat="1">
      <c r="A58" s="396" t="s">
        <v>157</v>
      </c>
      <c r="B58" s="393">
        <f>'Sources and Uses Budget'!C58</f>
        <v>0</v>
      </c>
      <c r="C58" s="394">
        <f t="shared" si="4"/>
        <v>0</v>
      </c>
      <c r="D58" s="394"/>
      <c r="E58" s="395"/>
      <c r="F58" s="395"/>
      <c r="G58" s="395"/>
      <c r="H58" s="395"/>
      <c r="I58" s="395"/>
      <c r="J58" s="395"/>
      <c r="K58" s="391"/>
    </row>
    <row r="59" spans="1:11" s="392" customFormat="1">
      <c r="A59" s="396" t="s">
        <v>155</v>
      </c>
      <c r="B59" s="393">
        <f>'Sources and Uses Budget'!C59</f>
        <v>0</v>
      </c>
      <c r="C59" s="394">
        <f t="shared" si="4"/>
        <v>0</v>
      </c>
      <c r="D59" s="394"/>
      <c r="E59" s="395"/>
      <c r="F59" s="395"/>
      <c r="G59" s="395"/>
      <c r="H59" s="395"/>
      <c r="I59" s="395"/>
      <c r="J59" s="395"/>
      <c r="K59" s="391"/>
    </row>
    <row r="60" spans="1:11" s="392" customFormat="1">
      <c r="A60" s="396" t="s">
        <v>156</v>
      </c>
      <c r="B60" s="393">
        <f>'Sources and Uses Budget'!C60</f>
        <v>0</v>
      </c>
      <c r="C60" s="394">
        <f t="shared" si="4"/>
        <v>0</v>
      </c>
      <c r="D60" s="394"/>
      <c r="E60" s="395"/>
      <c r="F60" s="395"/>
      <c r="G60" s="395"/>
      <c r="H60" s="395"/>
      <c r="I60" s="395"/>
      <c r="J60" s="395"/>
      <c r="K60" s="391"/>
    </row>
    <row r="61" spans="1:11" s="392" customFormat="1">
      <c r="A61" s="396" t="str">
        <f>'Sources and Uses Budget'!$A61</f>
        <v>Interest Prior to Conversion</v>
      </c>
      <c r="B61" s="393">
        <f>'Sources and Uses Budget'!C61</f>
        <v>2893800</v>
      </c>
      <c r="C61" s="394">
        <f t="shared" si="4"/>
        <v>2893800</v>
      </c>
      <c r="D61" s="394"/>
      <c r="E61" s="395"/>
      <c r="F61" s="395"/>
      <c r="G61" s="395"/>
      <c r="H61" s="395"/>
      <c r="I61" s="395"/>
      <c r="J61" s="395"/>
      <c r="K61" s="391"/>
    </row>
    <row r="62" spans="1:11" s="392" customFormat="1" ht="13.7" customHeight="1">
      <c r="A62" s="397" t="s">
        <v>302</v>
      </c>
      <c r="B62" s="393">
        <f>'Sources and Uses Budget'!C62</f>
        <v>3472567</v>
      </c>
      <c r="C62" s="393">
        <f>SUM(C56:C61)</f>
        <v>3472567</v>
      </c>
      <c r="D62" s="393">
        <f>SUM(D56:D61)</f>
        <v>0</v>
      </c>
      <c r="E62" s="395"/>
      <c r="F62" s="395"/>
      <c r="G62" s="395"/>
      <c r="H62" s="395"/>
      <c r="I62" s="395"/>
      <c r="J62" s="395"/>
      <c r="K62" s="391"/>
    </row>
    <row r="63" spans="1:11" s="392" customFormat="1">
      <c r="A63" s="402" t="s">
        <v>303</v>
      </c>
      <c r="B63" s="393">
        <f>'Sources and Uses Budget'!C63</f>
        <v>44475770</v>
      </c>
      <c r="C63" s="393">
        <f>SUM(C8+C11+C13+C14+C15+C26+C27+C38+C42+C43+C54+C62)</f>
        <v>44475770</v>
      </c>
      <c r="D63" s="393">
        <f>SUM(D8+D11+D13+D14+D15+D26+D27+D38+D42+D43+D54+D62)</f>
        <v>0</v>
      </c>
      <c r="E63" s="393">
        <f>'Sources and Uses Budget'!S63</f>
        <v>41003202</v>
      </c>
      <c r="F63" s="393">
        <f>SUM(F10+F13+F14+F15+F26+F27+F38+F42+F43+F54)</f>
        <v>41003202</v>
      </c>
      <c r="G63" s="393">
        <f>SUM(G10+G13+G14+G15+G26+G27+G38+G42+G43+G54)</f>
        <v>0</v>
      </c>
      <c r="H63" s="393">
        <f>'Sources and Uses Budget'!T63</f>
        <v>0</v>
      </c>
      <c r="I63" s="393">
        <f>SUM(I11+I13+I14+I15+I26+I27+I38+I42+I43+I54)</f>
        <v>0</v>
      </c>
      <c r="J63" s="393">
        <f>SUM(J11+J13+J14+J15+J26+J27+J38+J42+J43+J54)</f>
        <v>0</v>
      </c>
      <c r="K63" s="391"/>
    </row>
    <row r="64" spans="1:11" s="392" customFormat="1" ht="24">
      <c r="A64" s="141" t="s">
        <v>1824</v>
      </c>
      <c r="B64" s="390"/>
      <c r="C64" s="390"/>
      <c r="D64" s="390"/>
      <c r="E64" s="390"/>
      <c r="F64" s="390"/>
      <c r="G64" s="390"/>
      <c r="H64" s="390"/>
      <c r="I64" s="390"/>
      <c r="J64" s="390"/>
      <c r="K64" s="391"/>
    </row>
    <row r="65" spans="1:11" s="392" customFormat="1">
      <c r="A65" s="145" t="s">
        <v>171</v>
      </c>
      <c r="B65" s="393">
        <f>'Sources and Uses Budget'!C65</f>
        <v>85000</v>
      </c>
      <c r="C65" s="394">
        <f>B65</f>
        <v>85000</v>
      </c>
      <c r="D65" s="394"/>
      <c r="E65" s="393">
        <f>'Sources and Uses Budget'!S65</f>
        <v>0</v>
      </c>
      <c r="F65" s="394"/>
      <c r="G65" s="394"/>
      <c r="H65" s="393">
        <f>'Sources and Uses Budget'!T65</f>
        <v>0</v>
      </c>
      <c r="I65" s="394"/>
      <c r="J65" s="394"/>
      <c r="K65" s="391"/>
    </row>
    <row r="66" spans="1:11" s="392" customFormat="1" ht="24">
      <c r="A66" s="304" t="s">
        <v>1821</v>
      </c>
      <c r="B66" s="393">
        <f>'Sources and Uses Budget'!C66</f>
        <v>0</v>
      </c>
      <c r="C66" s="394"/>
      <c r="D66" s="394"/>
      <c r="E66" s="393">
        <f>'Sources and Uses Budget'!S66</f>
        <v>0</v>
      </c>
      <c r="F66" s="394"/>
      <c r="G66" s="394"/>
      <c r="H66" s="393">
        <f>'Sources and Uses Budget'!T66</f>
        <v>0</v>
      </c>
      <c r="I66" s="394"/>
      <c r="J66" s="394"/>
      <c r="K66" s="391"/>
    </row>
    <row r="67" spans="1:11" s="392" customFormat="1" ht="24">
      <c r="A67" s="304" t="s">
        <v>1822</v>
      </c>
      <c r="B67" s="393">
        <f>'Sources and Uses Budget'!C67</f>
        <v>0</v>
      </c>
      <c r="C67" s="394"/>
      <c r="D67" s="394"/>
      <c r="E67" s="393">
        <f>'Sources and Uses Budget'!S67</f>
        <v>0</v>
      </c>
      <c r="F67" s="394"/>
      <c r="G67" s="394"/>
      <c r="H67" s="393">
        <f>'Sources and Uses Budget'!T67</f>
        <v>0</v>
      </c>
      <c r="I67" s="394"/>
      <c r="J67" s="394"/>
      <c r="K67" s="391"/>
    </row>
    <row r="68" spans="1:11" s="392" customFormat="1">
      <c r="A68" s="304" t="s">
        <v>1828</v>
      </c>
      <c r="B68" s="393">
        <f>'Sources and Uses Budget'!C68</f>
        <v>0</v>
      </c>
      <c r="C68" s="394"/>
      <c r="D68" s="394"/>
      <c r="E68" s="393">
        <f>'Sources and Uses Budget'!S68</f>
        <v>0</v>
      </c>
      <c r="F68" s="394"/>
      <c r="G68" s="394"/>
      <c r="H68" s="393">
        <f>'Sources and Uses Budget'!T68</f>
        <v>0</v>
      </c>
      <c r="I68" s="394"/>
      <c r="J68" s="394"/>
      <c r="K68" s="391"/>
    </row>
    <row r="69" spans="1:11" s="392" customFormat="1">
      <c r="A69" s="396" t="str">
        <f>'Sources and Uses Budget'!$A69</f>
        <v>Other: (Specify)</v>
      </c>
      <c r="B69" s="393">
        <f>'Sources and Uses Budget'!C69</f>
        <v>0</v>
      </c>
      <c r="C69" s="394"/>
      <c r="D69" s="394"/>
      <c r="E69" s="393">
        <f>'Sources and Uses Budget'!S69</f>
        <v>0</v>
      </c>
      <c r="F69" s="394"/>
      <c r="G69" s="394"/>
      <c r="H69" s="393">
        <f>'Sources and Uses Budget'!T69</f>
        <v>0</v>
      </c>
      <c r="I69" s="394"/>
      <c r="J69" s="394"/>
      <c r="K69" s="391"/>
    </row>
    <row r="70" spans="1:11" s="392" customFormat="1">
      <c r="A70" s="397" t="s">
        <v>610</v>
      </c>
      <c r="B70" s="393">
        <f>'Sources and Uses Budget'!C70</f>
        <v>85000</v>
      </c>
      <c r="C70" s="393">
        <f>SUM(C64:C69)</f>
        <v>85000</v>
      </c>
      <c r="D70" s="393">
        <f>SUM(D64:D69)</f>
        <v>0</v>
      </c>
      <c r="E70" s="393">
        <f>'Sources and Uses Budget'!S70</f>
        <v>0</v>
      </c>
      <c r="F70" s="399">
        <f>SUM(F65:F69)</f>
        <v>0</v>
      </c>
      <c r="G70" s="399">
        <f>SUM(G65:G69)</f>
        <v>0</v>
      </c>
      <c r="H70" s="393">
        <f>'Sources and Uses Budget'!T70</f>
        <v>0</v>
      </c>
      <c r="I70" s="399">
        <f>SUM(I65:I69)</f>
        <v>0</v>
      </c>
      <c r="J70" s="399">
        <f>SUM(J65:J69)</f>
        <v>0</v>
      </c>
      <c r="K70" s="391"/>
    </row>
    <row r="71" spans="1:11" s="392" customFormat="1">
      <c r="A71" s="389" t="s">
        <v>611</v>
      </c>
      <c r="B71" s="390"/>
      <c r="C71" s="390"/>
      <c r="D71" s="390"/>
      <c r="E71" s="390"/>
      <c r="F71" s="390"/>
      <c r="G71" s="390"/>
      <c r="H71" s="390"/>
      <c r="I71" s="390"/>
      <c r="J71" s="390"/>
      <c r="K71" s="391"/>
    </row>
    <row r="72" spans="1:11" s="392" customFormat="1">
      <c r="A72" s="396" t="s">
        <v>612</v>
      </c>
      <c r="B72" s="393">
        <f>'Sources and Uses Budget'!C72</f>
        <v>0</v>
      </c>
      <c r="C72" s="394"/>
      <c r="D72" s="394"/>
      <c r="E72" s="395"/>
      <c r="F72" s="395"/>
      <c r="G72" s="395"/>
      <c r="H72" s="395"/>
      <c r="I72" s="395"/>
      <c r="J72" s="395"/>
      <c r="K72" s="391"/>
    </row>
    <row r="73" spans="1:11" s="392" customFormat="1">
      <c r="A73" s="396" t="s">
        <v>613</v>
      </c>
      <c r="B73" s="393">
        <f>'Sources and Uses Budget'!C73</f>
        <v>0</v>
      </c>
      <c r="C73" s="394"/>
      <c r="D73" s="394"/>
      <c r="E73" s="395"/>
      <c r="F73" s="395"/>
      <c r="G73" s="395"/>
      <c r="H73" s="395"/>
      <c r="I73" s="395"/>
      <c r="J73" s="395"/>
      <c r="K73" s="391"/>
    </row>
    <row r="74" spans="1:11" s="392" customFormat="1">
      <c r="A74" s="398" t="s">
        <v>1040</v>
      </c>
      <c r="B74" s="393">
        <f>'Sources and Uses Budget'!C74</f>
        <v>0</v>
      </c>
      <c r="C74" s="394"/>
      <c r="D74" s="394"/>
      <c r="E74" s="395"/>
      <c r="F74" s="395"/>
      <c r="G74" s="395"/>
      <c r="H74" s="395"/>
      <c r="I74" s="395"/>
      <c r="J74" s="395"/>
      <c r="K74" s="391"/>
    </row>
    <row r="75" spans="1:11" s="392" customFormat="1">
      <c r="A75" s="396" t="s">
        <v>614</v>
      </c>
      <c r="B75" s="393">
        <f>'Sources and Uses Budget'!C75</f>
        <v>603843</v>
      </c>
      <c r="C75" s="394">
        <f>B75</f>
        <v>603843</v>
      </c>
      <c r="D75" s="394"/>
      <c r="E75" s="395"/>
      <c r="F75" s="395"/>
      <c r="G75" s="395"/>
      <c r="H75" s="395"/>
      <c r="I75" s="395"/>
      <c r="J75" s="395"/>
      <c r="K75" s="391"/>
    </row>
    <row r="76" spans="1:11" s="392" customFormat="1">
      <c r="A76" s="396" t="str">
        <f>'Sources and Uses Budget'!$A76</f>
        <v>Other: (Specify)</v>
      </c>
      <c r="B76" s="393">
        <f>'Sources and Uses Budget'!C76</f>
        <v>0</v>
      </c>
      <c r="C76" s="394"/>
      <c r="D76" s="394"/>
      <c r="E76" s="395"/>
      <c r="F76" s="395"/>
      <c r="G76" s="395"/>
      <c r="H76" s="395"/>
      <c r="I76" s="395"/>
      <c r="J76" s="395"/>
      <c r="K76" s="391"/>
    </row>
    <row r="77" spans="1:11" s="392" customFormat="1">
      <c r="A77" s="397" t="s">
        <v>615</v>
      </c>
      <c r="B77" s="393">
        <f>'Sources and Uses Budget'!C77</f>
        <v>603843</v>
      </c>
      <c r="C77" s="393">
        <f>SUM(C72:C76)</f>
        <v>603843</v>
      </c>
      <c r="D77" s="393">
        <f>SUM(D72:D76)</f>
        <v>0</v>
      </c>
      <c r="E77" s="395"/>
      <c r="F77" s="395"/>
      <c r="G77" s="395"/>
      <c r="H77" s="395"/>
      <c r="I77" s="395"/>
      <c r="J77" s="395"/>
      <c r="K77" s="391"/>
    </row>
    <row r="78" spans="1:11" s="392" customFormat="1">
      <c r="A78" s="389" t="s">
        <v>1353</v>
      </c>
      <c r="B78" s="390"/>
      <c r="C78" s="390"/>
      <c r="D78" s="390"/>
      <c r="E78" s="390"/>
      <c r="F78" s="390"/>
      <c r="G78" s="390"/>
      <c r="H78" s="390"/>
      <c r="I78" s="390"/>
      <c r="J78" s="390"/>
      <c r="K78" s="391"/>
    </row>
    <row r="79" spans="1:11" s="392" customFormat="1">
      <c r="A79" s="396" t="s">
        <v>1355</v>
      </c>
      <c r="B79" s="393">
        <f>'Sources and Uses Budget'!C79</f>
        <v>3512927</v>
      </c>
      <c r="C79" s="394">
        <f>B79</f>
        <v>3512927</v>
      </c>
      <c r="D79" s="394"/>
      <c r="E79" s="393">
        <f>'Sources and Uses Budget'!S79</f>
        <v>3512927</v>
      </c>
      <c r="F79" s="394">
        <f>E79</f>
        <v>3512927</v>
      </c>
      <c r="G79" s="394"/>
      <c r="H79" s="393">
        <f>'Sources and Uses Budget'!T79</f>
        <v>0</v>
      </c>
      <c r="I79" s="394"/>
      <c r="J79" s="394"/>
      <c r="K79" s="391"/>
    </row>
    <row r="80" spans="1:11" s="392" customFormat="1">
      <c r="A80" s="396" t="s">
        <v>58</v>
      </c>
      <c r="B80" s="393">
        <f>'Sources and Uses Budget'!C80</f>
        <v>580966</v>
      </c>
      <c r="C80" s="394">
        <f>B80</f>
        <v>580966</v>
      </c>
      <c r="D80" s="394"/>
      <c r="E80" s="393">
        <f>'Sources and Uses Budget'!S80</f>
        <v>580966</v>
      </c>
      <c r="F80" s="394">
        <f>E80</f>
        <v>580966</v>
      </c>
      <c r="G80" s="394"/>
      <c r="H80" s="393">
        <f>'Sources and Uses Budget'!T80</f>
        <v>0</v>
      </c>
      <c r="I80" s="394"/>
      <c r="J80" s="394"/>
      <c r="K80" s="391"/>
    </row>
    <row r="81" spans="1:11" s="392" customFormat="1">
      <c r="A81" s="397" t="s">
        <v>1352</v>
      </c>
      <c r="B81" s="393">
        <f>'Sources and Uses Budget'!C81</f>
        <v>4093893</v>
      </c>
      <c r="C81" s="393">
        <f>SUM(C79:C80)</f>
        <v>4093893</v>
      </c>
      <c r="D81" s="393">
        <f>SUM(D79:D80)</f>
        <v>0</v>
      </c>
      <c r="E81" s="393">
        <f>'Sources and Uses Budget'!S81</f>
        <v>4093893</v>
      </c>
      <c r="F81" s="393">
        <f>SUM(F79:F80)</f>
        <v>4093893</v>
      </c>
      <c r="G81" s="393">
        <f>SUM(G79:G80)</f>
        <v>0</v>
      </c>
      <c r="H81" s="393">
        <f>'Sources and Uses Budget'!T81</f>
        <v>0</v>
      </c>
      <c r="I81" s="393">
        <f>SUM(I79:I80)</f>
        <v>0</v>
      </c>
      <c r="J81" s="393">
        <f>SUM(J79:J80)</f>
        <v>0</v>
      </c>
      <c r="K81" s="391"/>
    </row>
    <row r="82" spans="1:11" s="392" customFormat="1">
      <c r="A82" s="389" t="s">
        <v>789</v>
      </c>
      <c r="B82" s="390"/>
      <c r="C82" s="390"/>
      <c r="D82" s="390"/>
      <c r="E82" s="390"/>
      <c r="F82" s="390"/>
      <c r="G82" s="390"/>
      <c r="H82" s="390"/>
      <c r="I82" s="390"/>
      <c r="J82" s="390"/>
      <c r="K82" s="391"/>
    </row>
    <row r="83" spans="1:11" s="392" customFormat="1" ht="13.7" customHeight="1">
      <c r="A83" s="145" t="s">
        <v>2518</v>
      </c>
      <c r="B83" s="393">
        <f>'Sources and Uses Budget'!C83</f>
        <v>101729</v>
      </c>
      <c r="C83" s="394">
        <f>B83</f>
        <v>101729</v>
      </c>
      <c r="D83" s="394"/>
      <c r="E83" s="395"/>
      <c r="F83" s="395"/>
      <c r="G83" s="395"/>
      <c r="H83" s="395"/>
      <c r="I83" s="395"/>
      <c r="J83" s="395"/>
      <c r="K83" s="391"/>
    </row>
    <row r="84" spans="1:11" s="392" customFormat="1">
      <c r="A84" s="145" t="s">
        <v>791</v>
      </c>
      <c r="B84" s="393">
        <f>'Sources and Uses Budget'!C84</f>
        <v>0</v>
      </c>
      <c r="C84" s="394"/>
      <c r="D84" s="394"/>
      <c r="E84" s="393">
        <f>'Sources and Uses Budget'!S84</f>
        <v>0</v>
      </c>
      <c r="F84" s="394"/>
      <c r="G84" s="394"/>
      <c r="H84" s="393">
        <f>'Sources and Uses Budget'!T84</f>
        <v>0</v>
      </c>
      <c r="I84" s="394"/>
      <c r="J84" s="394"/>
      <c r="K84" s="391"/>
    </row>
    <row r="85" spans="1:11" s="392" customFormat="1">
      <c r="A85" s="145" t="s">
        <v>792</v>
      </c>
      <c r="B85" s="393">
        <f>'Sources and Uses Budget'!C85</f>
        <v>8225287</v>
      </c>
      <c r="C85" s="394">
        <f>B85</f>
        <v>8225287</v>
      </c>
      <c r="D85" s="394"/>
      <c r="E85" s="393">
        <f>'Sources and Uses Budget'!S85</f>
        <v>8225287</v>
      </c>
      <c r="F85" s="394">
        <f>E85</f>
        <v>8225287</v>
      </c>
      <c r="G85" s="394"/>
      <c r="H85" s="393">
        <f>'Sources and Uses Budget'!T85</f>
        <v>0</v>
      </c>
      <c r="I85" s="394"/>
      <c r="J85" s="394"/>
      <c r="K85" s="391"/>
    </row>
    <row r="86" spans="1:11" s="392" customFormat="1">
      <c r="A86" s="145" t="s">
        <v>793</v>
      </c>
      <c r="B86" s="393">
        <f>'Sources and Uses Budget'!C86</f>
        <v>774644</v>
      </c>
      <c r="C86" s="394">
        <f>B86</f>
        <v>774644</v>
      </c>
      <c r="D86" s="394"/>
      <c r="E86" s="393">
        <f>'Sources and Uses Budget'!S86</f>
        <v>774644</v>
      </c>
      <c r="F86" s="394">
        <f>E86</f>
        <v>774644</v>
      </c>
      <c r="G86" s="394"/>
      <c r="H86" s="393">
        <f>'Sources and Uses Budget'!T86</f>
        <v>0</v>
      </c>
      <c r="I86" s="394"/>
      <c r="J86" s="394"/>
      <c r="K86" s="391"/>
    </row>
    <row r="87" spans="1:11" s="392" customFormat="1">
      <c r="A87" s="145" t="s">
        <v>794</v>
      </c>
      <c r="B87" s="393">
        <f>'Sources and Uses Budget'!C87</f>
        <v>0</v>
      </c>
      <c r="C87" s="394"/>
      <c r="D87" s="394"/>
      <c r="E87" s="393">
        <f>'Sources and Uses Budget'!S87</f>
        <v>0</v>
      </c>
      <c r="F87" s="394"/>
      <c r="G87" s="394"/>
      <c r="H87" s="393">
        <f>'Sources and Uses Budget'!T87</f>
        <v>0</v>
      </c>
      <c r="I87" s="394"/>
      <c r="J87" s="394"/>
      <c r="K87" s="391"/>
    </row>
    <row r="88" spans="1:11" s="392" customFormat="1">
      <c r="A88" s="145" t="s">
        <v>795</v>
      </c>
      <c r="B88" s="393">
        <f>'Sources and Uses Budget'!C88</f>
        <v>152000</v>
      </c>
      <c r="C88" s="394">
        <f>B88</f>
        <v>152000</v>
      </c>
      <c r="D88" s="394"/>
      <c r="E88" s="395"/>
      <c r="F88" s="395"/>
      <c r="G88" s="395"/>
      <c r="H88" s="395"/>
      <c r="I88" s="395"/>
      <c r="J88" s="395"/>
      <c r="K88" s="391"/>
    </row>
    <row r="89" spans="1:11" s="392" customFormat="1">
      <c r="A89" s="145" t="s">
        <v>796</v>
      </c>
      <c r="B89" s="393">
        <f>'Sources and Uses Budget'!C89</f>
        <v>352525</v>
      </c>
      <c r="C89" s="394">
        <f t="shared" ref="C89:C95" si="5">B89</f>
        <v>352525</v>
      </c>
      <c r="D89" s="394"/>
      <c r="E89" s="393">
        <f>'Sources and Uses Budget'!S89</f>
        <v>352525</v>
      </c>
      <c r="F89" s="394">
        <f>E89</f>
        <v>352525</v>
      </c>
      <c r="G89" s="394"/>
      <c r="H89" s="393">
        <f>'Sources and Uses Budget'!T89</f>
        <v>0</v>
      </c>
      <c r="I89" s="394"/>
      <c r="J89" s="394"/>
      <c r="K89" s="391"/>
    </row>
    <row r="90" spans="1:11" s="392" customFormat="1">
      <c r="A90" s="145" t="s">
        <v>797</v>
      </c>
      <c r="B90" s="393">
        <f>'Sources and Uses Budget'!C90</f>
        <v>7500</v>
      </c>
      <c r="C90" s="394">
        <f t="shared" si="5"/>
        <v>7500</v>
      </c>
      <c r="D90" s="394"/>
      <c r="E90" s="393">
        <f>'Sources and Uses Budget'!S90</f>
        <v>7500</v>
      </c>
      <c r="F90" s="394">
        <f t="shared" ref="F90:F95" si="6">E90</f>
        <v>7500</v>
      </c>
      <c r="G90" s="394"/>
      <c r="H90" s="393">
        <f>'Sources and Uses Budget'!T90</f>
        <v>0</v>
      </c>
      <c r="I90" s="394"/>
      <c r="J90" s="394"/>
      <c r="K90" s="391"/>
    </row>
    <row r="91" spans="1:11" s="392" customFormat="1">
      <c r="A91" s="155" t="s">
        <v>373</v>
      </c>
      <c r="B91" s="393">
        <f>'Sources and Uses Budget'!C91</f>
        <v>25000</v>
      </c>
      <c r="C91" s="394">
        <f t="shared" si="5"/>
        <v>25000</v>
      </c>
      <c r="D91" s="394"/>
      <c r="E91" s="393">
        <f>'Sources and Uses Budget'!S91</f>
        <v>25000</v>
      </c>
      <c r="F91" s="394">
        <f t="shared" si="6"/>
        <v>25000</v>
      </c>
      <c r="G91" s="394"/>
      <c r="H91" s="393">
        <f>'Sources and Uses Budget'!T91</f>
        <v>0</v>
      </c>
      <c r="I91" s="394"/>
      <c r="J91" s="394"/>
      <c r="K91" s="391"/>
    </row>
    <row r="92" spans="1:11" s="392" customFormat="1">
      <c r="A92" s="543" t="s">
        <v>1354</v>
      </c>
      <c r="B92" s="393">
        <f>'Sources and Uses Budget'!C92</f>
        <v>5000</v>
      </c>
      <c r="C92" s="394">
        <f t="shared" si="5"/>
        <v>5000</v>
      </c>
      <c r="D92" s="394"/>
      <c r="E92" s="393">
        <f>'Sources and Uses Budget'!S92</f>
        <v>5000</v>
      </c>
      <c r="F92" s="394">
        <f t="shared" si="6"/>
        <v>5000</v>
      </c>
      <c r="G92" s="394"/>
      <c r="H92" s="393">
        <f>'Sources and Uses Budget'!T92</f>
        <v>0</v>
      </c>
      <c r="I92" s="394"/>
      <c r="J92" s="394"/>
      <c r="K92" s="391"/>
    </row>
    <row r="93" spans="1:11" s="392" customFormat="1">
      <c r="A93" s="396" t="str">
        <f>'Sources and Uses Budget'!$A93</f>
        <v>Development Expense</v>
      </c>
      <c r="B93" s="393">
        <f>'Sources and Uses Budget'!C93</f>
        <v>143169</v>
      </c>
      <c r="C93" s="394">
        <f t="shared" si="5"/>
        <v>143169</v>
      </c>
      <c r="D93" s="394"/>
      <c r="E93" s="393">
        <f>'Sources and Uses Budget'!S93</f>
        <v>143169</v>
      </c>
      <c r="F93" s="394">
        <f t="shared" si="6"/>
        <v>143169</v>
      </c>
      <c r="G93" s="394"/>
      <c r="H93" s="393">
        <f>'Sources and Uses Budget'!T93</f>
        <v>0</v>
      </c>
      <c r="I93" s="394"/>
      <c r="J93" s="394"/>
      <c r="K93" s="391"/>
    </row>
    <row r="94" spans="1:11" s="392" customFormat="1">
      <c r="A94" s="396" t="str">
        <f>'Sources and Uses Budget'!$A94</f>
        <v>Other: (Specify)</v>
      </c>
      <c r="B94" s="393">
        <f>'Sources and Uses Budget'!C94</f>
        <v>0</v>
      </c>
      <c r="C94" s="394">
        <f t="shared" si="5"/>
        <v>0</v>
      </c>
      <c r="D94" s="394"/>
      <c r="E94" s="393">
        <f>'Sources and Uses Budget'!S94</f>
        <v>0</v>
      </c>
      <c r="F94" s="394">
        <f t="shared" si="6"/>
        <v>0</v>
      </c>
      <c r="G94" s="394"/>
      <c r="H94" s="393">
        <f>'Sources and Uses Budget'!T94</f>
        <v>0</v>
      </c>
      <c r="I94" s="394"/>
      <c r="J94" s="394"/>
      <c r="K94" s="391"/>
    </row>
    <row r="95" spans="1:11" s="392" customFormat="1">
      <c r="A95" s="396" t="str">
        <f>'Sources and Uses Budget'!$A95</f>
        <v>Other: (Specify)</v>
      </c>
      <c r="B95" s="393">
        <f>'Sources and Uses Budget'!C95</f>
        <v>0</v>
      </c>
      <c r="C95" s="394">
        <f t="shared" si="5"/>
        <v>0</v>
      </c>
      <c r="D95" s="394"/>
      <c r="E95" s="393">
        <f>'Sources and Uses Budget'!S95</f>
        <v>0</v>
      </c>
      <c r="F95" s="394">
        <f t="shared" si="6"/>
        <v>0</v>
      </c>
      <c r="G95" s="394"/>
      <c r="H95" s="393">
        <f>'Sources and Uses Budget'!T95</f>
        <v>0</v>
      </c>
      <c r="I95" s="394"/>
      <c r="J95" s="394"/>
      <c r="K95" s="391"/>
    </row>
    <row r="96" spans="1:11" s="392" customFormat="1">
      <c r="A96" s="397" t="s">
        <v>798</v>
      </c>
      <c r="B96" s="393">
        <f>'Sources and Uses Budget'!C96</f>
        <v>9786854</v>
      </c>
      <c r="C96" s="393">
        <f>SUM(C83:C95)</f>
        <v>9786854</v>
      </c>
      <c r="D96" s="393">
        <f>SUM(D83:D95)</f>
        <v>0</v>
      </c>
      <c r="E96" s="393">
        <f>'Sources and Uses Budget'!S96</f>
        <v>9533125</v>
      </c>
      <c r="F96" s="399">
        <f>SUM(F84:F87,F89:F95)</f>
        <v>9533125</v>
      </c>
      <c r="G96" s="399">
        <f>SUM(G84:G87,G89:G95)</f>
        <v>0</v>
      </c>
      <c r="H96" s="393">
        <f>'Sources and Uses Budget'!T96</f>
        <v>0</v>
      </c>
      <c r="I96" s="393">
        <f>SUM(I84:I87,I89:I95)</f>
        <v>0</v>
      </c>
      <c r="J96" s="393">
        <f>SUM(J84:J87,J89:J95)</f>
        <v>0</v>
      </c>
      <c r="K96" s="391"/>
    </row>
    <row r="97" spans="1:11" s="392" customFormat="1">
      <c r="A97" s="397" t="s">
        <v>1090</v>
      </c>
      <c r="B97" s="393">
        <f>'Sources and Uses Budget'!C97</f>
        <v>59045360</v>
      </c>
      <c r="C97" s="393">
        <f>SUM(C63+C70+C77+C81+C96)</f>
        <v>59045360</v>
      </c>
      <c r="D97" s="393">
        <f>SUM(D63+D70+D77+D81+D96)</f>
        <v>0</v>
      </c>
      <c r="E97" s="393">
        <f>'Sources and Uses Budget'!S97</f>
        <v>54630220</v>
      </c>
      <c r="F97" s="399">
        <f>SUM(+F63+F70+F81+F96)</f>
        <v>54630220</v>
      </c>
      <c r="G97" s="399">
        <f>SUM(+G63+G70+G81+G96)</f>
        <v>0</v>
      </c>
      <c r="H97" s="393">
        <f>'Sources and Uses Budget'!T97</f>
        <v>0</v>
      </c>
      <c r="I97" s="399">
        <f>SUM(I63+I70+I81+I96)</f>
        <v>0</v>
      </c>
      <c r="J97" s="399">
        <f>SUM(J63+J70+J81+J96)</f>
        <v>0</v>
      </c>
      <c r="K97" s="391"/>
    </row>
    <row r="98" spans="1:11" s="392" customFormat="1">
      <c r="A98" s="389" t="s">
        <v>800</v>
      </c>
      <c r="B98" s="390"/>
      <c r="C98" s="390"/>
      <c r="D98" s="390"/>
      <c r="E98" s="390"/>
      <c r="F98" s="390"/>
      <c r="G98" s="390"/>
      <c r="H98" s="390"/>
      <c r="I98" s="390"/>
      <c r="J98" s="390"/>
      <c r="K98" s="391"/>
    </row>
    <row r="99" spans="1:11" s="392" customFormat="1">
      <c r="A99" s="145" t="s">
        <v>801</v>
      </c>
      <c r="B99" s="393">
        <f>'Sources and Uses Budget'!C99</f>
        <v>8194533</v>
      </c>
      <c r="C99" s="394">
        <f>B99</f>
        <v>8194533</v>
      </c>
      <c r="D99" s="394"/>
      <c r="E99" s="393">
        <f>'Sources and Uses Budget'!S99</f>
        <v>8194533</v>
      </c>
      <c r="F99" s="394">
        <f>E99</f>
        <v>8194533</v>
      </c>
      <c r="G99" s="394"/>
      <c r="H99" s="393">
        <f>'Sources and Uses Budget'!T99</f>
        <v>0</v>
      </c>
      <c r="I99" s="394"/>
      <c r="J99" s="394"/>
      <c r="K99" s="391"/>
    </row>
    <row r="100" spans="1:11" s="392" customFormat="1">
      <c r="A100" s="304" t="s">
        <v>1826</v>
      </c>
      <c r="B100" s="393">
        <f>'Sources and Uses Budget'!C100</f>
        <v>0</v>
      </c>
      <c r="C100" s="394"/>
      <c r="D100" s="394"/>
      <c r="E100" s="393">
        <f>'Sources and Uses Budget'!S100</f>
        <v>0</v>
      </c>
      <c r="F100" s="394"/>
      <c r="G100" s="394"/>
      <c r="H100" s="393">
        <f>'Sources and Uses Budget'!T100</f>
        <v>0</v>
      </c>
      <c r="I100" s="394"/>
      <c r="J100" s="394"/>
      <c r="K100" s="391"/>
    </row>
    <row r="101" spans="1:11" s="392" customFormat="1">
      <c r="A101" s="145" t="s">
        <v>802</v>
      </c>
      <c r="B101" s="393">
        <f>'Sources and Uses Budget'!C101</f>
        <v>0</v>
      </c>
      <c r="C101" s="394"/>
      <c r="D101" s="394"/>
      <c r="E101" s="393">
        <f>'Sources and Uses Budget'!S101</f>
        <v>0</v>
      </c>
      <c r="F101" s="394"/>
      <c r="G101" s="394"/>
      <c r="H101" s="393">
        <f>'Sources and Uses Budget'!T101</f>
        <v>0</v>
      </c>
      <c r="I101" s="394"/>
      <c r="J101" s="394"/>
      <c r="K101" s="391"/>
    </row>
    <row r="102" spans="1:11" s="392" customFormat="1" ht="12" customHeight="1">
      <c r="A102" s="304" t="s">
        <v>1827</v>
      </c>
      <c r="B102" s="393">
        <f>'Sources and Uses Budget'!C102</f>
        <v>0</v>
      </c>
      <c r="C102" s="394"/>
      <c r="D102" s="394"/>
      <c r="E102" s="393">
        <f>'Sources and Uses Budget'!S102</f>
        <v>0</v>
      </c>
      <c r="F102" s="394"/>
      <c r="G102" s="394"/>
      <c r="H102" s="393">
        <f>'Sources and Uses Budget'!T102</f>
        <v>0</v>
      </c>
      <c r="I102" s="394"/>
      <c r="J102" s="394"/>
      <c r="K102" s="391"/>
    </row>
    <row r="103" spans="1:11" s="392" customFormat="1">
      <c r="A103" s="396" t="str">
        <f>'Sources and Uses Budget'!$A103</f>
        <v>Other: (Specify)</v>
      </c>
      <c r="B103" s="393">
        <f>'Sources and Uses Budget'!C103</f>
        <v>0</v>
      </c>
      <c r="C103" s="394"/>
      <c r="D103" s="394"/>
      <c r="E103" s="393">
        <f>'Sources and Uses Budget'!S103</f>
        <v>0</v>
      </c>
      <c r="F103" s="394"/>
      <c r="G103" s="394"/>
      <c r="H103" s="393">
        <f>'Sources and Uses Budget'!T103</f>
        <v>0</v>
      </c>
      <c r="I103" s="394"/>
      <c r="J103" s="394"/>
      <c r="K103" s="391"/>
    </row>
    <row r="104" spans="1:11" s="392" customFormat="1">
      <c r="A104" s="397" t="s">
        <v>803</v>
      </c>
      <c r="B104" s="393">
        <f>'Sources and Uses Budget'!C104</f>
        <v>8194533</v>
      </c>
      <c r="C104" s="393">
        <f>SUM(C99:C103)</f>
        <v>8194533</v>
      </c>
      <c r="D104" s="393">
        <f>SUM(D99:D103)</f>
        <v>0</v>
      </c>
      <c r="E104" s="393">
        <f>'Sources and Uses Budget'!S104</f>
        <v>8194533</v>
      </c>
      <c r="F104" s="399">
        <f>SUM(F99:F103)</f>
        <v>8194533</v>
      </c>
      <c r="G104" s="399">
        <f>SUM(G99:G103)</f>
        <v>0</v>
      </c>
      <c r="H104" s="393">
        <f>'Sources and Uses Budget'!T104</f>
        <v>0</v>
      </c>
      <c r="I104" s="399">
        <f>SUM(I99:I103)</f>
        <v>0</v>
      </c>
      <c r="J104" s="399">
        <f>SUM(J99:J103)</f>
        <v>0</v>
      </c>
      <c r="K104" s="391"/>
    </row>
    <row r="105" spans="1:11" s="392" customFormat="1">
      <c r="A105" s="397" t="s">
        <v>1091</v>
      </c>
      <c r="B105" s="393">
        <f>'Sources and Uses Budget'!C105</f>
        <v>67239893</v>
      </c>
      <c r="C105" s="399">
        <f>SUM(C97+C104)</f>
        <v>67239893</v>
      </c>
      <c r="D105" s="399">
        <f>SUM(D97+D104)</f>
        <v>0</v>
      </c>
      <c r="E105" s="393">
        <f>'Sources and Uses Budget'!S105</f>
        <v>62824753</v>
      </c>
      <c r="F105" s="399">
        <f>F97+F104</f>
        <v>62824753</v>
      </c>
      <c r="G105" s="399">
        <f>G97+G104</f>
        <v>0</v>
      </c>
      <c r="H105" s="393">
        <f>'Sources and Uses Budget'!T105</f>
        <v>0</v>
      </c>
      <c r="I105" s="399">
        <f>I97+I104</f>
        <v>0</v>
      </c>
      <c r="J105" s="399">
        <f>J97+J104</f>
        <v>0</v>
      </c>
      <c r="K105" s="391"/>
    </row>
    <row r="106" spans="1:11" s="392" customFormat="1">
      <c r="A106" s="403"/>
      <c r="B106" s="404"/>
      <c r="C106" s="404"/>
      <c r="D106" s="404"/>
      <c r="E106" s="393">
        <f>'Sources and Uses Budget'!S106</f>
        <v>0</v>
      </c>
      <c r="F106" s="394"/>
      <c r="G106" s="394"/>
      <c r="H106" s="393">
        <f>'Sources and Uses Budget'!T106</f>
        <v>0</v>
      </c>
      <c r="I106" s="394"/>
      <c r="J106" s="394"/>
      <c r="K106" s="391"/>
    </row>
    <row r="107" spans="1:11" s="392" customFormat="1">
      <c r="A107" s="405"/>
      <c r="B107" s="406"/>
      <c r="C107" s="404"/>
      <c r="D107" s="489" t="s">
        <v>376</v>
      </c>
      <c r="E107" s="393">
        <f>'Sources and Uses Budget'!S107</f>
        <v>62824753</v>
      </c>
      <c r="F107" s="399">
        <f>F105+F106</f>
        <v>62824753</v>
      </c>
      <c r="G107" s="399">
        <f>G105+G106</f>
        <v>0</v>
      </c>
      <c r="H107" s="393">
        <f>'Sources and Uses Budget'!T107</f>
        <v>0</v>
      </c>
      <c r="I107" s="399">
        <f>I105+I106</f>
        <v>0</v>
      </c>
      <c r="J107" s="399">
        <f>J105+J106</f>
        <v>0</v>
      </c>
      <c r="K107" s="391"/>
    </row>
    <row r="108" spans="1:11" s="392" customFormat="1">
      <c r="A108" s="405"/>
      <c r="B108" s="407"/>
      <c r="C108" s="407"/>
      <c r="D108" s="407"/>
      <c r="J108" s="408"/>
      <c r="K108" s="391"/>
    </row>
    <row r="109" spans="1:11" s="392" customFormat="1">
      <c r="A109" s="405"/>
      <c r="B109" s="407"/>
      <c r="C109" s="407"/>
      <c r="D109" s="407"/>
      <c r="J109" s="408"/>
      <c r="K109" s="391"/>
    </row>
    <row r="110" spans="1:11" s="392" customFormat="1">
      <c r="A110" s="405"/>
      <c r="B110" s="407"/>
      <c r="C110" s="407"/>
      <c r="D110" s="407"/>
      <c r="J110" s="408"/>
      <c r="K110" s="391"/>
    </row>
    <row r="111" spans="1:11" s="392" customFormat="1" ht="12.75">
      <c r="A111" s="409"/>
      <c r="B111" s="407"/>
      <c r="C111" s="407"/>
      <c r="D111" s="407"/>
      <c r="J111" s="408"/>
      <c r="K111" s="391"/>
    </row>
    <row r="112" spans="1:11" s="392" customFormat="1" ht="12.75">
      <c r="A112" s="409"/>
      <c r="B112" s="407"/>
      <c r="C112" s="407"/>
      <c r="D112" s="407"/>
      <c r="J112" s="408"/>
      <c r="K112" s="391"/>
    </row>
    <row r="113" spans="1:11" s="392" customFormat="1" ht="14.25">
      <c r="A113" s="410"/>
      <c r="B113" s="407"/>
      <c r="C113" s="407"/>
      <c r="D113" s="407"/>
      <c r="J113" s="408"/>
      <c r="K113" s="391"/>
    </row>
    <row r="114" spans="1:11" s="392" customFormat="1" ht="12.75">
      <c r="A114" s="409"/>
      <c r="J114" s="408"/>
      <c r="K114" s="391"/>
    </row>
    <row r="115" spans="1:11" s="392" customFormat="1" ht="14.25">
      <c r="A115" s="410"/>
      <c r="J115" s="408"/>
      <c r="K115" s="391"/>
    </row>
    <row r="116" spans="1:11" s="392" customFormat="1" ht="14.25">
      <c r="A116" s="410"/>
      <c r="J116" s="408"/>
      <c r="K116" s="391"/>
    </row>
    <row r="117" spans="1:11" s="392" customFormat="1">
      <c r="B117" s="407"/>
      <c r="C117" s="407"/>
      <c r="D117" s="407"/>
      <c r="J117" s="408"/>
      <c r="K117" s="391"/>
    </row>
    <row r="118" spans="1:11" s="392" customFormat="1">
      <c r="J118" s="408"/>
      <c r="K118" s="391"/>
    </row>
    <row r="119" spans="1:11" s="392" customFormat="1">
      <c r="J119" s="408"/>
      <c r="K119" s="391"/>
    </row>
    <row r="120" spans="1:11" s="392" customFormat="1">
      <c r="J120" s="408"/>
      <c r="K120" s="391"/>
    </row>
    <row r="121" spans="1:11" s="392" customFormat="1" ht="14.25">
      <c r="A121" s="410"/>
      <c r="J121" s="408"/>
      <c r="K121" s="391"/>
    </row>
    <row r="122" spans="1:11" s="412" customFormat="1" ht="15.75">
      <c r="A122" s="411"/>
      <c r="J122" s="413"/>
      <c r="K122" s="414"/>
    </row>
    <row r="123" spans="1:11" s="392" customFormat="1">
      <c r="A123" s="415"/>
      <c r="J123" s="408"/>
      <c r="K123" s="391"/>
    </row>
    <row r="124" spans="1:11" s="392" customFormat="1">
      <c r="B124" s="416"/>
      <c r="D124" s="1861"/>
      <c r="E124" s="1331"/>
      <c r="F124" s="1331"/>
      <c r="G124" s="1331"/>
      <c r="H124" s="1331"/>
      <c r="I124" s="1331"/>
      <c r="J124" s="408"/>
      <c r="K124" s="391"/>
    </row>
    <row r="125" spans="1:11" s="392" customFormat="1" ht="12.75">
      <c r="A125" s="417"/>
      <c r="B125" s="416"/>
      <c r="C125" s="417"/>
      <c r="D125" s="1331"/>
      <c r="E125" s="1331"/>
      <c r="F125" s="1331"/>
      <c r="G125" s="1331"/>
      <c r="H125" s="1331"/>
      <c r="I125" s="1331"/>
      <c r="J125" s="408"/>
      <c r="K125" s="391"/>
    </row>
    <row r="126" spans="1:11" s="392" customFormat="1" ht="12.75">
      <c r="A126" s="417"/>
      <c r="B126" s="416"/>
      <c r="C126" s="417"/>
      <c r="D126" s="1331"/>
      <c r="E126" s="1331"/>
      <c r="F126" s="1331"/>
      <c r="G126" s="1331"/>
      <c r="H126" s="1331"/>
      <c r="I126" s="1331"/>
      <c r="J126" s="408"/>
      <c r="K126" s="391"/>
    </row>
    <row r="127" spans="1:11" s="392" customFormat="1" ht="12.75">
      <c r="A127" s="417"/>
      <c r="B127" s="416"/>
      <c r="C127" s="417"/>
      <c r="D127" s="418"/>
      <c r="E127" s="417"/>
      <c r="F127" s="417"/>
      <c r="G127" s="417"/>
      <c r="J127" s="408"/>
      <c r="K127" s="391"/>
    </row>
    <row r="128" spans="1:11" s="392" customFormat="1" ht="12.75">
      <c r="A128" s="417"/>
      <c r="B128" s="416"/>
      <c r="C128" s="417"/>
      <c r="D128" s="418"/>
      <c r="E128" s="417"/>
      <c r="F128" s="417"/>
      <c r="G128" s="417"/>
      <c r="J128" s="408"/>
      <c r="K128" s="391"/>
    </row>
    <row r="129" spans="1:11" s="392" customFormat="1" ht="12.75">
      <c r="A129" s="417"/>
      <c r="B129" s="416"/>
      <c r="C129" s="417"/>
      <c r="D129" s="417"/>
      <c r="E129" s="417"/>
      <c r="F129" s="417"/>
      <c r="G129" s="417"/>
      <c r="J129" s="408"/>
      <c r="K129" s="391"/>
    </row>
    <row r="130" spans="1:11" s="392" customFormat="1" ht="12.75">
      <c r="A130" s="417"/>
      <c r="B130" s="416"/>
      <c r="C130" s="417"/>
      <c r="D130" s="417"/>
      <c r="E130" s="417"/>
      <c r="F130" s="417"/>
      <c r="G130" s="417"/>
      <c r="J130" s="408"/>
      <c r="K130" s="391"/>
    </row>
    <row r="131" spans="1:11" s="392" customFormat="1" ht="12.75">
      <c r="A131" s="417"/>
      <c r="B131" s="419"/>
      <c r="C131" s="417"/>
      <c r="D131" s="417"/>
      <c r="E131" s="417"/>
      <c r="F131" s="417"/>
      <c r="G131" s="417"/>
      <c r="J131" s="408"/>
      <c r="K131" s="391"/>
    </row>
    <row r="132" spans="1:11" s="392" customFormat="1" ht="12.75">
      <c r="A132" s="420"/>
      <c r="B132" s="421"/>
      <c r="C132" s="417"/>
      <c r="D132" s="422"/>
      <c r="E132" s="417"/>
      <c r="F132" s="417"/>
      <c r="G132" s="417"/>
      <c r="J132" s="408"/>
      <c r="K132" s="391"/>
    </row>
    <row r="133" spans="1:11" s="392" customFormat="1" ht="12.75">
      <c r="A133" s="423"/>
      <c r="B133" s="417"/>
      <c r="C133" s="417"/>
      <c r="D133" s="417"/>
      <c r="E133" s="417"/>
      <c r="F133" s="417"/>
      <c r="G133" s="417"/>
      <c r="J133" s="408"/>
      <c r="K133" s="391"/>
    </row>
    <row r="134" spans="1:11" s="392" customFormat="1" ht="12.75">
      <c r="A134" s="423"/>
      <c r="B134" s="417"/>
      <c r="C134" s="417"/>
      <c r="D134" s="417"/>
      <c r="E134" s="417"/>
      <c r="F134" s="417"/>
      <c r="G134" s="417"/>
      <c r="J134" s="408"/>
      <c r="K134" s="391"/>
    </row>
    <row r="135" spans="1:11" s="392" customFormat="1" ht="12.75">
      <c r="A135" s="424"/>
      <c r="B135" s="417"/>
      <c r="C135" s="417"/>
      <c r="D135" s="417"/>
      <c r="E135" s="417"/>
      <c r="F135" s="417"/>
      <c r="G135" s="417"/>
      <c r="J135" s="408"/>
      <c r="K135" s="391"/>
    </row>
    <row r="136" spans="1:11" s="392" customFormat="1" ht="12.75">
      <c r="A136" s="409"/>
      <c r="B136" s="417"/>
      <c r="C136" s="417"/>
      <c r="D136" s="417"/>
      <c r="E136" s="417"/>
      <c r="F136" s="417"/>
      <c r="G136" s="417"/>
      <c r="J136" s="408"/>
      <c r="K136" s="391"/>
    </row>
    <row r="137" spans="1:11" ht="12.75">
      <c r="A137" s="423"/>
      <c r="B137" s="417"/>
      <c r="C137" s="417"/>
      <c r="D137" s="417"/>
      <c r="E137" s="417"/>
      <c r="F137" s="417"/>
      <c r="G137" s="417"/>
    </row>
    <row r="138" spans="1:11" ht="12" customHeight="1">
      <c r="A138" s="423"/>
      <c r="B138" s="417"/>
      <c r="C138" s="417"/>
      <c r="D138" s="417"/>
      <c r="E138" s="417"/>
      <c r="F138" s="417"/>
      <c r="G138" s="417"/>
    </row>
    <row r="139" spans="1:11" ht="12" customHeight="1">
      <c r="A139" s="1862"/>
      <c r="B139" s="1331"/>
      <c r="C139" s="1331"/>
      <c r="D139" s="388"/>
      <c r="E139" s="417"/>
      <c r="F139" s="417"/>
      <c r="G139" s="417"/>
    </row>
    <row r="140" spans="1:11" ht="12" customHeight="1">
      <c r="A140" s="1289"/>
      <c r="B140" s="1289"/>
      <c r="C140" s="1289"/>
      <c r="D140" s="388"/>
      <c r="E140" s="417"/>
      <c r="F140" s="417"/>
      <c r="G140" s="417"/>
    </row>
    <row r="141" spans="1:11" ht="12" customHeight="1">
      <c r="A141" s="423"/>
      <c r="B141" s="417"/>
      <c r="C141" s="417"/>
      <c r="D141" s="388"/>
      <c r="E141" s="417"/>
      <c r="F141" s="417"/>
      <c r="G141" s="417"/>
      <c r="H141" s="426"/>
      <c r="I141" s="426"/>
    </row>
    <row r="142" spans="1:11" ht="12" customHeight="1">
      <c r="A142" s="428"/>
      <c r="B142" s="388"/>
      <c r="C142" s="388"/>
      <c r="D142" s="388"/>
      <c r="E142" s="417"/>
      <c r="F142" s="417"/>
      <c r="G142" s="417"/>
      <c r="H142" s="426"/>
      <c r="I142" s="426"/>
    </row>
    <row r="143" spans="1:11"/>
    <row r="144" spans="1:11"/>
    <row r="145"/>
    <row r="146"/>
    <row r="147"/>
    <row r="148"/>
  </sheetData>
  <sheetProtection algorithmName="SHA-512" hashValue="EL5br8iEN9i7Eel7FiqKHqRJBhysL4pPEkSPcMZ8EDG2t3CtggvPth7DSwWqnEOQqzYlBYDGGD+H7zcFEdLUPg==" saltValue="WWCRHnAZss65q5EuKNucRw==" spinCount="100000" sheet="1" objects="1" scenarios="1"/>
  <mergeCells count="4">
    <mergeCell ref="D124:I126"/>
    <mergeCell ref="A139:C139"/>
    <mergeCell ref="A140:C140"/>
    <mergeCell ref="A1:J1"/>
  </mergeCells>
  <conditionalFormatting sqref="B3:B105">
    <cfRule type="cellIs" dxfId="36" priority="5" stopIfTrue="1" operator="notEqual">
      <formula>$C3+$D3</formula>
    </cfRule>
  </conditionalFormatting>
  <conditionalFormatting sqref="E3:E14 E16:E107">
    <cfRule type="cellIs" dxfId="35" priority="4" stopIfTrue="1" operator="notEqual">
      <formula>$F3+$G3</formula>
    </cfRule>
  </conditionalFormatting>
  <conditionalFormatting sqref="H3:H14 H16:H107">
    <cfRule type="cellIs" dxfId="34" priority="3" stopIfTrue="1" operator="notEqual">
      <formula>$I3+$J3</formula>
    </cfRule>
  </conditionalFormatting>
  <conditionalFormatting sqref="E15">
    <cfRule type="cellIs" dxfId="33" priority="2" stopIfTrue="1" operator="notEqual">
      <formula>$F15+$G15</formula>
    </cfRule>
  </conditionalFormatting>
  <conditionalFormatting sqref="H15">
    <cfRule type="cellIs" dxfId="32" priority="1" stopIfTrue="1" operator="notEqual">
      <formula>$I15+$J15</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09"/>
  <sheetViews>
    <sheetView showGridLines="0" topLeftCell="A95" zoomScaleNormal="100" zoomScaleSheetLayoutView="100" workbookViewId="0">
      <selection activeCell="B109" sqref="B109:C10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9"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898" t="s">
        <v>1472</v>
      </c>
      <c r="B1" s="1898"/>
      <c r="C1" s="1898"/>
      <c r="D1" s="1898"/>
      <c r="E1" s="1898"/>
      <c r="F1" s="1898"/>
      <c r="G1" s="1898"/>
      <c r="H1" s="1898"/>
      <c r="I1" s="1898"/>
      <c r="J1" s="1898"/>
      <c r="K1" s="1898"/>
      <c r="L1" s="1898"/>
      <c r="M1" s="1898"/>
      <c r="N1" s="1898"/>
      <c r="O1" s="1898"/>
      <c r="P1" s="1898"/>
      <c r="Q1" s="1898"/>
      <c r="R1" s="1898"/>
      <c r="S1" s="1898"/>
      <c r="T1" s="1898"/>
      <c r="U1" s="1898"/>
      <c r="V1" s="1898"/>
      <c r="W1" s="1898"/>
      <c r="X1" s="1898"/>
      <c r="Y1" s="1898"/>
      <c r="Z1" s="1898"/>
      <c r="AA1" s="1898"/>
      <c r="AB1" s="1898"/>
      <c r="AC1" s="1898"/>
      <c r="AD1" s="1898"/>
      <c r="AE1" s="1898"/>
      <c r="AF1" s="1898"/>
      <c r="AG1" s="1898"/>
      <c r="AH1" s="1898"/>
      <c r="AI1" s="1898"/>
      <c r="AJ1" s="1898"/>
      <c r="AK1" s="1898"/>
      <c r="AL1" s="1898"/>
      <c r="AM1" s="1898"/>
    </row>
    <row r="2" spans="1:42" s="571" customFormat="1" ht="12.75" customHeight="1" thickBot="1">
      <c r="A2" s="1899"/>
      <c r="B2" s="1899"/>
      <c r="C2" s="1899"/>
      <c r="D2" s="1899"/>
      <c r="E2" s="1899"/>
      <c r="F2" s="1899"/>
      <c r="G2" s="1899"/>
      <c r="H2" s="1899"/>
      <c r="I2" s="1899"/>
      <c r="J2" s="1899"/>
      <c r="K2" s="1899"/>
      <c r="L2" s="1899"/>
      <c r="M2" s="1899"/>
      <c r="N2" s="1899"/>
      <c r="O2" s="1899"/>
      <c r="P2" s="1899"/>
      <c r="Q2" s="1899"/>
      <c r="R2" s="1899"/>
      <c r="S2" s="1899"/>
      <c r="T2" s="1899"/>
      <c r="U2" s="1899"/>
      <c r="V2" s="1899"/>
      <c r="W2" s="1899"/>
      <c r="X2" s="1899"/>
      <c r="Y2" s="1899"/>
      <c r="Z2" s="1899"/>
      <c r="AA2" s="1899"/>
      <c r="AB2" s="1899"/>
      <c r="AC2" s="1899"/>
      <c r="AD2" s="1899"/>
      <c r="AE2" s="1899"/>
      <c r="AF2" s="1899"/>
      <c r="AG2" s="1899"/>
      <c r="AH2" s="1899"/>
      <c r="AI2" s="1899"/>
      <c r="AJ2" s="1899"/>
      <c r="AK2" s="1899"/>
      <c r="AL2" s="1899"/>
      <c r="AM2" s="1899"/>
      <c r="AN2" s="570"/>
    </row>
    <row r="3" spans="1:42" s="571" customFormat="1" ht="12.75" customHeight="1" thickTop="1">
      <c r="A3" s="572"/>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2"/>
      <c r="AL3" s="572"/>
      <c r="AM3" s="572"/>
      <c r="AN3" s="570"/>
    </row>
    <row r="4" spans="1:42" s="571" customFormat="1" ht="12.75" customHeight="1">
      <c r="A4" s="573" t="s">
        <v>1473</v>
      </c>
      <c r="B4" s="574" t="s">
        <v>1474</v>
      </c>
      <c r="C4" s="575"/>
      <c r="D4" s="575"/>
      <c r="E4" s="575"/>
      <c r="F4" s="575"/>
      <c r="G4" s="575"/>
      <c r="H4" s="575"/>
      <c r="I4" s="575"/>
      <c r="J4" s="575"/>
      <c r="K4" s="575"/>
      <c r="L4" s="575"/>
      <c r="M4" s="575"/>
      <c r="N4" s="575"/>
      <c r="O4" s="575"/>
      <c r="P4" s="575"/>
      <c r="Q4" s="575"/>
      <c r="R4" s="575"/>
      <c r="S4" s="575"/>
      <c r="T4" s="575"/>
      <c r="U4" s="575"/>
      <c r="V4" s="575"/>
      <c r="W4" s="575"/>
      <c r="X4" s="575"/>
      <c r="Y4" s="575"/>
      <c r="Z4" s="575"/>
      <c r="AA4" s="575"/>
      <c r="AB4" s="575"/>
      <c r="AC4" s="575"/>
      <c r="AD4" s="575"/>
      <c r="AE4" s="575"/>
      <c r="AF4" s="575"/>
      <c r="AG4" s="575"/>
      <c r="AH4" s="575"/>
      <c r="AI4" s="575"/>
      <c r="AJ4" s="575"/>
      <c r="AK4" s="575"/>
      <c r="AL4" s="575"/>
      <c r="AM4" s="575"/>
      <c r="AN4" s="570"/>
    </row>
    <row r="5" spans="1:42" s="571" customFormat="1" ht="12.75" customHeight="1" thickBot="1">
      <c r="A5" s="573"/>
      <c r="B5" s="574"/>
      <c r="C5" s="575"/>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c r="AH5" s="575"/>
      <c r="AI5" s="575"/>
      <c r="AJ5" s="575"/>
      <c r="AK5" s="575"/>
      <c r="AL5" s="575"/>
      <c r="AM5" s="575"/>
      <c r="AN5" s="570"/>
    </row>
    <row r="6" spans="1:42" s="571" customFormat="1" ht="12.75" customHeight="1" thickTop="1">
      <c r="A6" s="576"/>
      <c r="B6" s="576"/>
      <c r="C6" s="576"/>
      <c r="D6" s="576"/>
      <c r="E6" s="576"/>
      <c r="F6" s="576"/>
      <c r="G6" s="576"/>
      <c r="H6" s="576"/>
      <c r="I6" s="576"/>
      <c r="J6" s="576"/>
      <c r="K6" s="576"/>
      <c r="L6" s="576"/>
      <c r="M6" s="576"/>
      <c r="N6" s="576"/>
      <c r="O6" s="576"/>
      <c r="P6" s="576"/>
      <c r="Q6" s="576"/>
      <c r="R6" s="576"/>
      <c r="S6" s="576"/>
      <c r="T6" s="576"/>
      <c r="U6" s="576"/>
      <c r="V6" s="576"/>
      <c r="W6" s="576"/>
      <c r="X6" s="576"/>
      <c r="Y6" s="576"/>
      <c r="Z6" s="576"/>
      <c r="AA6" s="576"/>
      <c r="AB6" s="576"/>
      <c r="AC6" s="576"/>
      <c r="AD6" s="576"/>
      <c r="AE6" s="576"/>
      <c r="AF6" s="576"/>
      <c r="AG6" s="576"/>
      <c r="AH6" s="576"/>
      <c r="AI6" s="576"/>
      <c r="AJ6" s="576"/>
      <c r="AK6" s="576"/>
      <c r="AL6" s="576"/>
      <c r="AM6" s="577"/>
      <c r="AN6" s="570"/>
    </row>
    <row r="7" spans="1:42" s="571" customFormat="1" ht="12.75" customHeight="1">
      <c r="A7" s="573" t="s">
        <v>1475</v>
      </c>
      <c r="B7" s="574" t="s">
        <v>1476</v>
      </c>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1882" t="s">
        <v>1477</v>
      </c>
      <c r="AF7" s="1882"/>
      <c r="AG7" s="1882"/>
      <c r="AH7" s="1882"/>
      <c r="AI7" s="1882"/>
      <c r="AJ7" s="1882"/>
      <c r="AK7" s="1882"/>
      <c r="AL7" s="575"/>
      <c r="AM7" s="575"/>
      <c r="AN7" s="570"/>
    </row>
    <row r="8" spans="1:42" s="571" customFormat="1" ht="12.75" customHeight="1">
      <c r="A8" s="573"/>
      <c r="B8" s="574" t="s">
        <v>1989</v>
      </c>
      <c r="C8" s="574"/>
      <c r="D8" s="574"/>
      <c r="E8" s="574"/>
      <c r="F8" s="574"/>
      <c r="G8" s="574"/>
      <c r="H8" s="574"/>
      <c r="I8" s="574"/>
      <c r="J8" s="574"/>
      <c r="K8" s="574"/>
      <c r="L8" s="574"/>
      <c r="M8" s="574"/>
      <c r="N8" s="574"/>
      <c r="O8" s="574"/>
      <c r="P8" s="574"/>
      <c r="Q8" s="574"/>
      <c r="R8" s="574"/>
      <c r="S8" s="574"/>
      <c r="T8" s="574"/>
      <c r="U8" s="574"/>
      <c r="V8" s="574"/>
      <c r="W8" s="574"/>
      <c r="X8" s="574"/>
      <c r="Y8" s="574"/>
      <c r="Z8" s="574"/>
      <c r="AA8" s="574"/>
      <c r="AB8" s="574"/>
      <c r="AC8" s="574"/>
      <c r="AD8" s="574"/>
      <c r="AE8" s="578"/>
      <c r="AF8" s="578"/>
      <c r="AG8" s="578"/>
      <c r="AH8" s="578"/>
      <c r="AI8" s="578"/>
      <c r="AJ8" s="578"/>
      <c r="AK8" s="578"/>
      <c r="AL8" s="575"/>
      <c r="AM8" s="575"/>
      <c r="AN8" s="570"/>
    </row>
    <row r="9" spans="1:42" s="571" customFormat="1" ht="12.75" customHeight="1">
      <c r="A9" s="573"/>
      <c r="B9" s="57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8"/>
      <c r="AF9" s="578"/>
      <c r="AG9" s="578"/>
      <c r="AH9" s="578"/>
      <c r="AI9" s="578"/>
      <c r="AJ9" s="578"/>
      <c r="AK9" s="578"/>
      <c r="AL9" s="575"/>
      <c r="AM9" s="575"/>
      <c r="AN9" s="570"/>
    </row>
    <row r="10" spans="1:42" s="571" customFormat="1" ht="12.75" customHeight="1">
      <c r="A10" s="573"/>
      <c r="B10" s="574" t="s">
        <v>2407</v>
      </c>
      <c r="C10" s="574"/>
      <c r="D10" s="574"/>
      <c r="E10" s="574"/>
      <c r="F10" s="574"/>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574"/>
      <c r="AE10" s="578"/>
      <c r="AF10" s="578"/>
      <c r="AG10" s="578"/>
      <c r="AH10" s="578"/>
      <c r="AI10" s="578"/>
      <c r="AJ10" s="578"/>
      <c r="AK10" s="578"/>
      <c r="AL10" s="575"/>
      <c r="AM10" s="575"/>
      <c r="AN10" s="570"/>
    </row>
    <row r="11" spans="1:42" s="571" customFormat="1" ht="12.75" customHeight="1">
      <c r="A11" s="575"/>
      <c r="C11" s="1194" t="s">
        <v>2401</v>
      </c>
      <c r="D11" s="1194"/>
      <c r="E11" s="1194"/>
      <c r="F11" s="1194"/>
      <c r="G11" s="1194"/>
      <c r="H11" s="1194"/>
      <c r="I11" s="1194"/>
      <c r="J11" s="1194"/>
      <c r="K11" s="1194"/>
      <c r="L11" s="1194"/>
      <c r="M11" s="1194"/>
      <c r="N11" s="1194"/>
      <c r="O11" s="1194"/>
      <c r="P11" s="1194"/>
      <c r="Q11" s="1194"/>
      <c r="R11" s="1194"/>
      <c r="S11" s="1194"/>
      <c r="T11" s="1194"/>
      <c r="U11" s="1194"/>
      <c r="V11" s="1194"/>
      <c r="W11" s="1194"/>
      <c r="X11" s="1194"/>
      <c r="Y11" s="1194"/>
      <c r="Z11" s="1194"/>
      <c r="AA11" s="1194"/>
      <c r="AB11" s="1194"/>
      <c r="AC11" s="1194"/>
      <c r="AD11" s="1194"/>
      <c r="AE11" s="1194"/>
      <c r="AF11" s="1194"/>
      <c r="AG11" s="1194"/>
      <c r="AH11" s="1194"/>
      <c r="AI11" s="1194"/>
      <c r="AJ11" s="1194"/>
      <c r="AK11" s="575"/>
      <c r="AL11" s="575"/>
      <c r="AM11" s="575"/>
      <c r="AN11" s="570"/>
      <c r="AO11" s="482"/>
      <c r="AP11" s="580"/>
    </row>
    <row r="12" spans="1:42" s="571" customFormat="1" ht="12.75" customHeight="1">
      <c r="A12" s="575"/>
      <c r="B12" s="581"/>
      <c r="C12" s="575"/>
      <c r="D12" s="575"/>
      <c r="E12" s="575"/>
      <c r="F12" s="575"/>
      <c r="G12" s="575"/>
      <c r="H12" s="575"/>
      <c r="I12" s="575"/>
      <c r="J12" s="575"/>
      <c r="K12" s="575"/>
      <c r="L12" s="575"/>
      <c r="M12" s="575"/>
      <c r="N12" s="575"/>
      <c r="O12" s="575"/>
      <c r="P12" s="575"/>
      <c r="Q12" s="575"/>
      <c r="R12" s="575"/>
      <c r="S12" s="575"/>
      <c r="T12" s="575"/>
      <c r="U12" s="575"/>
      <c r="V12" s="575"/>
      <c r="W12" s="575"/>
      <c r="X12" s="575"/>
      <c r="Y12" s="575"/>
      <c r="Z12" s="575"/>
      <c r="AA12" s="575"/>
      <c r="AB12" s="575"/>
      <c r="AC12" s="575"/>
      <c r="AD12" s="575"/>
      <c r="AE12" s="575"/>
      <c r="AF12" s="575"/>
      <c r="AG12" s="575"/>
      <c r="AH12" s="575"/>
      <c r="AI12" s="575"/>
      <c r="AJ12" s="575"/>
      <c r="AK12" s="575"/>
      <c r="AL12" s="575"/>
      <c r="AM12" s="575"/>
      <c r="AN12" s="570"/>
      <c r="AP12" s="14"/>
    </row>
    <row r="13" spans="1:42" s="571" customFormat="1" ht="12.75" customHeight="1">
      <c r="A13" s="575"/>
      <c r="B13" s="1872" t="s">
        <v>600</v>
      </c>
      <c r="C13" s="1872"/>
      <c r="D13" s="582"/>
      <c r="E13" s="583" t="s">
        <v>1478</v>
      </c>
      <c r="F13" s="584"/>
      <c r="G13" s="584"/>
      <c r="H13" s="584"/>
      <c r="I13" s="584"/>
      <c r="J13" s="584"/>
      <c r="K13" s="584"/>
      <c r="L13" s="584"/>
      <c r="M13" s="584"/>
      <c r="N13" s="584"/>
      <c r="O13" s="584"/>
      <c r="P13" s="584"/>
      <c r="Q13" s="584"/>
      <c r="R13" s="584"/>
      <c r="S13" s="584"/>
      <c r="T13" s="584"/>
      <c r="U13" s="584"/>
      <c r="V13" s="584"/>
      <c r="W13" s="584"/>
      <c r="X13" s="584"/>
      <c r="Y13" s="584"/>
      <c r="Z13" s="584"/>
      <c r="AA13" s="584"/>
      <c r="AB13" s="584"/>
      <c r="AC13" s="584"/>
      <c r="AD13" s="584"/>
      <c r="AE13" s="584"/>
      <c r="AF13" s="584"/>
      <c r="AG13" s="1900"/>
      <c r="AH13" s="1900"/>
      <c r="AI13" s="1900"/>
      <c r="AJ13" s="1901"/>
      <c r="AK13" s="575"/>
      <c r="AL13" s="575"/>
      <c r="AM13" s="575"/>
      <c r="AN13" s="570"/>
      <c r="AO13" s="585">
        <f>IF($B13="yes",20,0)</f>
        <v>0</v>
      </c>
      <c r="AP13" s="14"/>
    </row>
    <row r="14" spans="1:42" s="571" customFormat="1" ht="12.75" customHeight="1">
      <c r="A14" s="575"/>
      <c r="B14" s="575"/>
      <c r="C14" s="575"/>
      <c r="D14" s="14"/>
      <c r="E14" s="575"/>
      <c r="F14" s="575"/>
      <c r="G14" s="575"/>
      <c r="H14" s="575"/>
      <c r="I14" s="575"/>
      <c r="J14" s="575"/>
      <c r="K14" s="575"/>
      <c r="L14" s="575"/>
      <c r="M14" s="575"/>
      <c r="N14" s="575"/>
      <c r="O14" s="575"/>
      <c r="P14" s="575"/>
      <c r="Q14" s="575"/>
      <c r="R14" s="575"/>
      <c r="S14" s="575"/>
      <c r="T14" s="575"/>
      <c r="U14" s="575"/>
      <c r="V14" s="575"/>
      <c r="W14" s="575"/>
      <c r="X14" s="575"/>
      <c r="Y14" s="575"/>
      <c r="Z14" s="575"/>
      <c r="AA14" s="575"/>
      <c r="AB14" s="575"/>
      <c r="AC14" s="575"/>
      <c r="AD14" s="575"/>
      <c r="AE14" s="575"/>
      <c r="AF14" s="575"/>
      <c r="AG14" s="575"/>
      <c r="AH14" s="575"/>
      <c r="AI14" s="575"/>
      <c r="AJ14" s="575"/>
      <c r="AK14" s="575"/>
      <c r="AL14" s="575"/>
      <c r="AM14" s="575"/>
      <c r="AN14" s="570"/>
      <c r="AO14" s="585">
        <f>IF(AND($B16="yes",E20&gt;0),20,0)</f>
        <v>0</v>
      </c>
      <c r="AP14" s="14"/>
    </row>
    <row r="15" spans="1:42" s="571" customFormat="1" ht="12.75" customHeight="1">
      <c r="A15" s="575"/>
      <c r="B15" s="575"/>
      <c r="C15" s="575"/>
      <c r="D15" s="585"/>
      <c r="E15" s="575"/>
      <c r="F15" s="575"/>
      <c r="G15" s="575"/>
      <c r="H15" s="575"/>
      <c r="I15" s="575"/>
      <c r="J15" s="575"/>
      <c r="K15" s="575"/>
      <c r="L15" s="575"/>
      <c r="M15" s="575"/>
      <c r="N15" s="575"/>
      <c r="O15" s="575"/>
      <c r="P15" s="575"/>
      <c r="Q15" s="575"/>
      <c r="R15" s="575"/>
      <c r="S15" s="575"/>
      <c r="T15" s="575"/>
      <c r="U15" s="575"/>
      <c r="V15" s="575"/>
      <c r="W15" s="575"/>
      <c r="X15" s="575"/>
      <c r="Y15" s="575"/>
      <c r="Z15" s="575"/>
      <c r="AA15" s="575"/>
      <c r="AB15" s="575"/>
      <c r="AC15" s="575"/>
      <c r="AD15" s="575"/>
      <c r="AE15" s="575"/>
      <c r="AF15" s="575"/>
      <c r="AG15" s="575"/>
      <c r="AH15" s="575"/>
      <c r="AI15" s="575"/>
      <c r="AJ15" s="575"/>
      <c r="AK15" s="575"/>
      <c r="AL15" s="575"/>
      <c r="AM15" s="575"/>
      <c r="AN15" s="570"/>
      <c r="AO15" s="585">
        <f>IF($B22="yes",20,0)</f>
        <v>0</v>
      </c>
      <c r="AP15" s="14"/>
    </row>
    <row r="16" spans="1:42" s="571" customFormat="1" ht="12.75" customHeight="1">
      <c r="A16" s="575"/>
      <c r="B16" s="1872" t="s">
        <v>600</v>
      </c>
      <c r="C16" s="1872"/>
      <c r="D16" s="582"/>
      <c r="E16" s="1883" t="s">
        <v>1479</v>
      </c>
      <c r="F16" s="1884"/>
      <c r="G16" s="1884"/>
      <c r="H16" s="1884"/>
      <c r="I16" s="1884"/>
      <c r="J16" s="1884"/>
      <c r="K16" s="1884"/>
      <c r="L16" s="1884"/>
      <c r="M16" s="1884"/>
      <c r="N16" s="1884"/>
      <c r="O16" s="1884"/>
      <c r="P16" s="1884"/>
      <c r="Q16" s="1884"/>
      <c r="R16" s="1884"/>
      <c r="S16" s="1884"/>
      <c r="T16" s="1884"/>
      <c r="U16" s="1884"/>
      <c r="V16" s="1884"/>
      <c r="W16" s="1884"/>
      <c r="X16" s="1884"/>
      <c r="Y16" s="1884"/>
      <c r="Z16" s="1884"/>
      <c r="AA16" s="1884"/>
      <c r="AB16" s="1884"/>
      <c r="AC16" s="1884"/>
      <c r="AD16" s="1884"/>
      <c r="AE16" s="1884"/>
      <c r="AF16" s="1884"/>
      <c r="AG16" s="1884"/>
      <c r="AH16" s="1884"/>
      <c r="AI16" s="1884"/>
      <c r="AJ16" s="1885"/>
      <c r="AK16" s="575"/>
      <c r="AL16" s="575"/>
      <c r="AM16" s="575"/>
      <c r="AN16" s="570"/>
      <c r="AO16" s="585">
        <f>IF($B25="yes",20,0)</f>
        <v>0</v>
      </c>
      <c r="AP16" s="14"/>
    </row>
    <row r="17" spans="1:42" s="571" customFormat="1" ht="12.75" customHeight="1">
      <c r="A17" s="575"/>
      <c r="B17" s="575"/>
      <c r="C17" s="575"/>
      <c r="D17" s="586"/>
      <c r="E17" s="1886"/>
      <c r="F17" s="1887"/>
      <c r="G17" s="1887"/>
      <c r="H17" s="1887"/>
      <c r="I17" s="1887"/>
      <c r="J17" s="1887"/>
      <c r="K17" s="1887"/>
      <c r="L17" s="1887"/>
      <c r="M17" s="1887"/>
      <c r="N17" s="1887"/>
      <c r="O17" s="1887"/>
      <c r="P17" s="1887"/>
      <c r="Q17" s="1887"/>
      <c r="R17" s="1887"/>
      <c r="S17" s="1887"/>
      <c r="T17" s="1887"/>
      <c r="U17" s="1887"/>
      <c r="V17" s="1887"/>
      <c r="W17" s="1887"/>
      <c r="X17" s="1887"/>
      <c r="Y17" s="1887"/>
      <c r="Z17" s="1887"/>
      <c r="AA17" s="1887"/>
      <c r="AB17" s="1887"/>
      <c r="AC17" s="1887"/>
      <c r="AD17" s="1887"/>
      <c r="AE17" s="1887"/>
      <c r="AF17" s="1887"/>
      <c r="AG17" s="1887"/>
      <c r="AH17" s="1887"/>
      <c r="AI17" s="1887"/>
      <c r="AJ17" s="1888"/>
      <c r="AK17" s="575"/>
      <c r="AL17" s="575"/>
      <c r="AM17" s="575"/>
      <c r="AN17" s="570"/>
      <c r="AO17" s="571">
        <f>IF(SUM(AO13:AO16)&gt;20,20,(SUM(AO13:AO16)))</f>
        <v>0</v>
      </c>
      <c r="AP17" s="571" t="s">
        <v>1480</v>
      </c>
    </row>
    <row r="18" spans="1:42" s="571" customFormat="1" ht="12.75" customHeight="1">
      <c r="A18" s="575"/>
      <c r="B18" s="575"/>
      <c r="C18" s="575"/>
      <c r="D18" s="586"/>
      <c r="E18" s="1886"/>
      <c r="F18" s="1887"/>
      <c r="G18" s="1887"/>
      <c r="H18" s="1887"/>
      <c r="I18" s="1887"/>
      <c r="J18" s="1887"/>
      <c r="K18" s="1887"/>
      <c r="L18" s="1887"/>
      <c r="M18" s="1887"/>
      <c r="N18" s="1887"/>
      <c r="O18" s="1887"/>
      <c r="P18" s="1887"/>
      <c r="Q18" s="1887"/>
      <c r="R18" s="1887"/>
      <c r="S18" s="1887"/>
      <c r="T18" s="1887"/>
      <c r="U18" s="1887"/>
      <c r="V18" s="1887"/>
      <c r="W18" s="1887"/>
      <c r="X18" s="1887"/>
      <c r="Y18" s="1887"/>
      <c r="Z18" s="1887"/>
      <c r="AA18" s="1887"/>
      <c r="AB18" s="1887"/>
      <c r="AC18" s="1887"/>
      <c r="AD18" s="1887"/>
      <c r="AE18" s="1887"/>
      <c r="AF18" s="1887"/>
      <c r="AG18" s="1887"/>
      <c r="AH18" s="1887"/>
      <c r="AI18" s="1887"/>
      <c r="AJ18" s="1888"/>
      <c r="AK18" s="575"/>
      <c r="AL18" s="575"/>
      <c r="AM18" s="575"/>
      <c r="AN18" s="570"/>
    </row>
    <row r="19" spans="1:42" s="571" customFormat="1" ht="12.75" customHeight="1">
      <c r="A19" s="575"/>
      <c r="B19" s="575"/>
      <c r="C19" s="575"/>
      <c r="D19" s="586"/>
      <c r="E19" s="587" t="s">
        <v>1481</v>
      </c>
      <c r="F19" s="588"/>
      <c r="G19" s="588"/>
      <c r="H19" s="588"/>
      <c r="I19" s="588"/>
      <c r="J19" s="588"/>
      <c r="K19" s="588"/>
      <c r="L19" s="588"/>
      <c r="M19" s="588"/>
      <c r="N19" s="588"/>
      <c r="O19" s="588"/>
      <c r="P19" s="588"/>
      <c r="Q19" s="588"/>
      <c r="R19" s="588"/>
      <c r="S19" s="588"/>
      <c r="T19" s="588"/>
      <c r="U19" s="588"/>
      <c r="V19" s="588"/>
      <c r="W19" s="588"/>
      <c r="X19" s="588"/>
      <c r="Y19" s="588"/>
      <c r="Z19" s="588"/>
      <c r="AA19" s="588"/>
      <c r="AB19" s="588"/>
      <c r="AC19" s="588"/>
      <c r="AD19" s="588"/>
      <c r="AE19" s="588"/>
      <c r="AF19" s="588"/>
      <c r="AG19" s="588"/>
      <c r="AH19" s="588"/>
      <c r="AI19" s="588"/>
      <c r="AJ19" s="589"/>
      <c r="AK19" s="575"/>
      <c r="AL19" s="575"/>
      <c r="AM19" s="575"/>
      <c r="AN19" s="570"/>
    </row>
    <row r="20" spans="1:42" s="571" customFormat="1" ht="12.75" customHeight="1">
      <c r="A20" s="575"/>
      <c r="B20" s="575"/>
      <c r="C20" s="575"/>
      <c r="D20" s="586"/>
      <c r="E20" s="1911"/>
      <c r="F20" s="1912"/>
      <c r="G20" s="1912"/>
      <c r="H20" s="1912"/>
      <c r="I20" s="1912"/>
      <c r="J20" s="1912"/>
      <c r="K20" s="1912"/>
      <c r="L20" s="1912"/>
      <c r="M20" s="1912"/>
      <c r="N20" s="1912"/>
      <c r="O20" s="1912"/>
      <c r="P20" s="1912"/>
      <c r="Q20" s="1912"/>
      <c r="R20" s="1912"/>
      <c r="S20" s="1912"/>
      <c r="T20" s="1912"/>
      <c r="U20" s="1912"/>
      <c r="V20" s="1912"/>
      <c r="W20" s="1912"/>
      <c r="X20" s="1912"/>
      <c r="Y20" s="1912"/>
      <c r="Z20" s="1912"/>
      <c r="AA20" s="1912"/>
      <c r="AB20" s="1912"/>
      <c r="AC20" s="1912"/>
      <c r="AD20" s="1912"/>
      <c r="AE20" s="1912"/>
      <c r="AF20" s="1912"/>
      <c r="AG20" s="1912"/>
      <c r="AH20" s="1912"/>
      <c r="AI20" s="1912"/>
      <c r="AJ20" s="1913"/>
      <c r="AK20" s="575"/>
      <c r="AL20" s="575"/>
      <c r="AM20" s="575"/>
      <c r="AN20" s="570"/>
      <c r="AO20" s="585">
        <f>IF($B30="yes",14,0)</f>
        <v>0</v>
      </c>
    </row>
    <row r="21" spans="1:42" s="571" customFormat="1" ht="12.75" customHeight="1">
      <c r="A21" s="575"/>
      <c r="B21" s="575"/>
      <c r="C21" s="575"/>
      <c r="E21" s="575"/>
      <c r="F21" s="575"/>
      <c r="G21" s="575"/>
      <c r="H21" s="575"/>
      <c r="I21" s="575"/>
      <c r="J21" s="575"/>
      <c r="K21" s="575"/>
      <c r="L21" s="575"/>
      <c r="M21" s="575"/>
      <c r="N21" s="575"/>
      <c r="O21" s="575"/>
      <c r="P21" s="575"/>
      <c r="Q21" s="575"/>
      <c r="R21" s="575"/>
      <c r="S21" s="575"/>
      <c r="T21" s="575"/>
      <c r="U21" s="575"/>
      <c r="V21" s="575"/>
      <c r="W21" s="575"/>
      <c r="X21" s="575"/>
      <c r="Y21" s="575"/>
      <c r="Z21" s="575"/>
      <c r="AA21" s="575"/>
      <c r="AB21" s="575"/>
      <c r="AC21" s="575"/>
      <c r="AD21" s="575"/>
      <c r="AE21" s="575"/>
      <c r="AF21" s="575"/>
      <c r="AG21" s="575"/>
      <c r="AH21" s="575"/>
      <c r="AI21" s="575"/>
      <c r="AJ21" s="575"/>
      <c r="AK21" s="575"/>
      <c r="AL21" s="575"/>
      <c r="AM21" s="575"/>
      <c r="AN21" s="570"/>
      <c r="AO21" s="585">
        <f>IF($B33="yes",14,0)</f>
        <v>0</v>
      </c>
      <c r="AP21" s="14"/>
    </row>
    <row r="22" spans="1:42" s="571" customFormat="1" ht="12.75" customHeight="1">
      <c r="A22" s="575"/>
      <c r="B22" s="1872" t="s">
        <v>600</v>
      </c>
      <c r="C22" s="1872"/>
      <c r="D22" s="582"/>
      <c r="E22" s="1905" t="s">
        <v>1482</v>
      </c>
      <c r="F22" s="1906"/>
      <c r="G22" s="1906"/>
      <c r="H22" s="1906"/>
      <c r="I22" s="1906"/>
      <c r="J22" s="1906"/>
      <c r="K22" s="1906"/>
      <c r="L22" s="1906"/>
      <c r="M22" s="1906"/>
      <c r="N22" s="1906"/>
      <c r="O22" s="1906"/>
      <c r="P22" s="1906"/>
      <c r="Q22" s="1906"/>
      <c r="R22" s="1906"/>
      <c r="S22" s="1906"/>
      <c r="T22" s="1906"/>
      <c r="U22" s="1906"/>
      <c r="V22" s="1906"/>
      <c r="W22" s="1906"/>
      <c r="X22" s="1906"/>
      <c r="Y22" s="1906"/>
      <c r="Z22" s="1906"/>
      <c r="AA22" s="1906"/>
      <c r="AB22" s="1906"/>
      <c r="AC22" s="1906"/>
      <c r="AD22" s="1906"/>
      <c r="AE22" s="1906"/>
      <c r="AF22" s="1906"/>
      <c r="AG22" s="1906"/>
      <c r="AH22" s="1906"/>
      <c r="AI22" s="1906"/>
      <c r="AJ22" s="1907"/>
      <c r="AK22" s="575"/>
      <c r="AL22" s="575"/>
      <c r="AM22" s="575"/>
      <c r="AN22" s="570"/>
      <c r="AO22" s="571">
        <f>IF(SUM(AO20:AO21)&gt;14,14,SUM(AO20:AO21))</f>
        <v>0</v>
      </c>
      <c r="AP22" s="571" t="s">
        <v>1480</v>
      </c>
    </row>
    <row r="23" spans="1:42" s="571" customFormat="1" ht="12.75" customHeight="1">
      <c r="A23" s="575"/>
      <c r="B23" s="575"/>
      <c r="C23" s="575"/>
      <c r="D23" s="585"/>
      <c r="E23" s="1908"/>
      <c r="F23" s="1909"/>
      <c r="G23" s="1909"/>
      <c r="H23" s="1909"/>
      <c r="I23" s="1909"/>
      <c r="J23" s="1909"/>
      <c r="K23" s="1909"/>
      <c r="L23" s="1909"/>
      <c r="M23" s="1909"/>
      <c r="N23" s="1909"/>
      <c r="O23" s="1909"/>
      <c r="P23" s="1909"/>
      <c r="Q23" s="1909"/>
      <c r="R23" s="1909"/>
      <c r="S23" s="1909"/>
      <c r="T23" s="1909"/>
      <c r="U23" s="1909"/>
      <c r="V23" s="1909"/>
      <c r="W23" s="1909"/>
      <c r="X23" s="1909"/>
      <c r="Y23" s="1909"/>
      <c r="Z23" s="1909"/>
      <c r="AA23" s="1909"/>
      <c r="AB23" s="1909"/>
      <c r="AC23" s="1909"/>
      <c r="AD23" s="1909"/>
      <c r="AE23" s="1909"/>
      <c r="AF23" s="1909"/>
      <c r="AG23" s="1909"/>
      <c r="AH23" s="1909"/>
      <c r="AI23" s="1909"/>
      <c r="AJ23" s="1910"/>
      <c r="AK23" s="575"/>
      <c r="AL23" s="575"/>
      <c r="AM23" s="575"/>
      <c r="AN23" s="570"/>
    </row>
    <row r="24" spans="1:42" s="571" customFormat="1" ht="12.75" customHeight="1">
      <c r="A24" s="575"/>
      <c r="B24" s="575"/>
      <c r="C24" s="575"/>
      <c r="D24" s="586"/>
      <c r="E24" s="575"/>
      <c r="F24" s="575"/>
      <c r="G24" s="575"/>
      <c r="H24" s="575"/>
      <c r="I24" s="575"/>
      <c r="J24" s="575"/>
      <c r="K24" s="575"/>
      <c r="L24" s="575"/>
      <c r="M24" s="575"/>
      <c r="N24" s="575"/>
      <c r="O24" s="575"/>
      <c r="P24" s="575"/>
      <c r="Q24" s="575"/>
      <c r="R24" s="575"/>
      <c r="S24" s="575"/>
      <c r="T24" s="575"/>
      <c r="U24" s="575"/>
      <c r="V24" s="575"/>
      <c r="W24" s="575"/>
      <c r="X24" s="575"/>
      <c r="Y24" s="575"/>
      <c r="Z24" s="575"/>
      <c r="AA24" s="575"/>
      <c r="AB24" s="575"/>
      <c r="AC24" s="575"/>
      <c r="AD24" s="575"/>
      <c r="AE24" s="575"/>
      <c r="AF24" s="575"/>
      <c r="AG24" s="575"/>
      <c r="AH24" s="575"/>
      <c r="AI24" s="575"/>
      <c r="AJ24" s="575"/>
      <c r="AK24" s="575"/>
      <c r="AL24" s="575"/>
      <c r="AM24" s="575"/>
      <c r="AN24" s="570"/>
      <c r="AO24" s="585">
        <f>IF($B39="yes",6,0)</f>
        <v>0</v>
      </c>
    </row>
    <row r="25" spans="1:42" s="571" customFormat="1" ht="12.75" customHeight="1">
      <c r="A25" s="575"/>
      <c r="B25" s="1872" t="s">
        <v>600</v>
      </c>
      <c r="C25" s="1872"/>
      <c r="D25" s="582"/>
      <c r="E25" s="1873" t="s">
        <v>2431</v>
      </c>
      <c r="F25" s="1874"/>
      <c r="G25" s="1874"/>
      <c r="H25" s="1874"/>
      <c r="I25" s="1874"/>
      <c r="J25" s="1874"/>
      <c r="K25" s="1874"/>
      <c r="L25" s="1874"/>
      <c r="M25" s="1874"/>
      <c r="N25" s="1874"/>
      <c r="O25" s="1874"/>
      <c r="P25" s="1874"/>
      <c r="Q25" s="1874"/>
      <c r="R25" s="1874"/>
      <c r="S25" s="1874"/>
      <c r="T25" s="1874"/>
      <c r="U25" s="1874"/>
      <c r="V25" s="1874"/>
      <c r="W25" s="1874"/>
      <c r="X25" s="1874"/>
      <c r="Y25" s="1874"/>
      <c r="Z25" s="1874"/>
      <c r="AA25" s="1874"/>
      <c r="AB25" s="1874"/>
      <c r="AC25" s="1874"/>
      <c r="AD25" s="1874"/>
      <c r="AE25" s="1874"/>
      <c r="AF25" s="1874"/>
      <c r="AG25" s="1874"/>
      <c r="AH25" s="1874"/>
      <c r="AI25" s="1874"/>
      <c r="AJ25" s="1875"/>
      <c r="AK25" s="575"/>
      <c r="AL25" s="575"/>
      <c r="AM25" s="575"/>
      <c r="AN25" s="570"/>
      <c r="AO25" s="571">
        <f>IF(AO24&gt;6,6,AO24)</f>
        <v>0</v>
      </c>
      <c r="AP25" s="571" t="s">
        <v>1480</v>
      </c>
    </row>
    <row r="26" spans="1:42" s="571" customFormat="1" ht="12.75" customHeight="1">
      <c r="A26" s="575"/>
      <c r="B26" s="575"/>
      <c r="C26" s="575"/>
      <c r="D26" s="585"/>
      <c r="E26" s="1876"/>
      <c r="F26" s="1877"/>
      <c r="G26" s="1877"/>
      <c r="H26" s="1877"/>
      <c r="I26" s="1877"/>
      <c r="J26" s="1877"/>
      <c r="K26" s="1877"/>
      <c r="L26" s="1877"/>
      <c r="M26" s="1877"/>
      <c r="N26" s="1877"/>
      <c r="O26" s="1877"/>
      <c r="P26" s="1877"/>
      <c r="Q26" s="1877"/>
      <c r="R26" s="1877"/>
      <c r="S26" s="1877"/>
      <c r="T26" s="1877"/>
      <c r="U26" s="1877"/>
      <c r="V26" s="1877"/>
      <c r="W26" s="1877"/>
      <c r="X26" s="1877"/>
      <c r="Y26" s="1877"/>
      <c r="Z26" s="1877"/>
      <c r="AA26" s="1877"/>
      <c r="AB26" s="1877"/>
      <c r="AC26" s="1877"/>
      <c r="AD26" s="1877"/>
      <c r="AE26" s="1877"/>
      <c r="AF26" s="1877"/>
      <c r="AG26" s="1877"/>
      <c r="AH26" s="1877"/>
      <c r="AI26" s="1877"/>
      <c r="AJ26" s="1878"/>
      <c r="AK26" s="575"/>
      <c r="AL26" s="575"/>
      <c r="AM26" s="575"/>
      <c r="AN26" s="570"/>
      <c r="AO26" s="585"/>
    </row>
    <row r="27" spans="1:42" s="571" customFormat="1" ht="12.75" customHeight="1">
      <c r="A27" s="575"/>
      <c r="B27" s="575"/>
      <c r="C27" s="575"/>
      <c r="D27" s="585"/>
      <c r="E27" s="575"/>
      <c r="F27" s="575"/>
      <c r="G27" s="575"/>
      <c r="H27" s="575"/>
      <c r="I27" s="575"/>
      <c r="J27" s="575"/>
      <c r="K27" s="575"/>
      <c r="L27" s="575"/>
      <c r="M27" s="575"/>
      <c r="N27" s="575"/>
      <c r="O27" s="575"/>
      <c r="P27" s="575"/>
      <c r="Q27" s="575"/>
      <c r="R27" s="575"/>
      <c r="S27" s="575"/>
      <c r="T27" s="575"/>
      <c r="U27" s="575"/>
      <c r="V27" s="575"/>
      <c r="W27" s="575"/>
      <c r="X27" s="575"/>
      <c r="Y27" s="575"/>
      <c r="Z27" s="575"/>
      <c r="AA27" s="575"/>
      <c r="AB27" s="575"/>
      <c r="AC27" s="575"/>
      <c r="AD27" s="575"/>
      <c r="AE27" s="575"/>
      <c r="AF27" s="575"/>
      <c r="AG27" s="575"/>
      <c r="AH27" s="575"/>
      <c r="AI27" s="575"/>
      <c r="AJ27" s="575"/>
      <c r="AK27" s="575"/>
      <c r="AL27" s="575"/>
      <c r="AM27" s="575"/>
      <c r="AN27" s="570"/>
      <c r="AO27" s="585"/>
    </row>
    <row r="28" spans="1:42" s="571" customFormat="1" ht="12.75" customHeight="1">
      <c r="A28" s="575"/>
      <c r="C28" s="579" t="s">
        <v>2402</v>
      </c>
      <c r="E28" s="575"/>
      <c r="F28" s="575"/>
      <c r="G28" s="575"/>
      <c r="H28" s="575"/>
      <c r="I28" s="575"/>
      <c r="J28" s="575"/>
      <c r="K28" s="575"/>
      <c r="L28" s="575"/>
      <c r="M28" s="575"/>
      <c r="N28" s="575"/>
      <c r="O28" s="575"/>
      <c r="P28" s="575"/>
      <c r="Q28" s="575"/>
      <c r="R28" s="575"/>
      <c r="S28" s="575"/>
      <c r="T28" s="575"/>
      <c r="U28" s="575"/>
      <c r="V28" s="575"/>
      <c r="W28" s="575"/>
      <c r="X28" s="575"/>
      <c r="Y28" s="575"/>
      <c r="Z28" s="575"/>
      <c r="AA28" s="575"/>
      <c r="AB28" s="575"/>
      <c r="AC28" s="575"/>
      <c r="AD28" s="575"/>
      <c r="AE28" s="575"/>
      <c r="AF28" s="575"/>
      <c r="AG28" s="575"/>
      <c r="AH28" s="575"/>
      <c r="AI28" s="575"/>
      <c r="AJ28" s="575"/>
      <c r="AK28" s="575"/>
      <c r="AL28" s="575"/>
      <c r="AM28" s="575"/>
      <c r="AN28" s="570"/>
      <c r="AO28" s="585">
        <f>IF(AND(B46="Yes",B50="Yes",B52="Yes"),20,0)</f>
        <v>0</v>
      </c>
    </row>
    <row r="29" spans="1:42" s="571" customFormat="1" ht="12.75" customHeight="1">
      <c r="A29" s="575"/>
      <c r="B29" s="575"/>
      <c r="C29" s="575"/>
      <c r="E29" s="575"/>
      <c r="F29" s="575"/>
      <c r="G29" s="575"/>
      <c r="H29" s="575"/>
      <c r="I29" s="575"/>
      <c r="J29" s="575"/>
      <c r="K29" s="575"/>
      <c r="L29" s="575"/>
      <c r="M29" s="575"/>
      <c r="N29" s="575"/>
      <c r="O29" s="575"/>
      <c r="P29" s="575"/>
      <c r="Q29" s="575"/>
      <c r="R29" s="575"/>
      <c r="S29" s="575"/>
      <c r="T29" s="575"/>
      <c r="U29" s="575"/>
      <c r="V29" s="575"/>
      <c r="W29" s="575"/>
      <c r="X29" s="575"/>
      <c r="Y29" s="575"/>
      <c r="Z29" s="575"/>
      <c r="AA29" s="575"/>
      <c r="AB29" s="575"/>
      <c r="AC29" s="575"/>
      <c r="AD29" s="575"/>
      <c r="AE29" s="575"/>
      <c r="AF29" s="575"/>
      <c r="AG29" s="575"/>
      <c r="AH29" s="575"/>
      <c r="AI29" s="575"/>
      <c r="AJ29" s="575"/>
      <c r="AK29" s="575"/>
      <c r="AL29" s="575"/>
      <c r="AM29" s="575"/>
      <c r="AN29" s="570"/>
      <c r="AO29" s="571">
        <f>IF(AO28&gt;20,20,AO28)</f>
        <v>0</v>
      </c>
      <c r="AP29" s="571" t="s">
        <v>1480</v>
      </c>
    </row>
    <row r="30" spans="1:42" s="571" customFormat="1" ht="12.75" customHeight="1">
      <c r="A30" s="575"/>
      <c r="B30" s="1872" t="s">
        <v>600</v>
      </c>
      <c r="C30" s="1872"/>
      <c r="D30" s="582"/>
      <c r="E30" s="1905" t="s">
        <v>2403</v>
      </c>
      <c r="F30" s="1906"/>
      <c r="G30" s="1906"/>
      <c r="H30" s="1906"/>
      <c r="I30" s="1906"/>
      <c r="J30" s="1906"/>
      <c r="K30" s="1906"/>
      <c r="L30" s="1906"/>
      <c r="M30" s="1906"/>
      <c r="N30" s="1906"/>
      <c r="O30" s="1906"/>
      <c r="P30" s="1906"/>
      <c r="Q30" s="1906"/>
      <c r="R30" s="1906"/>
      <c r="S30" s="1906"/>
      <c r="T30" s="1906"/>
      <c r="U30" s="1906"/>
      <c r="V30" s="1906"/>
      <c r="W30" s="1906"/>
      <c r="X30" s="1906"/>
      <c r="Y30" s="1906"/>
      <c r="Z30" s="1906"/>
      <c r="AA30" s="1906"/>
      <c r="AB30" s="1906"/>
      <c r="AC30" s="1906"/>
      <c r="AD30" s="1906"/>
      <c r="AE30" s="1906"/>
      <c r="AF30" s="1906"/>
      <c r="AG30" s="1906"/>
      <c r="AH30" s="1906"/>
      <c r="AI30" s="1906"/>
      <c r="AJ30" s="1907"/>
      <c r="AK30" s="575"/>
      <c r="AL30" s="575"/>
      <c r="AM30" s="575"/>
      <c r="AN30" s="570"/>
      <c r="AO30" s="585"/>
    </row>
    <row r="31" spans="1:42" s="571" customFormat="1" ht="12.75" customHeight="1">
      <c r="A31" s="575"/>
      <c r="B31" s="575"/>
      <c r="C31" s="575"/>
      <c r="E31" s="1908"/>
      <c r="F31" s="1909"/>
      <c r="G31" s="1909"/>
      <c r="H31" s="1909"/>
      <c r="I31" s="1909"/>
      <c r="J31" s="1909"/>
      <c r="K31" s="1909"/>
      <c r="L31" s="1909"/>
      <c r="M31" s="1909"/>
      <c r="N31" s="1909"/>
      <c r="O31" s="1909"/>
      <c r="P31" s="1909"/>
      <c r="Q31" s="1909"/>
      <c r="R31" s="1909"/>
      <c r="S31" s="1909"/>
      <c r="T31" s="1909"/>
      <c r="U31" s="1909"/>
      <c r="V31" s="1909"/>
      <c r="W31" s="1909"/>
      <c r="X31" s="1909"/>
      <c r="Y31" s="1909"/>
      <c r="Z31" s="1909"/>
      <c r="AA31" s="1909"/>
      <c r="AB31" s="1909"/>
      <c r="AC31" s="1909"/>
      <c r="AD31" s="1909"/>
      <c r="AE31" s="1909"/>
      <c r="AF31" s="1909"/>
      <c r="AG31" s="1909"/>
      <c r="AH31" s="1909"/>
      <c r="AI31" s="1909"/>
      <c r="AJ31" s="1910"/>
      <c r="AK31" s="575"/>
      <c r="AL31" s="575"/>
      <c r="AM31" s="575"/>
      <c r="AN31" s="570"/>
    </row>
    <row r="32" spans="1:42" s="571" customFormat="1" ht="12.75" customHeight="1">
      <c r="A32" s="575"/>
      <c r="B32" s="575"/>
      <c r="C32" s="575"/>
      <c r="F32" s="943"/>
      <c r="G32" s="943"/>
      <c r="H32" s="943"/>
      <c r="I32" s="943"/>
      <c r="J32" s="943"/>
      <c r="K32" s="943"/>
      <c r="L32" s="943"/>
      <c r="M32" s="943"/>
      <c r="N32" s="943"/>
      <c r="O32" s="943"/>
      <c r="P32" s="943"/>
      <c r="Q32" s="943"/>
      <c r="R32" s="943"/>
      <c r="S32" s="943"/>
      <c r="T32" s="943"/>
      <c r="U32" s="943"/>
      <c r="V32" s="943"/>
      <c r="W32" s="943"/>
      <c r="X32" s="943"/>
      <c r="Y32" s="943"/>
      <c r="Z32" s="943"/>
      <c r="AA32" s="943"/>
      <c r="AB32" s="943"/>
      <c r="AC32" s="943"/>
      <c r="AD32" s="943"/>
      <c r="AE32" s="943"/>
      <c r="AF32" s="943"/>
      <c r="AG32" s="943"/>
      <c r="AH32" s="943"/>
      <c r="AI32" s="943"/>
      <c r="AJ32" s="943"/>
      <c r="AK32" s="575"/>
      <c r="AL32" s="575"/>
      <c r="AM32" s="575"/>
      <c r="AN32" s="570"/>
    </row>
    <row r="33" spans="1:41" s="571" customFormat="1" ht="12.75" customHeight="1">
      <c r="A33" s="575"/>
      <c r="B33" s="1872" t="s">
        <v>600</v>
      </c>
      <c r="C33" s="1872"/>
      <c r="D33" s="582"/>
      <c r="E33" s="1873" t="s">
        <v>2404</v>
      </c>
      <c r="F33" s="1874"/>
      <c r="G33" s="1874"/>
      <c r="H33" s="1874"/>
      <c r="I33" s="1874"/>
      <c r="J33" s="1874"/>
      <c r="K33" s="1874"/>
      <c r="L33" s="1874"/>
      <c r="M33" s="1874"/>
      <c r="N33" s="1874"/>
      <c r="O33" s="1874"/>
      <c r="P33" s="1874"/>
      <c r="Q33" s="1874"/>
      <c r="R33" s="1874"/>
      <c r="S33" s="1874"/>
      <c r="T33" s="1874"/>
      <c r="U33" s="1874"/>
      <c r="V33" s="1874"/>
      <c r="W33" s="1874"/>
      <c r="X33" s="1874"/>
      <c r="Y33" s="1874"/>
      <c r="Z33" s="1874"/>
      <c r="AA33" s="1874"/>
      <c r="AB33" s="1874"/>
      <c r="AC33" s="1874"/>
      <c r="AD33" s="1874"/>
      <c r="AE33" s="1874"/>
      <c r="AF33" s="1874"/>
      <c r="AG33" s="1874"/>
      <c r="AH33" s="1874"/>
      <c r="AI33" s="1874"/>
      <c r="AJ33" s="1875"/>
      <c r="AK33" s="575"/>
      <c r="AL33" s="575"/>
      <c r="AM33" s="575"/>
      <c r="AN33" s="570"/>
    </row>
    <row r="34" spans="1:41" s="571" customFormat="1" ht="12.75" customHeight="1">
      <c r="A34" s="575"/>
      <c r="B34" s="575"/>
      <c r="C34" s="575"/>
      <c r="E34" s="1879"/>
      <c r="F34" s="1880"/>
      <c r="G34" s="1880"/>
      <c r="H34" s="1880"/>
      <c r="I34" s="1880"/>
      <c r="J34" s="1880"/>
      <c r="K34" s="1880"/>
      <c r="L34" s="1880"/>
      <c r="M34" s="1880"/>
      <c r="N34" s="1880"/>
      <c r="O34" s="1880"/>
      <c r="P34" s="1880"/>
      <c r="Q34" s="1880"/>
      <c r="R34" s="1880"/>
      <c r="S34" s="1880"/>
      <c r="T34" s="1880"/>
      <c r="U34" s="1880"/>
      <c r="V34" s="1880"/>
      <c r="W34" s="1880"/>
      <c r="X34" s="1880"/>
      <c r="Y34" s="1880"/>
      <c r="Z34" s="1880"/>
      <c r="AA34" s="1880"/>
      <c r="AB34" s="1880"/>
      <c r="AC34" s="1880"/>
      <c r="AD34" s="1880"/>
      <c r="AE34" s="1880"/>
      <c r="AF34" s="1880"/>
      <c r="AG34" s="1880"/>
      <c r="AH34" s="1880"/>
      <c r="AI34" s="1880"/>
      <c r="AJ34" s="1881"/>
      <c r="AK34" s="575"/>
      <c r="AL34" s="575"/>
      <c r="AM34" s="575"/>
      <c r="AN34" s="570"/>
    </row>
    <row r="35" spans="1:41" s="571" customFormat="1" ht="12.75" customHeight="1">
      <c r="A35" s="575"/>
      <c r="B35" s="575"/>
      <c r="C35" s="575"/>
      <c r="E35" s="1876"/>
      <c r="F35" s="1877"/>
      <c r="G35" s="1877"/>
      <c r="H35" s="1877"/>
      <c r="I35" s="1877"/>
      <c r="J35" s="1877"/>
      <c r="K35" s="1877"/>
      <c r="L35" s="1877"/>
      <c r="M35" s="1877"/>
      <c r="N35" s="1877"/>
      <c r="O35" s="1877"/>
      <c r="P35" s="1877"/>
      <c r="Q35" s="1877"/>
      <c r="R35" s="1877"/>
      <c r="S35" s="1877"/>
      <c r="T35" s="1877"/>
      <c r="U35" s="1877"/>
      <c r="V35" s="1877"/>
      <c r="W35" s="1877"/>
      <c r="X35" s="1877"/>
      <c r="Y35" s="1877"/>
      <c r="Z35" s="1877"/>
      <c r="AA35" s="1877"/>
      <c r="AB35" s="1877"/>
      <c r="AC35" s="1877"/>
      <c r="AD35" s="1877"/>
      <c r="AE35" s="1877"/>
      <c r="AF35" s="1877"/>
      <c r="AG35" s="1877"/>
      <c r="AH35" s="1877"/>
      <c r="AI35" s="1877"/>
      <c r="AJ35" s="1878"/>
      <c r="AK35" s="575"/>
      <c r="AL35" s="575"/>
      <c r="AM35" s="575"/>
      <c r="AN35" s="570"/>
    </row>
    <row r="36" spans="1:41" s="571" customFormat="1" ht="12.75" customHeight="1">
      <c r="A36" s="575"/>
      <c r="B36" s="575"/>
      <c r="C36" s="575"/>
      <c r="E36" s="575"/>
      <c r="F36" s="575"/>
      <c r="G36" s="575"/>
      <c r="H36" s="575"/>
      <c r="I36" s="575"/>
      <c r="J36" s="575"/>
      <c r="K36" s="575"/>
      <c r="L36" s="575"/>
      <c r="M36" s="575"/>
      <c r="N36" s="575"/>
      <c r="O36" s="575"/>
      <c r="P36" s="575"/>
      <c r="Q36" s="575"/>
      <c r="R36" s="575"/>
      <c r="S36" s="575"/>
      <c r="T36" s="575"/>
      <c r="U36" s="575"/>
      <c r="V36" s="575"/>
      <c r="W36" s="575"/>
      <c r="X36" s="575"/>
      <c r="Y36" s="575"/>
      <c r="Z36" s="575"/>
      <c r="AA36" s="575"/>
      <c r="AB36" s="575"/>
      <c r="AC36" s="575"/>
      <c r="AD36" s="575"/>
      <c r="AE36" s="575"/>
      <c r="AF36" s="575"/>
      <c r="AG36" s="575"/>
      <c r="AH36" s="575"/>
      <c r="AI36" s="575"/>
      <c r="AJ36" s="575"/>
      <c r="AK36" s="575"/>
      <c r="AL36" s="575"/>
      <c r="AM36" s="575"/>
      <c r="AN36" s="570"/>
      <c r="AO36" s="571">
        <f>MAX(AO17,AO22,AO25,AO29)</f>
        <v>0</v>
      </c>
    </row>
    <row r="37" spans="1:41" s="571" customFormat="1" ht="12.75" customHeight="1">
      <c r="A37" s="575"/>
      <c r="C37" s="579" t="s">
        <v>2406</v>
      </c>
      <c r="E37" s="575"/>
      <c r="F37" s="575"/>
      <c r="G37" s="575"/>
      <c r="H37" s="575"/>
      <c r="I37" s="575"/>
      <c r="J37" s="575"/>
      <c r="K37" s="575"/>
      <c r="L37" s="575"/>
      <c r="M37" s="575"/>
      <c r="N37" s="575"/>
      <c r="O37" s="575"/>
      <c r="P37" s="575"/>
      <c r="Q37" s="575"/>
      <c r="R37" s="575"/>
      <c r="S37" s="575"/>
      <c r="T37" s="575"/>
      <c r="U37" s="575"/>
      <c r="V37" s="575"/>
      <c r="W37" s="575"/>
      <c r="X37" s="575"/>
      <c r="Y37" s="575"/>
      <c r="Z37" s="575"/>
      <c r="AA37" s="575"/>
      <c r="AB37" s="575"/>
      <c r="AC37" s="575"/>
      <c r="AD37" s="575"/>
      <c r="AE37" s="575"/>
      <c r="AF37" s="575"/>
      <c r="AG37" s="575"/>
      <c r="AH37" s="575"/>
      <c r="AI37" s="575"/>
      <c r="AJ37" s="575"/>
      <c r="AK37" s="575"/>
      <c r="AL37" s="575"/>
      <c r="AM37" s="575"/>
      <c r="AN37" s="570"/>
    </row>
    <row r="38" spans="1:41" s="571" customFormat="1" ht="12.75" customHeight="1">
      <c r="A38" s="575"/>
      <c r="C38" s="1195"/>
      <c r="D38" s="1195"/>
      <c r="E38" s="1195"/>
      <c r="F38" s="1195"/>
      <c r="G38" s="1195"/>
      <c r="H38" s="1195"/>
      <c r="I38" s="1195"/>
      <c r="J38" s="1195"/>
      <c r="K38" s="1195"/>
      <c r="L38" s="1195"/>
      <c r="M38" s="1195"/>
      <c r="N38" s="1195"/>
      <c r="O38" s="1195"/>
      <c r="P38" s="1195"/>
      <c r="Q38" s="1195"/>
      <c r="R38" s="1195"/>
      <c r="S38" s="1195"/>
      <c r="T38" s="1195"/>
      <c r="U38" s="1195"/>
      <c r="V38" s="1195"/>
      <c r="W38" s="1195"/>
      <c r="X38" s="1195"/>
      <c r="Y38" s="1195"/>
      <c r="Z38" s="1195"/>
      <c r="AA38" s="1195"/>
      <c r="AB38" s="1195"/>
      <c r="AC38" s="1195"/>
      <c r="AD38" s="1195"/>
      <c r="AE38" s="1195"/>
      <c r="AF38" s="1195"/>
      <c r="AG38" s="1195"/>
      <c r="AH38" s="1195"/>
      <c r="AI38" s="1195"/>
      <c r="AJ38" s="1195"/>
      <c r="AK38" s="1195"/>
      <c r="AL38" s="575"/>
      <c r="AM38" s="575"/>
      <c r="AN38" s="570"/>
    </row>
    <row r="39" spans="1:41" s="571" customFormat="1" ht="12.75" customHeight="1">
      <c r="A39" s="575"/>
      <c r="B39" s="1872" t="s">
        <v>600</v>
      </c>
      <c r="C39" s="1872"/>
      <c r="D39" s="1195"/>
      <c r="E39" s="1873" t="s">
        <v>2405</v>
      </c>
      <c r="F39" s="1874"/>
      <c r="G39" s="1874"/>
      <c r="H39" s="1874"/>
      <c r="I39" s="1874"/>
      <c r="J39" s="1874"/>
      <c r="K39" s="1874"/>
      <c r="L39" s="1874"/>
      <c r="M39" s="1874"/>
      <c r="N39" s="1874"/>
      <c r="O39" s="1874"/>
      <c r="P39" s="1874"/>
      <c r="Q39" s="1874"/>
      <c r="R39" s="1874"/>
      <c r="S39" s="1874"/>
      <c r="T39" s="1874"/>
      <c r="U39" s="1874"/>
      <c r="V39" s="1874"/>
      <c r="W39" s="1874"/>
      <c r="X39" s="1874"/>
      <c r="Y39" s="1874"/>
      <c r="Z39" s="1874"/>
      <c r="AA39" s="1874"/>
      <c r="AB39" s="1874"/>
      <c r="AC39" s="1874"/>
      <c r="AD39" s="1874"/>
      <c r="AE39" s="1874"/>
      <c r="AF39" s="1874"/>
      <c r="AG39" s="1874"/>
      <c r="AH39" s="1874"/>
      <c r="AI39" s="1874"/>
      <c r="AJ39" s="1875"/>
      <c r="AK39" s="1195"/>
      <c r="AL39" s="575"/>
      <c r="AM39" s="575"/>
      <c r="AN39" s="570"/>
    </row>
    <row r="40" spans="1:41" s="571" customFormat="1" ht="12.75" customHeight="1">
      <c r="A40" s="575"/>
      <c r="B40" s="575"/>
      <c r="C40" s="575"/>
      <c r="E40" s="1879"/>
      <c r="F40" s="1880"/>
      <c r="G40" s="1880"/>
      <c r="H40" s="1880"/>
      <c r="I40" s="1880"/>
      <c r="J40" s="1880"/>
      <c r="K40" s="1880"/>
      <c r="L40" s="1880"/>
      <c r="M40" s="1880"/>
      <c r="N40" s="1880"/>
      <c r="O40" s="1880"/>
      <c r="P40" s="1880"/>
      <c r="Q40" s="1880"/>
      <c r="R40" s="1880"/>
      <c r="S40" s="1880"/>
      <c r="T40" s="1880"/>
      <c r="U40" s="1880"/>
      <c r="V40" s="1880"/>
      <c r="W40" s="1880"/>
      <c r="X40" s="1880"/>
      <c r="Y40" s="1880"/>
      <c r="Z40" s="1880"/>
      <c r="AA40" s="1880"/>
      <c r="AB40" s="1880"/>
      <c r="AC40" s="1880"/>
      <c r="AD40" s="1880"/>
      <c r="AE40" s="1880"/>
      <c r="AF40" s="1880"/>
      <c r="AG40" s="1880"/>
      <c r="AH40" s="1880"/>
      <c r="AI40" s="1880"/>
      <c r="AJ40" s="1881"/>
      <c r="AK40" s="575"/>
      <c r="AL40" s="575"/>
      <c r="AM40" s="575"/>
      <c r="AN40" s="570"/>
    </row>
    <row r="41" spans="1:41" s="571" customFormat="1" ht="12.75" customHeight="1">
      <c r="A41" s="575"/>
      <c r="D41" s="582"/>
      <c r="E41" s="1876"/>
      <c r="F41" s="1877"/>
      <c r="G41" s="1877"/>
      <c r="H41" s="1877"/>
      <c r="I41" s="1877"/>
      <c r="J41" s="1877"/>
      <c r="K41" s="1877"/>
      <c r="L41" s="1877"/>
      <c r="M41" s="1877"/>
      <c r="N41" s="1877"/>
      <c r="O41" s="1877"/>
      <c r="P41" s="1877"/>
      <c r="Q41" s="1877"/>
      <c r="R41" s="1877"/>
      <c r="S41" s="1877"/>
      <c r="T41" s="1877"/>
      <c r="U41" s="1877"/>
      <c r="V41" s="1877"/>
      <c r="W41" s="1877"/>
      <c r="X41" s="1877"/>
      <c r="Y41" s="1877"/>
      <c r="Z41" s="1877"/>
      <c r="AA41" s="1877"/>
      <c r="AB41" s="1877"/>
      <c r="AC41" s="1877"/>
      <c r="AD41" s="1877"/>
      <c r="AE41" s="1877"/>
      <c r="AF41" s="1877"/>
      <c r="AG41" s="1877"/>
      <c r="AH41" s="1877"/>
      <c r="AI41" s="1877"/>
      <c r="AJ41" s="1878"/>
      <c r="AK41" s="575"/>
      <c r="AL41" s="575"/>
      <c r="AM41" s="575"/>
      <c r="AN41" s="570"/>
      <c r="AO41" s="591"/>
    </row>
    <row r="42" spans="1:41" s="571" customFormat="1" ht="12.75" customHeight="1">
      <c r="A42" s="575"/>
      <c r="B42" s="575"/>
      <c r="C42" s="575"/>
      <c r="E42" s="575"/>
      <c r="F42" s="575"/>
      <c r="G42" s="575"/>
      <c r="H42" s="575"/>
      <c r="I42" s="575"/>
      <c r="J42" s="575"/>
      <c r="K42" s="575"/>
      <c r="L42" s="575"/>
      <c r="M42" s="575"/>
      <c r="N42" s="575"/>
      <c r="O42" s="575"/>
      <c r="P42" s="575"/>
      <c r="Q42" s="575"/>
      <c r="R42" s="575"/>
      <c r="S42" s="575"/>
      <c r="T42" s="575"/>
      <c r="U42" s="575"/>
      <c r="V42" s="575"/>
      <c r="W42" s="575"/>
      <c r="X42" s="575"/>
      <c r="Y42" s="575"/>
      <c r="Z42" s="575"/>
      <c r="AA42" s="575"/>
      <c r="AB42" s="575"/>
      <c r="AC42" s="575"/>
      <c r="AD42" s="575"/>
      <c r="AE42" s="575"/>
      <c r="AF42" s="575"/>
      <c r="AG42" s="575"/>
      <c r="AH42" s="575"/>
      <c r="AI42" s="575"/>
      <c r="AJ42" s="575"/>
      <c r="AK42" s="575"/>
      <c r="AL42" s="575"/>
      <c r="AM42" s="575"/>
      <c r="AN42" s="570"/>
      <c r="AO42" s="591"/>
    </row>
    <row r="43" spans="1:41" s="571" customFormat="1" ht="12.75" customHeight="1">
      <c r="A43" s="574"/>
      <c r="B43" s="574" t="s">
        <v>2408</v>
      </c>
      <c r="C43" s="582"/>
      <c r="D43" s="582"/>
      <c r="E43" s="592"/>
      <c r="F43" s="575"/>
      <c r="G43" s="575"/>
      <c r="H43" s="575"/>
      <c r="I43" s="575"/>
      <c r="J43" s="575"/>
      <c r="K43" s="575"/>
      <c r="L43" s="575"/>
      <c r="M43" s="575"/>
      <c r="N43" s="575"/>
      <c r="O43" s="575"/>
      <c r="P43" s="575"/>
      <c r="Q43" s="575"/>
      <c r="R43" s="575"/>
      <c r="S43" s="575"/>
      <c r="T43" s="575"/>
      <c r="U43" s="575"/>
      <c r="V43" s="575"/>
      <c r="W43" s="575"/>
      <c r="X43" s="575"/>
      <c r="Y43" s="575"/>
      <c r="Z43" s="575"/>
      <c r="AA43" s="575"/>
      <c r="AB43" s="575"/>
      <c r="AC43" s="575"/>
      <c r="AD43" s="575"/>
      <c r="AE43" s="575"/>
      <c r="AF43" s="575"/>
      <c r="AG43" s="575"/>
      <c r="AH43" s="575"/>
      <c r="AI43" s="575"/>
      <c r="AJ43" s="575"/>
      <c r="AK43" s="575"/>
      <c r="AL43" s="575"/>
      <c r="AM43" s="575"/>
      <c r="AN43" s="570"/>
      <c r="AO43" s="591"/>
    </row>
    <row r="44" spans="1:41" s="571" customFormat="1" ht="12.75" customHeight="1">
      <c r="A44" s="575"/>
      <c r="B44" s="575"/>
      <c r="C44" s="1194" t="s">
        <v>2409</v>
      </c>
      <c r="D44" s="575"/>
      <c r="E44" s="575"/>
      <c r="F44" s="575"/>
      <c r="G44" s="575"/>
      <c r="H44" s="575"/>
      <c r="I44" s="575"/>
      <c r="J44" s="575"/>
      <c r="K44" s="575"/>
      <c r="L44" s="575"/>
      <c r="M44" s="575"/>
      <c r="N44" s="575"/>
      <c r="O44" s="575"/>
      <c r="P44" s="575"/>
      <c r="Q44" s="575"/>
      <c r="R44" s="575"/>
      <c r="S44" s="575"/>
      <c r="T44" s="575"/>
      <c r="U44" s="575"/>
      <c r="V44" s="575"/>
      <c r="W44" s="575"/>
      <c r="X44" s="575"/>
      <c r="Y44" s="575"/>
      <c r="Z44" s="575"/>
      <c r="AA44" s="575"/>
      <c r="AB44" s="575"/>
      <c r="AC44" s="575"/>
      <c r="AD44" s="575"/>
      <c r="AE44" s="575"/>
      <c r="AF44" s="575"/>
      <c r="AG44" s="575"/>
      <c r="AH44" s="575"/>
      <c r="AI44" s="575"/>
      <c r="AJ44" s="575"/>
      <c r="AK44" s="575"/>
      <c r="AL44" s="575"/>
      <c r="AM44" s="575"/>
      <c r="AN44" s="570"/>
      <c r="AO44" s="591"/>
    </row>
    <row r="45" spans="1:41" s="571" customFormat="1" ht="12.75" customHeight="1">
      <c r="A45" s="582"/>
      <c r="B45" s="582"/>
      <c r="C45" s="582"/>
      <c r="D45" s="582"/>
      <c r="E45" s="593"/>
      <c r="F45" s="575"/>
      <c r="G45" s="575"/>
      <c r="H45" s="575"/>
      <c r="I45" s="575"/>
      <c r="J45" s="575"/>
      <c r="K45" s="575"/>
      <c r="L45" s="575"/>
      <c r="M45" s="575"/>
      <c r="N45" s="575"/>
      <c r="O45" s="575"/>
      <c r="P45" s="575"/>
      <c r="Q45" s="575"/>
      <c r="R45" s="575"/>
      <c r="S45" s="575"/>
      <c r="T45" s="575"/>
      <c r="U45" s="575"/>
      <c r="V45" s="575"/>
      <c r="W45" s="575"/>
      <c r="X45" s="575"/>
      <c r="Y45" s="575"/>
      <c r="Z45" s="575"/>
      <c r="AA45" s="575"/>
      <c r="AB45" s="575"/>
      <c r="AC45" s="575"/>
      <c r="AD45" s="575"/>
      <c r="AE45" s="575"/>
      <c r="AF45" s="575"/>
      <c r="AG45" s="575"/>
      <c r="AH45" s="575"/>
      <c r="AI45" s="575"/>
      <c r="AJ45" s="575"/>
      <c r="AK45" s="575"/>
      <c r="AL45" s="575"/>
      <c r="AM45" s="575"/>
      <c r="AN45" s="570"/>
      <c r="AO45" s="591"/>
    </row>
    <row r="46" spans="1:41" s="571" customFormat="1" ht="12.75" customHeight="1">
      <c r="A46" s="575"/>
      <c r="B46" s="1872" t="s">
        <v>600</v>
      </c>
      <c r="C46" s="1872"/>
      <c r="D46" s="575"/>
      <c r="E46" s="1873" t="s">
        <v>2410</v>
      </c>
      <c r="F46" s="1874"/>
      <c r="G46" s="1874"/>
      <c r="H46" s="1874"/>
      <c r="I46" s="1874"/>
      <c r="J46" s="1874"/>
      <c r="K46" s="1874"/>
      <c r="L46" s="1874"/>
      <c r="M46" s="1874"/>
      <c r="N46" s="1874"/>
      <c r="O46" s="1874"/>
      <c r="P46" s="1874"/>
      <c r="Q46" s="1874"/>
      <c r="R46" s="1874"/>
      <c r="S46" s="1874"/>
      <c r="T46" s="1874"/>
      <c r="U46" s="1874"/>
      <c r="V46" s="1874"/>
      <c r="W46" s="1874"/>
      <c r="X46" s="1874"/>
      <c r="Y46" s="1874"/>
      <c r="Z46" s="1874"/>
      <c r="AA46" s="1874"/>
      <c r="AB46" s="1874"/>
      <c r="AC46" s="1874"/>
      <c r="AD46" s="1874"/>
      <c r="AE46" s="1874"/>
      <c r="AF46" s="1874"/>
      <c r="AG46" s="1874"/>
      <c r="AH46" s="1874"/>
      <c r="AI46" s="1874"/>
      <c r="AJ46" s="1875"/>
      <c r="AK46" s="575"/>
      <c r="AL46" s="575"/>
      <c r="AM46" s="575"/>
      <c r="AN46" s="570"/>
      <c r="AO46" s="594"/>
    </row>
    <row r="47" spans="1:41" s="571" customFormat="1" ht="12.75" customHeight="1">
      <c r="A47" s="575"/>
      <c r="D47" s="582"/>
      <c r="E47" s="1879"/>
      <c r="F47" s="1880"/>
      <c r="G47" s="1880"/>
      <c r="H47" s="1880"/>
      <c r="I47" s="1880"/>
      <c r="J47" s="1880"/>
      <c r="K47" s="1880"/>
      <c r="L47" s="1880"/>
      <c r="M47" s="1880"/>
      <c r="N47" s="1880"/>
      <c r="O47" s="1880"/>
      <c r="P47" s="1880"/>
      <c r="Q47" s="1880"/>
      <c r="R47" s="1880"/>
      <c r="S47" s="1880"/>
      <c r="T47" s="1880"/>
      <c r="U47" s="1880"/>
      <c r="V47" s="1880"/>
      <c r="W47" s="1880"/>
      <c r="X47" s="1880"/>
      <c r="Y47" s="1880"/>
      <c r="Z47" s="1880"/>
      <c r="AA47" s="1880"/>
      <c r="AB47" s="1880"/>
      <c r="AC47" s="1880"/>
      <c r="AD47" s="1880"/>
      <c r="AE47" s="1880"/>
      <c r="AF47" s="1880"/>
      <c r="AG47" s="1880"/>
      <c r="AH47" s="1880"/>
      <c r="AI47" s="1880"/>
      <c r="AJ47" s="1881"/>
      <c r="AK47" s="575"/>
      <c r="AL47" s="575"/>
      <c r="AM47" s="575"/>
      <c r="AN47" s="570"/>
      <c r="AO47" s="594"/>
    </row>
    <row r="48" spans="1:41" s="571" customFormat="1" ht="12.75" customHeight="1">
      <c r="A48" s="575"/>
      <c r="D48" s="575"/>
      <c r="E48" s="1876"/>
      <c r="F48" s="1877"/>
      <c r="G48" s="1877"/>
      <c r="H48" s="1877"/>
      <c r="I48" s="1877"/>
      <c r="J48" s="1877"/>
      <c r="K48" s="1877"/>
      <c r="L48" s="1877"/>
      <c r="M48" s="1877"/>
      <c r="N48" s="1877"/>
      <c r="O48" s="1877"/>
      <c r="P48" s="1877"/>
      <c r="Q48" s="1877"/>
      <c r="R48" s="1877"/>
      <c r="S48" s="1877"/>
      <c r="T48" s="1877"/>
      <c r="U48" s="1877"/>
      <c r="V48" s="1877"/>
      <c r="W48" s="1877"/>
      <c r="X48" s="1877"/>
      <c r="Y48" s="1877"/>
      <c r="Z48" s="1877"/>
      <c r="AA48" s="1877"/>
      <c r="AB48" s="1877"/>
      <c r="AC48" s="1877"/>
      <c r="AD48" s="1877"/>
      <c r="AE48" s="1877"/>
      <c r="AF48" s="1877"/>
      <c r="AG48" s="1877"/>
      <c r="AH48" s="1877"/>
      <c r="AI48" s="1877"/>
      <c r="AJ48" s="1878"/>
      <c r="AK48" s="575"/>
      <c r="AL48" s="575"/>
      <c r="AM48" s="575"/>
      <c r="AN48" s="570"/>
    </row>
    <row r="49" spans="1:50" s="571" customFormat="1" ht="12.75" customHeight="1">
      <c r="A49" s="575"/>
      <c r="B49" s="575"/>
      <c r="C49" s="575"/>
      <c r="D49" s="582"/>
      <c r="E49" s="593"/>
      <c r="F49" s="591"/>
      <c r="G49" s="591"/>
      <c r="H49" s="575"/>
      <c r="I49" s="575"/>
      <c r="J49" s="575"/>
      <c r="K49" s="575"/>
      <c r="L49" s="575"/>
      <c r="M49" s="575"/>
      <c r="N49" s="575"/>
      <c r="O49" s="575"/>
      <c r="P49" s="575"/>
      <c r="Q49" s="575"/>
      <c r="R49" s="575"/>
      <c r="S49" s="575"/>
      <c r="T49" s="575"/>
      <c r="U49" s="575"/>
      <c r="V49" s="575"/>
      <c r="W49" s="575"/>
      <c r="X49" s="575"/>
      <c r="Y49" s="575"/>
      <c r="Z49" s="575"/>
      <c r="AA49" s="575"/>
      <c r="AB49" s="575"/>
      <c r="AC49" s="575"/>
      <c r="AD49" s="575"/>
      <c r="AE49" s="575"/>
      <c r="AF49" s="575"/>
      <c r="AG49" s="575"/>
      <c r="AH49" s="575"/>
      <c r="AI49" s="575"/>
      <c r="AJ49" s="575"/>
      <c r="AK49" s="575"/>
      <c r="AL49" s="575"/>
      <c r="AM49" s="575"/>
      <c r="AN49" s="570"/>
    </row>
    <row r="50" spans="1:50" s="571" customFormat="1" ht="12.75" customHeight="1">
      <c r="A50" s="575"/>
      <c r="B50" s="1872" t="s">
        <v>600</v>
      </c>
      <c r="C50" s="1872"/>
      <c r="D50" s="575"/>
      <c r="E50" s="1893" t="s">
        <v>2411</v>
      </c>
      <c r="F50" s="1894"/>
      <c r="G50" s="1894"/>
      <c r="H50" s="1894"/>
      <c r="I50" s="1894"/>
      <c r="J50" s="1894"/>
      <c r="K50" s="1894"/>
      <c r="L50" s="1894"/>
      <c r="M50" s="1894"/>
      <c r="N50" s="1894"/>
      <c r="O50" s="1894"/>
      <c r="P50" s="1894"/>
      <c r="Q50" s="1894"/>
      <c r="R50" s="1894"/>
      <c r="S50" s="1894"/>
      <c r="T50" s="1894"/>
      <c r="U50" s="1894"/>
      <c r="V50" s="1894"/>
      <c r="W50" s="1894"/>
      <c r="X50" s="1894"/>
      <c r="Y50" s="1894"/>
      <c r="Z50" s="1894"/>
      <c r="AA50" s="1894"/>
      <c r="AB50" s="1894"/>
      <c r="AC50" s="1894"/>
      <c r="AD50" s="1894"/>
      <c r="AE50" s="1894"/>
      <c r="AF50" s="1894"/>
      <c r="AG50" s="1894"/>
      <c r="AH50" s="1894"/>
      <c r="AI50" s="1894"/>
      <c r="AJ50" s="1895"/>
      <c r="AK50" s="575"/>
      <c r="AL50" s="575"/>
      <c r="AM50" s="575"/>
      <c r="AN50" s="570"/>
    </row>
    <row r="51" spans="1:50" s="571" customFormat="1" ht="12.75" customHeight="1">
      <c r="A51" s="575"/>
      <c r="B51" s="575"/>
      <c r="C51" s="575"/>
      <c r="D51" s="582"/>
      <c r="E51" s="595"/>
      <c r="F51" s="591"/>
      <c r="G51" s="591"/>
      <c r="H51" s="575"/>
      <c r="I51" s="575"/>
      <c r="J51" s="575"/>
      <c r="K51" s="575"/>
      <c r="L51" s="575"/>
      <c r="M51" s="575"/>
      <c r="N51" s="575"/>
      <c r="O51" s="575"/>
      <c r="P51" s="575"/>
      <c r="Q51" s="575"/>
      <c r="R51" s="575"/>
      <c r="S51" s="575"/>
      <c r="T51" s="575"/>
      <c r="U51" s="575"/>
      <c r="V51" s="575"/>
      <c r="W51" s="575"/>
      <c r="X51" s="575"/>
      <c r="Y51" s="575"/>
      <c r="Z51" s="575"/>
      <c r="AA51" s="575"/>
      <c r="AB51" s="575"/>
      <c r="AC51" s="575"/>
      <c r="AD51" s="575"/>
      <c r="AE51" s="575"/>
      <c r="AF51" s="575"/>
      <c r="AG51" s="575"/>
      <c r="AH51" s="575"/>
      <c r="AI51" s="575"/>
      <c r="AJ51" s="575"/>
      <c r="AK51" s="575"/>
      <c r="AL51" s="575"/>
      <c r="AM51" s="575"/>
      <c r="AN51" s="570"/>
    </row>
    <row r="52" spans="1:50" s="571" customFormat="1" ht="12.75" customHeight="1">
      <c r="A52" s="575"/>
      <c r="B52" s="1872" t="s">
        <v>600</v>
      </c>
      <c r="C52" s="1872"/>
      <c r="D52" s="575"/>
      <c r="E52" s="1873" t="s">
        <v>2412</v>
      </c>
      <c r="F52" s="1874"/>
      <c r="G52" s="1874"/>
      <c r="H52" s="1874"/>
      <c r="I52" s="1874"/>
      <c r="J52" s="1874"/>
      <c r="K52" s="1874"/>
      <c r="L52" s="1874"/>
      <c r="M52" s="1874"/>
      <c r="N52" s="1874"/>
      <c r="O52" s="1874"/>
      <c r="P52" s="1874"/>
      <c r="Q52" s="1874"/>
      <c r="R52" s="1874"/>
      <c r="S52" s="1874"/>
      <c r="T52" s="1874"/>
      <c r="U52" s="1874"/>
      <c r="V52" s="1874"/>
      <c r="W52" s="1874"/>
      <c r="X52" s="1874"/>
      <c r="Y52" s="1874"/>
      <c r="Z52" s="1874"/>
      <c r="AA52" s="1874"/>
      <c r="AB52" s="1874"/>
      <c r="AC52" s="1874"/>
      <c r="AD52" s="1874"/>
      <c r="AE52" s="1874"/>
      <c r="AF52" s="1874"/>
      <c r="AG52" s="1874"/>
      <c r="AH52" s="1874"/>
      <c r="AI52" s="1874"/>
      <c r="AJ52" s="1875"/>
      <c r="AK52" s="575"/>
      <c r="AL52" s="575"/>
      <c r="AM52" s="575"/>
      <c r="AN52" s="570"/>
    </row>
    <row r="53" spans="1:50" s="571" customFormat="1" ht="12.75" customHeight="1">
      <c r="A53" s="575"/>
      <c r="B53" s="582"/>
      <c r="C53" s="582"/>
      <c r="D53" s="582"/>
      <c r="E53" s="1876"/>
      <c r="F53" s="1877"/>
      <c r="G53" s="1877"/>
      <c r="H53" s="1877"/>
      <c r="I53" s="1877"/>
      <c r="J53" s="1877"/>
      <c r="K53" s="1877"/>
      <c r="L53" s="1877"/>
      <c r="M53" s="1877"/>
      <c r="N53" s="1877"/>
      <c r="O53" s="1877"/>
      <c r="P53" s="1877"/>
      <c r="Q53" s="1877"/>
      <c r="R53" s="1877"/>
      <c r="S53" s="1877"/>
      <c r="T53" s="1877"/>
      <c r="U53" s="1877"/>
      <c r="V53" s="1877"/>
      <c r="W53" s="1877"/>
      <c r="X53" s="1877"/>
      <c r="Y53" s="1877"/>
      <c r="Z53" s="1877"/>
      <c r="AA53" s="1877"/>
      <c r="AB53" s="1877"/>
      <c r="AC53" s="1877"/>
      <c r="AD53" s="1877"/>
      <c r="AE53" s="1877"/>
      <c r="AF53" s="1877"/>
      <c r="AG53" s="1877"/>
      <c r="AH53" s="1877"/>
      <c r="AI53" s="1877"/>
      <c r="AJ53" s="1878"/>
      <c r="AK53" s="575"/>
      <c r="AL53" s="575"/>
      <c r="AM53" s="575"/>
      <c r="AN53" s="570"/>
      <c r="AX53" s="574"/>
    </row>
    <row r="54" spans="1:50" s="571" customFormat="1" ht="12.75" customHeight="1">
      <c r="A54" s="575"/>
      <c r="B54" s="582"/>
      <c r="C54" s="582"/>
      <c r="D54" s="582"/>
      <c r="E54" s="595"/>
      <c r="F54" s="575"/>
      <c r="G54" s="575"/>
      <c r="H54" s="575"/>
      <c r="I54" s="575"/>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575"/>
      <c r="AI54" s="575"/>
      <c r="AJ54" s="575"/>
      <c r="AK54" s="575"/>
      <c r="AL54" s="575"/>
      <c r="AM54" s="575"/>
      <c r="AN54" s="570"/>
      <c r="AX54" s="574"/>
    </row>
    <row r="55" spans="1:50" s="571" customFormat="1" ht="12.75" customHeight="1">
      <c r="A55" s="575"/>
      <c r="B55" s="575"/>
      <c r="C55" s="575"/>
      <c r="D55" s="575"/>
      <c r="E55" s="575"/>
      <c r="F55" s="575"/>
      <c r="G55" s="575"/>
      <c r="H55" s="575"/>
      <c r="I55" s="575"/>
      <c r="J55" s="575"/>
      <c r="K55" s="575"/>
      <c r="L55" s="575"/>
      <c r="M55" s="575"/>
      <c r="N55" s="575"/>
      <c r="O55" s="575"/>
      <c r="P55" s="575"/>
      <c r="Q55" s="575"/>
      <c r="R55" s="575"/>
      <c r="S55" s="575"/>
      <c r="T55" s="575"/>
      <c r="U55" s="575"/>
      <c r="V55" s="575"/>
      <c r="W55" s="575"/>
      <c r="X55" s="575"/>
      <c r="Y55" s="575"/>
      <c r="Z55" s="575"/>
      <c r="AA55" s="575"/>
      <c r="AB55" s="575"/>
      <c r="AC55" s="575"/>
      <c r="AD55" s="575"/>
      <c r="AE55" s="575"/>
      <c r="AF55" s="575"/>
      <c r="AG55" s="575"/>
      <c r="AH55" s="575"/>
      <c r="AI55" s="575"/>
      <c r="AJ55" s="575"/>
      <c r="AK55" s="575"/>
      <c r="AL55" s="575"/>
      <c r="AM55" s="575"/>
      <c r="AN55" s="570"/>
    </row>
    <row r="56" spans="1:50" s="571" customFormat="1" ht="12.75" customHeight="1">
      <c r="A56" s="596"/>
      <c r="B56" s="597"/>
      <c r="C56" s="597"/>
      <c r="D56" s="597"/>
      <c r="E56" s="597"/>
      <c r="F56" s="597"/>
      <c r="G56" s="598"/>
      <c r="H56" s="599"/>
      <c r="I56" s="599"/>
      <c r="J56" s="599"/>
      <c r="K56" s="599"/>
      <c r="L56" s="599"/>
      <c r="M56" s="599"/>
      <c r="N56" s="599"/>
      <c r="O56" s="599"/>
      <c r="P56" s="599"/>
      <c r="Q56" s="599"/>
      <c r="R56" s="599"/>
      <c r="S56" s="599"/>
      <c r="T56" s="599"/>
      <c r="U56" s="599"/>
      <c r="V56" s="599"/>
      <c r="W56" s="599"/>
      <c r="X56" s="599"/>
      <c r="Y56" s="599"/>
      <c r="Z56" s="599"/>
      <c r="AA56" s="599"/>
      <c r="AB56" s="599"/>
      <c r="AC56" s="599"/>
      <c r="AD56" s="599"/>
      <c r="AE56" s="599"/>
      <c r="AF56" s="599"/>
      <c r="AG56" s="599"/>
      <c r="AH56" s="599"/>
      <c r="AI56" s="600"/>
      <c r="AJ56" s="600" t="s">
        <v>1483</v>
      </c>
      <c r="AK56" s="1902">
        <f>AO36</f>
        <v>0</v>
      </c>
      <c r="AL56" s="1903"/>
      <c r="AM56" s="1904"/>
      <c r="AN56" s="570"/>
    </row>
    <row r="57" spans="1:50" s="571" customFormat="1" ht="12.75" customHeight="1" thickBot="1">
      <c r="A57" s="601"/>
      <c r="B57" s="602"/>
      <c r="C57" s="603"/>
      <c r="D57" s="603"/>
      <c r="E57" s="603"/>
      <c r="F57" s="603"/>
      <c r="G57" s="603"/>
      <c r="H57" s="603"/>
      <c r="I57" s="603"/>
      <c r="J57" s="603"/>
      <c r="K57" s="603"/>
      <c r="L57" s="603"/>
      <c r="M57" s="603"/>
      <c r="N57" s="603"/>
      <c r="O57" s="603"/>
      <c r="P57" s="603"/>
      <c r="Q57" s="603"/>
      <c r="R57" s="603"/>
      <c r="S57" s="603"/>
      <c r="T57" s="603"/>
      <c r="U57" s="603"/>
      <c r="V57" s="603"/>
      <c r="W57" s="603"/>
      <c r="X57" s="603"/>
      <c r="Y57" s="603"/>
      <c r="Z57" s="603"/>
      <c r="AA57" s="603"/>
      <c r="AB57" s="603"/>
      <c r="AC57" s="603"/>
      <c r="AD57" s="603"/>
      <c r="AE57" s="603"/>
      <c r="AF57" s="603"/>
      <c r="AG57" s="603"/>
      <c r="AH57" s="603"/>
      <c r="AI57" s="603"/>
      <c r="AJ57" s="603"/>
      <c r="AK57" s="603"/>
      <c r="AL57" s="603"/>
      <c r="AM57" s="604"/>
      <c r="AN57" s="570"/>
    </row>
    <row r="58" spans="1:50" s="571" customFormat="1" ht="12.75" customHeight="1" thickTop="1">
      <c r="A58" s="605"/>
      <c r="B58" s="606"/>
      <c r="C58" s="607"/>
      <c r="D58" s="607"/>
      <c r="E58" s="607"/>
      <c r="F58" s="607"/>
      <c r="G58" s="607"/>
      <c r="H58" s="607"/>
      <c r="I58" s="608"/>
      <c r="J58" s="608"/>
      <c r="K58" s="608"/>
      <c r="L58" s="608"/>
      <c r="M58" s="608"/>
      <c r="N58" s="608"/>
      <c r="O58" s="608"/>
      <c r="P58" s="608"/>
      <c r="Q58" s="608"/>
      <c r="R58" s="605"/>
      <c r="S58" s="574"/>
      <c r="T58" s="574"/>
      <c r="U58" s="574"/>
      <c r="V58" s="574"/>
      <c r="W58" s="574"/>
      <c r="X58" s="574"/>
      <c r="Y58" s="574"/>
      <c r="Z58" s="574"/>
      <c r="AA58" s="574"/>
      <c r="AB58" s="574"/>
      <c r="AC58" s="574"/>
      <c r="AD58" s="574"/>
      <c r="AE58" s="574"/>
      <c r="AF58" s="605"/>
      <c r="AG58" s="574"/>
      <c r="AH58" s="574"/>
      <c r="AI58" s="574"/>
      <c r="AJ58" s="574"/>
      <c r="AK58" s="585"/>
      <c r="AL58" s="585"/>
      <c r="AM58" s="585"/>
      <c r="AN58" s="570"/>
    </row>
    <row r="59" spans="1:50" s="571" customFormat="1" ht="12.75" customHeight="1">
      <c r="A59" s="573" t="s">
        <v>1484</v>
      </c>
      <c r="B59" s="574" t="s">
        <v>1485</v>
      </c>
      <c r="C59" s="574"/>
      <c r="D59" s="574"/>
      <c r="E59" s="574"/>
      <c r="F59" s="574"/>
      <c r="G59" s="574"/>
      <c r="H59" s="574"/>
      <c r="I59" s="574"/>
      <c r="J59" s="574"/>
      <c r="K59" s="574"/>
      <c r="L59" s="574"/>
      <c r="M59" s="574"/>
      <c r="N59" s="574"/>
      <c r="O59" s="574"/>
      <c r="P59" s="574"/>
      <c r="Q59" s="574"/>
      <c r="R59" s="574"/>
      <c r="S59" s="574"/>
      <c r="T59" s="574"/>
      <c r="U59" s="574"/>
      <c r="V59" s="574"/>
      <c r="W59" s="574"/>
      <c r="X59" s="574"/>
      <c r="Y59" s="574"/>
      <c r="Z59" s="574"/>
      <c r="AA59" s="574"/>
      <c r="AB59" s="574"/>
      <c r="AC59" s="574"/>
      <c r="AD59" s="574"/>
      <c r="AE59" s="1882" t="s">
        <v>1486</v>
      </c>
      <c r="AF59" s="1882"/>
      <c r="AG59" s="1882"/>
      <c r="AH59" s="1882"/>
      <c r="AI59" s="1882"/>
      <c r="AJ59" s="1882"/>
      <c r="AK59" s="1882"/>
      <c r="AL59" s="575"/>
      <c r="AM59" s="575"/>
      <c r="AN59" s="570"/>
    </row>
    <row r="60" spans="1:50" s="571" customFormat="1" ht="12.75" customHeight="1">
      <c r="A60" s="573"/>
      <c r="B60" s="574" t="s">
        <v>1988</v>
      </c>
      <c r="C60" s="574"/>
      <c r="D60" s="574"/>
      <c r="E60" s="574"/>
      <c r="F60" s="574"/>
      <c r="G60" s="574"/>
      <c r="H60" s="574"/>
      <c r="I60" s="574"/>
      <c r="J60" s="574"/>
      <c r="K60" s="574"/>
      <c r="L60" s="574"/>
      <c r="M60" s="574"/>
      <c r="N60" s="574"/>
      <c r="O60" s="574"/>
      <c r="P60" s="574"/>
      <c r="Q60" s="574"/>
      <c r="R60" s="574"/>
      <c r="S60" s="574"/>
      <c r="T60" s="574"/>
      <c r="U60" s="574"/>
      <c r="V60" s="574"/>
      <c r="W60" s="574"/>
      <c r="X60" s="574"/>
      <c r="Y60" s="574"/>
      <c r="Z60" s="574"/>
      <c r="AA60" s="574"/>
      <c r="AB60" s="574"/>
      <c r="AC60" s="574"/>
      <c r="AD60" s="574"/>
      <c r="AE60" s="578"/>
      <c r="AF60" s="578"/>
      <c r="AG60" s="578"/>
      <c r="AH60" s="578"/>
      <c r="AI60" s="578"/>
      <c r="AJ60" s="578"/>
      <c r="AK60" s="578"/>
      <c r="AL60" s="575"/>
      <c r="AM60" s="575"/>
      <c r="AN60" s="570"/>
    </row>
    <row r="61" spans="1:50" s="571" customFormat="1" ht="12.75" customHeight="1">
      <c r="A61" s="573"/>
      <c r="B61" s="574"/>
      <c r="C61" s="574"/>
      <c r="D61" s="574"/>
      <c r="E61" s="574"/>
      <c r="F61" s="574"/>
      <c r="G61" s="574"/>
      <c r="H61" s="574"/>
      <c r="I61" s="574"/>
      <c r="J61" s="574"/>
      <c r="K61" s="574"/>
      <c r="L61" s="574"/>
      <c r="M61" s="574"/>
      <c r="N61" s="574"/>
      <c r="O61" s="574"/>
      <c r="P61" s="574"/>
      <c r="Q61" s="574"/>
      <c r="R61" s="574"/>
      <c r="S61" s="574"/>
      <c r="T61" s="574"/>
      <c r="U61" s="574"/>
      <c r="V61" s="574"/>
      <c r="W61" s="574"/>
      <c r="X61" s="574"/>
      <c r="Y61" s="574"/>
      <c r="Z61" s="574"/>
      <c r="AA61" s="574"/>
      <c r="AB61" s="574"/>
      <c r="AC61" s="574"/>
      <c r="AD61" s="574"/>
      <c r="AE61" s="578"/>
      <c r="AF61" s="578"/>
      <c r="AG61" s="578"/>
      <c r="AH61" s="578"/>
      <c r="AI61" s="578"/>
      <c r="AJ61" s="578"/>
      <c r="AK61" s="578"/>
      <c r="AL61" s="575"/>
      <c r="AM61" s="575"/>
      <c r="AN61" s="570"/>
    </row>
    <row r="62" spans="1:50" s="571" customFormat="1" ht="12.75" customHeight="1">
      <c r="A62" s="573"/>
      <c r="B62" s="1872" t="s">
        <v>600</v>
      </c>
      <c r="C62" s="1872"/>
      <c r="D62" s="582" t="s">
        <v>1487</v>
      </c>
      <c r="E62" s="1883" t="s">
        <v>2413</v>
      </c>
      <c r="F62" s="1884"/>
      <c r="G62" s="1884"/>
      <c r="H62" s="1884"/>
      <c r="I62" s="1884"/>
      <c r="J62" s="1884"/>
      <c r="K62" s="1884"/>
      <c r="L62" s="1884"/>
      <c r="M62" s="1884"/>
      <c r="N62" s="1884"/>
      <c r="O62" s="1884"/>
      <c r="P62" s="1884"/>
      <c r="Q62" s="1884"/>
      <c r="R62" s="1884"/>
      <c r="S62" s="1884"/>
      <c r="T62" s="1884"/>
      <c r="U62" s="1884"/>
      <c r="V62" s="1884"/>
      <c r="W62" s="1884"/>
      <c r="X62" s="1884"/>
      <c r="Y62" s="1884"/>
      <c r="Z62" s="1884"/>
      <c r="AA62" s="1884"/>
      <c r="AB62" s="1884"/>
      <c r="AC62" s="1884"/>
      <c r="AD62" s="1884"/>
      <c r="AE62" s="1884"/>
      <c r="AF62" s="1884"/>
      <c r="AG62" s="1884"/>
      <c r="AH62" s="1884"/>
      <c r="AI62" s="1884"/>
      <c r="AJ62" s="1885"/>
      <c r="AK62" s="578"/>
      <c r="AL62" s="575"/>
      <c r="AM62" s="575"/>
      <c r="AN62" s="570"/>
      <c r="AO62" s="585">
        <f>IF($B62="yes",10,0)</f>
        <v>0</v>
      </c>
    </row>
    <row r="63" spans="1:50" s="571" customFormat="1" ht="12.75" customHeight="1">
      <c r="A63" s="573"/>
      <c r="B63" s="575"/>
      <c r="C63" s="575"/>
      <c r="D63" s="586"/>
      <c r="E63" s="1886"/>
      <c r="F63" s="1887"/>
      <c r="G63" s="1887"/>
      <c r="H63" s="1887"/>
      <c r="I63" s="1887"/>
      <c r="J63" s="1887"/>
      <c r="K63" s="1887"/>
      <c r="L63" s="1887"/>
      <c r="M63" s="1887"/>
      <c r="N63" s="1887"/>
      <c r="O63" s="1887"/>
      <c r="P63" s="1887"/>
      <c r="Q63" s="1887"/>
      <c r="R63" s="1887"/>
      <c r="S63" s="1887"/>
      <c r="T63" s="1887"/>
      <c r="U63" s="1887"/>
      <c r="V63" s="1887"/>
      <c r="W63" s="1887"/>
      <c r="X63" s="1887"/>
      <c r="Y63" s="1887"/>
      <c r="Z63" s="1887"/>
      <c r="AA63" s="1887"/>
      <c r="AB63" s="1887"/>
      <c r="AC63" s="1887"/>
      <c r="AD63" s="1887"/>
      <c r="AE63" s="1887"/>
      <c r="AF63" s="1887"/>
      <c r="AG63" s="1887"/>
      <c r="AH63" s="1887"/>
      <c r="AI63" s="1887"/>
      <c r="AJ63" s="1888"/>
      <c r="AK63" s="578"/>
      <c r="AL63" s="575"/>
      <c r="AM63" s="575"/>
      <c r="AN63" s="570"/>
      <c r="AO63" s="585">
        <f>IF($B68="yes",10,0)</f>
        <v>0</v>
      </c>
    </row>
    <row r="64" spans="1:50" s="571" customFormat="1" ht="12.75" customHeight="1">
      <c r="A64" s="573"/>
      <c r="B64" s="575"/>
      <c r="C64" s="575"/>
      <c r="D64" s="586"/>
      <c r="E64" s="1886"/>
      <c r="F64" s="1887"/>
      <c r="G64" s="1887"/>
      <c r="H64" s="1887"/>
      <c r="I64" s="1887"/>
      <c r="J64" s="1887"/>
      <c r="K64" s="1887"/>
      <c r="L64" s="1887"/>
      <c r="M64" s="1887"/>
      <c r="N64" s="1887"/>
      <c r="O64" s="1887"/>
      <c r="P64" s="1887"/>
      <c r="Q64" s="1887"/>
      <c r="R64" s="1887"/>
      <c r="S64" s="1887"/>
      <c r="T64" s="1887"/>
      <c r="U64" s="1887"/>
      <c r="V64" s="1887"/>
      <c r="W64" s="1887"/>
      <c r="X64" s="1887"/>
      <c r="Y64" s="1887"/>
      <c r="Z64" s="1887"/>
      <c r="AA64" s="1887"/>
      <c r="AB64" s="1887"/>
      <c r="AC64" s="1887"/>
      <c r="AD64" s="1887"/>
      <c r="AE64" s="1887"/>
      <c r="AF64" s="1887"/>
      <c r="AG64" s="1887"/>
      <c r="AH64" s="1887"/>
      <c r="AI64" s="1887"/>
      <c r="AJ64" s="1888"/>
      <c r="AK64" s="578"/>
      <c r="AL64" s="575"/>
      <c r="AM64" s="575"/>
      <c r="AN64" s="570"/>
      <c r="AO64" s="585">
        <f>IF($B75="yes",10,0)</f>
        <v>10</v>
      </c>
    </row>
    <row r="65" spans="1:42" s="571" customFormat="1" ht="12.75" customHeight="1">
      <c r="A65" s="573"/>
      <c r="B65" s="575"/>
      <c r="C65" s="575"/>
      <c r="D65" s="586"/>
      <c r="E65" s="1886"/>
      <c r="F65" s="1887"/>
      <c r="G65" s="1887"/>
      <c r="H65" s="1887"/>
      <c r="I65" s="1887"/>
      <c r="J65" s="1887"/>
      <c r="K65" s="1887"/>
      <c r="L65" s="1887"/>
      <c r="M65" s="1887"/>
      <c r="N65" s="1887"/>
      <c r="O65" s="1887"/>
      <c r="P65" s="1887"/>
      <c r="Q65" s="1887"/>
      <c r="R65" s="1887"/>
      <c r="S65" s="1887"/>
      <c r="T65" s="1887"/>
      <c r="U65" s="1887"/>
      <c r="V65" s="1887"/>
      <c r="W65" s="1887"/>
      <c r="X65" s="1887"/>
      <c r="Y65" s="1887"/>
      <c r="Z65" s="1887"/>
      <c r="AA65" s="1887"/>
      <c r="AB65" s="1887"/>
      <c r="AC65" s="1887"/>
      <c r="AD65" s="1887"/>
      <c r="AE65" s="1887"/>
      <c r="AF65" s="1887"/>
      <c r="AG65" s="1887"/>
      <c r="AH65" s="1887"/>
      <c r="AI65" s="1887"/>
      <c r="AJ65" s="1888"/>
      <c r="AK65" s="578"/>
      <c r="AL65" s="575"/>
      <c r="AM65" s="575"/>
      <c r="AN65" s="570"/>
      <c r="AO65" s="571">
        <f>IF(SUM(AO62:AO64)&gt;10,10,(SUM(AO62:AO64)))</f>
        <v>10</v>
      </c>
      <c r="AP65" s="609" t="s">
        <v>1488</v>
      </c>
    </row>
    <row r="66" spans="1:42" s="571" customFormat="1" ht="12.75" customHeight="1">
      <c r="A66" s="573"/>
      <c r="B66" s="575"/>
      <c r="C66" s="575"/>
      <c r="D66" s="586"/>
      <c r="E66" s="1889"/>
      <c r="F66" s="1890"/>
      <c r="G66" s="1890"/>
      <c r="H66" s="1890"/>
      <c r="I66" s="1890"/>
      <c r="J66" s="1890"/>
      <c r="K66" s="1890"/>
      <c r="L66" s="1890"/>
      <c r="M66" s="1890"/>
      <c r="N66" s="1890"/>
      <c r="O66" s="1890"/>
      <c r="P66" s="1890"/>
      <c r="Q66" s="1890"/>
      <c r="R66" s="1890"/>
      <c r="S66" s="1890"/>
      <c r="T66" s="1890"/>
      <c r="U66" s="1890"/>
      <c r="V66" s="1890"/>
      <c r="W66" s="1890"/>
      <c r="X66" s="1890"/>
      <c r="Y66" s="1890"/>
      <c r="Z66" s="1890"/>
      <c r="AA66" s="1890"/>
      <c r="AB66" s="1890"/>
      <c r="AC66" s="1890"/>
      <c r="AD66" s="1890"/>
      <c r="AE66" s="1890"/>
      <c r="AF66" s="1890"/>
      <c r="AG66" s="1890"/>
      <c r="AH66" s="1890"/>
      <c r="AI66" s="1890"/>
      <c r="AJ66" s="1891"/>
      <c r="AK66" s="578"/>
      <c r="AL66" s="575"/>
      <c r="AM66" s="575"/>
      <c r="AN66" s="570"/>
    </row>
    <row r="67" spans="1:42" s="571" customFormat="1" ht="12.75" customHeight="1">
      <c r="A67" s="573"/>
      <c r="B67" s="575"/>
      <c r="C67" s="575"/>
      <c r="E67" s="575"/>
      <c r="F67" s="575"/>
      <c r="G67" s="575"/>
      <c r="H67" s="575"/>
      <c r="I67" s="575"/>
      <c r="J67" s="575"/>
      <c r="K67" s="575"/>
      <c r="L67" s="575"/>
      <c r="M67" s="575"/>
      <c r="N67" s="575"/>
      <c r="O67" s="575"/>
      <c r="P67" s="575"/>
      <c r="Q67" s="575"/>
      <c r="R67" s="575"/>
      <c r="S67" s="575"/>
      <c r="T67" s="575"/>
      <c r="U67" s="575"/>
      <c r="V67" s="575"/>
      <c r="W67" s="575"/>
      <c r="X67" s="575"/>
      <c r="Y67" s="575"/>
      <c r="Z67" s="575"/>
      <c r="AA67" s="575"/>
      <c r="AB67" s="575"/>
      <c r="AC67" s="575"/>
      <c r="AD67" s="575"/>
      <c r="AE67" s="575"/>
      <c r="AF67" s="575"/>
      <c r="AG67" s="575"/>
      <c r="AH67" s="575"/>
      <c r="AI67" s="575"/>
      <c r="AJ67" s="575"/>
      <c r="AK67" s="578"/>
      <c r="AL67" s="575"/>
      <c r="AM67" s="575"/>
      <c r="AN67" s="570"/>
    </row>
    <row r="68" spans="1:42" s="571" customFormat="1" ht="12.75" customHeight="1">
      <c r="A68" s="573"/>
      <c r="B68" s="1872" t="s">
        <v>600</v>
      </c>
      <c r="C68" s="1872"/>
      <c r="D68" s="582" t="s">
        <v>1489</v>
      </c>
      <c r="E68" s="1008" t="s">
        <v>1984</v>
      </c>
      <c r="F68" s="1009"/>
      <c r="G68" s="1009"/>
      <c r="H68" s="1009"/>
      <c r="I68" s="1009"/>
      <c r="J68" s="1009"/>
      <c r="K68" s="1009"/>
      <c r="L68" s="1009"/>
      <c r="M68" s="1009"/>
      <c r="N68" s="1009"/>
      <c r="O68" s="1009"/>
      <c r="P68" s="1009"/>
      <c r="Q68" s="1009"/>
      <c r="R68" s="1009"/>
      <c r="S68" s="1009"/>
      <c r="T68" s="1009"/>
      <c r="U68" s="1009"/>
      <c r="V68" s="1009"/>
      <c r="W68" s="1009"/>
      <c r="X68" s="1009"/>
      <c r="Y68" s="1009"/>
      <c r="Z68" s="1009"/>
      <c r="AA68" s="1009"/>
      <c r="AB68" s="1009"/>
      <c r="AC68" s="1009"/>
      <c r="AD68" s="1009"/>
      <c r="AE68" s="1009"/>
      <c r="AF68" s="1009"/>
      <c r="AG68" s="1009"/>
      <c r="AH68" s="1009"/>
      <c r="AI68" s="1009"/>
      <c r="AJ68" s="1010"/>
      <c r="AK68" s="578"/>
      <c r="AL68" s="575"/>
      <c r="AM68" s="575"/>
      <c r="AN68" s="570"/>
    </row>
    <row r="69" spans="1:42" s="571" customFormat="1" ht="12.75" customHeight="1">
      <c r="A69" s="573"/>
      <c r="B69" s="575"/>
      <c r="C69" s="575"/>
      <c r="D69" s="585"/>
      <c r="E69" s="1892" t="s">
        <v>600</v>
      </c>
      <c r="F69" s="1872"/>
      <c r="G69" s="610"/>
      <c r="H69" s="593" t="s">
        <v>1490</v>
      </c>
      <c r="I69" s="945"/>
      <c r="J69" s="610"/>
      <c r="K69" s="610"/>
      <c r="L69" s="610"/>
      <c r="M69" s="610"/>
      <c r="N69" s="610"/>
      <c r="O69" s="610"/>
      <c r="P69" s="610"/>
      <c r="Q69" s="610"/>
      <c r="R69" s="610"/>
      <c r="S69" s="610"/>
      <c r="T69" s="610"/>
      <c r="U69" s="610"/>
      <c r="V69" s="610"/>
      <c r="W69" s="610"/>
      <c r="X69" s="610"/>
      <c r="Y69" s="610"/>
      <c r="Z69" s="610"/>
      <c r="AA69" s="610"/>
      <c r="AB69" s="610"/>
      <c r="AC69" s="610"/>
      <c r="AD69" s="610"/>
      <c r="AE69" s="610"/>
      <c r="AF69" s="610"/>
      <c r="AG69" s="610"/>
      <c r="AH69" s="610"/>
      <c r="AI69" s="610"/>
      <c r="AJ69" s="1011"/>
      <c r="AK69" s="578"/>
      <c r="AL69" s="575"/>
      <c r="AM69" s="575"/>
      <c r="AN69" s="570"/>
    </row>
    <row r="70" spans="1:42" s="571" customFormat="1" ht="12.75" customHeight="1">
      <c r="A70" s="573"/>
      <c r="B70" s="575"/>
      <c r="C70" s="575"/>
      <c r="D70" s="585"/>
      <c r="E70" s="1870" t="s">
        <v>600</v>
      </c>
      <c r="F70" s="1871"/>
      <c r="G70" s="610"/>
      <c r="H70" s="593" t="s">
        <v>1491</v>
      </c>
      <c r="I70" s="610"/>
      <c r="J70" s="610"/>
      <c r="K70" s="610"/>
      <c r="L70" s="610"/>
      <c r="M70" s="610"/>
      <c r="N70" s="610"/>
      <c r="O70" s="610"/>
      <c r="P70" s="610"/>
      <c r="Q70" s="610"/>
      <c r="R70" s="610"/>
      <c r="S70" s="610"/>
      <c r="T70" s="610"/>
      <c r="U70" s="610"/>
      <c r="V70" s="610"/>
      <c r="W70" s="610"/>
      <c r="X70" s="610"/>
      <c r="Y70" s="610"/>
      <c r="Z70" s="610"/>
      <c r="AA70" s="610"/>
      <c r="AB70" s="610"/>
      <c r="AC70" s="610"/>
      <c r="AD70" s="610"/>
      <c r="AE70" s="610"/>
      <c r="AF70" s="610"/>
      <c r="AG70" s="610"/>
      <c r="AH70" s="610"/>
      <c r="AI70" s="610"/>
      <c r="AJ70" s="1011"/>
      <c r="AK70" s="578"/>
      <c r="AL70" s="575"/>
      <c r="AM70" s="575"/>
      <c r="AN70" s="570"/>
    </row>
    <row r="71" spans="1:42" s="571" customFormat="1" ht="12.75" customHeight="1">
      <c r="A71" s="573"/>
      <c r="B71" s="575"/>
      <c r="C71" s="575"/>
      <c r="D71" s="585"/>
      <c r="E71" s="1870" t="s">
        <v>600</v>
      </c>
      <c r="F71" s="1871"/>
      <c r="G71" s="610"/>
      <c r="H71" s="593" t="s">
        <v>1999</v>
      </c>
      <c r="I71" s="610"/>
      <c r="J71" s="610"/>
      <c r="K71" s="610"/>
      <c r="L71" s="610"/>
      <c r="M71" s="610"/>
      <c r="N71" s="610"/>
      <c r="O71" s="610"/>
      <c r="P71" s="610"/>
      <c r="Q71" s="610"/>
      <c r="R71" s="610"/>
      <c r="S71" s="610"/>
      <c r="T71" s="610"/>
      <c r="U71" s="610"/>
      <c r="V71" s="610"/>
      <c r="W71" s="610"/>
      <c r="X71" s="610"/>
      <c r="Y71" s="610"/>
      <c r="Z71" s="610"/>
      <c r="AA71" s="610"/>
      <c r="AB71" s="610"/>
      <c r="AC71" s="610"/>
      <c r="AD71" s="610"/>
      <c r="AE71" s="610"/>
      <c r="AF71" s="610"/>
      <c r="AG71" s="610"/>
      <c r="AH71" s="610"/>
      <c r="AI71" s="610"/>
      <c r="AJ71" s="1011"/>
      <c r="AK71" s="578"/>
      <c r="AL71" s="575"/>
      <c r="AM71" s="575"/>
      <c r="AN71" s="570"/>
    </row>
    <row r="72" spans="1:42" s="571" customFormat="1" ht="12.75" customHeight="1">
      <c r="A72" s="573"/>
      <c r="B72" s="575"/>
      <c r="C72" s="575"/>
      <c r="D72" s="585"/>
      <c r="E72" s="691"/>
      <c r="F72" s="610"/>
      <c r="G72" s="610"/>
      <c r="H72" s="610"/>
      <c r="I72" s="610"/>
      <c r="J72" s="610"/>
      <c r="K72" s="610"/>
      <c r="L72" s="610"/>
      <c r="M72" s="610"/>
      <c r="N72" s="610"/>
      <c r="O72" s="610"/>
      <c r="P72" s="610"/>
      <c r="Q72" s="610"/>
      <c r="R72" s="610"/>
      <c r="S72" s="610"/>
      <c r="T72" s="610"/>
      <c r="U72" s="610"/>
      <c r="V72" s="610"/>
      <c r="W72" s="610"/>
      <c r="X72" s="610"/>
      <c r="Y72" s="610"/>
      <c r="Z72" s="610"/>
      <c r="AA72" s="610"/>
      <c r="AB72" s="610"/>
      <c r="AC72" s="610"/>
      <c r="AD72" s="610"/>
      <c r="AE72" s="610"/>
      <c r="AF72" s="610"/>
      <c r="AG72" s="610"/>
      <c r="AH72" s="610"/>
      <c r="AI72" s="610"/>
      <c r="AJ72" s="1011"/>
      <c r="AK72" s="578"/>
      <c r="AL72" s="575"/>
      <c r="AM72" s="575"/>
      <c r="AN72" s="570"/>
    </row>
    <row r="73" spans="1:42" s="571" customFormat="1" ht="12.75" customHeight="1">
      <c r="A73" s="573"/>
      <c r="B73" s="575"/>
      <c r="C73" s="575"/>
      <c r="D73" s="585"/>
      <c r="E73" s="1892" t="s">
        <v>600</v>
      </c>
      <c r="F73" s="1872"/>
      <c r="G73" s="943"/>
      <c r="H73" s="1013" t="s">
        <v>1998</v>
      </c>
      <c r="I73" s="943"/>
      <c r="J73" s="943"/>
      <c r="K73" s="943"/>
      <c r="L73" s="943"/>
      <c r="M73" s="943"/>
      <c r="N73" s="943"/>
      <c r="O73" s="943"/>
      <c r="P73" s="943"/>
      <c r="Q73" s="943"/>
      <c r="R73" s="943"/>
      <c r="S73" s="943"/>
      <c r="T73" s="943"/>
      <c r="U73" s="943"/>
      <c r="V73" s="943"/>
      <c r="W73" s="943"/>
      <c r="X73" s="943"/>
      <c r="Y73" s="943"/>
      <c r="Z73" s="943"/>
      <c r="AA73" s="943"/>
      <c r="AB73" s="943"/>
      <c r="AC73" s="943"/>
      <c r="AD73" s="943"/>
      <c r="AE73" s="943"/>
      <c r="AF73" s="943"/>
      <c r="AG73" s="943"/>
      <c r="AH73" s="943"/>
      <c r="AI73" s="943"/>
      <c r="AJ73" s="944"/>
      <c r="AK73" s="578"/>
      <c r="AL73" s="575"/>
      <c r="AM73" s="575"/>
      <c r="AN73" s="570"/>
    </row>
    <row r="74" spans="1:42" s="571" customFormat="1" ht="12.75" customHeight="1">
      <c r="A74" s="573"/>
      <c r="B74" s="575"/>
      <c r="C74" s="575"/>
      <c r="D74" s="586"/>
      <c r="E74" s="575"/>
      <c r="F74" s="575"/>
      <c r="G74" s="575"/>
      <c r="H74" s="575"/>
      <c r="I74" s="575"/>
      <c r="J74" s="575"/>
      <c r="K74" s="575"/>
      <c r="L74" s="575"/>
      <c r="M74" s="575"/>
      <c r="N74" s="575"/>
      <c r="O74" s="575"/>
      <c r="P74" s="575"/>
      <c r="Q74" s="575"/>
      <c r="R74" s="575"/>
      <c r="S74" s="575"/>
      <c r="T74" s="575"/>
      <c r="U74" s="575"/>
      <c r="V74" s="575"/>
      <c r="W74" s="575"/>
      <c r="X74" s="575"/>
      <c r="Y74" s="575"/>
      <c r="Z74" s="575"/>
      <c r="AA74" s="575"/>
      <c r="AB74" s="575"/>
      <c r="AC74" s="575"/>
      <c r="AD74" s="575"/>
      <c r="AE74" s="575"/>
      <c r="AF74" s="575"/>
      <c r="AG74" s="575"/>
      <c r="AH74" s="575"/>
      <c r="AI74" s="575"/>
      <c r="AJ74" s="575"/>
      <c r="AK74" s="578"/>
      <c r="AL74" s="575"/>
      <c r="AM74" s="575"/>
      <c r="AN74" s="570"/>
    </row>
    <row r="75" spans="1:42" s="571" customFormat="1" ht="12.75" customHeight="1">
      <c r="A75" s="573"/>
      <c r="B75" s="1872" t="s">
        <v>554</v>
      </c>
      <c r="C75" s="1872"/>
      <c r="D75" s="582" t="s">
        <v>1492</v>
      </c>
      <c r="E75" s="1873" t="s">
        <v>2000</v>
      </c>
      <c r="F75" s="1874"/>
      <c r="G75" s="1874"/>
      <c r="H75" s="1874"/>
      <c r="I75" s="1874"/>
      <c r="J75" s="1874"/>
      <c r="K75" s="1874"/>
      <c r="L75" s="1874"/>
      <c r="M75" s="1874"/>
      <c r="N75" s="1874"/>
      <c r="O75" s="1874"/>
      <c r="P75" s="1874"/>
      <c r="Q75" s="1874"/>
      <c r="R75" s="1874"/>
      <c r="S75" s="1874"/>
      <c r="T75" s="1874"/>
      <c r="U75" s="1874"/>
      <c r="V75" s="1874"/>
      <c r="W75" s="1874"/>
      <c r="X75" s="1874"/>
      <c r="Y75" s="1874"/>
      <c r="Z75" s="1874"/>
      <c r="AA75" s="1874"/>
      <c r="AB75" s="1874"/>
      <c r="AC75" s="1874"/>
      <c r="AD75" s="1874"/>
      <c r="AE75" s="1874"/>
      <c r="AF75" s="1874"/>
      <c r="AG75" s="1874"/>
      <c r="AH75" s="1874"/>
      <c r="AI75" s="1874"/>
      <c r="AJ75" s="1875"/>
      <c r="AK75" s="578"/>
      <c r="AL75" s="575"/>
      <c r="AM75" s="575"/>
      <c r="AN75" s="570"/>
    </row>
    <row r="76" spans="1:42" s="571" customFormat="1" ht="12.75" customHeight="1">
      <c r="A76" s="573"/>
      <c r="B76" s="575"/>
      <c r="C76" s="575"/>
      <c r="D76" s="585"/>
      <c r="E76" s="1876"/>
      <c r="F76" s="1877"/>
      <c r="G76" s="1877"/>
      <c r="H76" s="1877"/>
      <c r="I76" s="1877"/>
      <c r="J76" s="1877"/>
      <c r="K76" s="1877"/>
      <c r="L76" s="1877"/>
      <c r="M76" s="1877"/>
      <c r="N76" s="1877"/>
      <c r="O76" s="1877"/>
      <c r="P76" s="1877"/>
      <c r="Q76" s="1877"/>
      <c r="R76" s="1877"/>
      <c r="S76" s="1877"/>
      <c r="T76" s="1877"/>
      <c r="U76" s="1877"/>
      <c r="V76" s="1877"/>
      <c r="W76" s="1877"/>
      <c r="X76" s="1877"/>
      <c r="Y76" s="1877"/>
      <c r="Z76" s="1877"/>
      <c r="AA76" s="1877"/>
      <c r="AB76" s="1877"/>
      <c r="AC76" s="1877"/>
      <c r="AD76" s="1877"/>
      <c r="AE76" s="1877"/>
      <c r="AF76" s="1877"/>
      <c r="AG76" s="1877"/>
      <c r="AH76" s="1877"/>
      <c r="AI76" s="1877"/>
      <c r="AJ76" s="1878"/>
      <c r="AK76" s="578"/>
      <c r="AL76" s="575"/>
      <c r="AM76" s="575"/>
      <c r="AN76" s="570"/>
    </row>
    <row r="77" spans="1:42" s="571" customFormat="1" ht="12.75" customHeight="1">
      <c r="A77" s="573"/>
      <c r="B77" s="575"/>
      <c r="C77" s="575"/>
      <c r="D77" s="585"/>
      <c r="E77" s="575"/>
      <c r="F77" s="575"/>
      <c r="G77" s="575"/>
      <c r="H77" s="575"/>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575"/>
      <c r="AK77" s="578"/>
      <c r="AL77" s="575"/>
      <c r="AM77" s="575"/>
      <c r="AN77" s="570"/>
    </row>
    <row r="78" spans="1:42" s="571" customFormat="1" ht="12.75" customHeight="1">
      <c r="A78" s="596"/>
      <c r="B78" s="597"/>
      <c r="C78" s="597"/>
      <c r="D78" s="597"/>
      <c r="E78" s="597"/>
      <c r="F78" s="597"/>
      <c r="G78" s="598"/>
      <c r="H78" s="599"/>
      <c r="I78" s="599"/>
      <c r="J78" s="599"/>
      <c r="K78" s="599"/>
      <c r="L78" s="599"/>
      <c r="M78" s="599"/>
      <c r="N78" s="599"/>
      <c r="O78" s="599"/>
      <c r="P78" s="599"/>
      <c r="Q78" s="599"/>
      <c r="R78" s="599"/>
      <c r="S78" s="599"/>
      <c r="T78" s="599"/>
      <c r="U78" s="599"/>
      <c r="V78" s="599"/>
      <c r="W78" s="599"/>
      <c r="X78" s="599"/>
      <c r="Y78" s="599"/>
      <c r="Z78" s="599"/>
      <c r="AA78" s="599"/>
      <c r="AB78" s="599"/>
      <c r="AC78" s="599"/>
      <c r="AD78" s="599"/>
      <c r="AE78" s="599"/>
      <c r="AF78" s="599"/>
      <c r="AG78" s="599"/>
      <c r="AH78" s="599"/>
      <c r="AI78" s="600"/>
      <c r="AJ78" s="600" t="s">
        <v>1493</v>
      </c>
      <c r="AK78" s="1902">
        <f>IF(AK56&gt;0,0,AO65)</f>
        <v>10</v>
      </c>
      <c r="AL78" s="1903"/>
      <c r="AM78" s="1904"/>
      <c r="AN78" s="570"/>
    </row>
    <row r="79" spans="1:42" s="571" customFormat="1" ht="12.75" customHeight="1" thickBot="1">
      <c r="A79" s="601"/>
      <c r="B79" s="602"/>
      <c r="C79" s="603"/>
      <c r="D79" s="603"/>
      <c r="E79" s="603"/>
      <c r="F79" s="603"/>
      <c r="G79" s="603"/>
      <c r="H79" s="603"/>
      <c r="I79" s="603"/>
      <c r="J79" s="603"/>
      <c r="K79" s="603"/>
      <c r="L79" s="603"/>
      <c r="M79" s="603"/>
      <c r="N79" s="603"/>
      <c r="O79" s="603"/>
      <c r="P79" s="603"/>
      <c r="Q79" s="603"/>
      <c r="R79" s="603"/>
      <c r="S79" s="603"/>
      <c r="T79" s="603"/>
      <c r="U79" s="603"/>
      <c r="V79" s="603"/>
      <c r="W79" s="603"/>
      <c r="X79" s="603"/>
      <c r="Y79" s="603"/>
      <c r="Z79" s="603"/>
      <c r="AA79" s="603"/>
      <c r="AB79" s="603"/>
      <c r="AC79" s="603"/>
      <c r="AD79" s="603"/>
      <c r="AE79" s="603"/>
      <c r="AF79" s="603"/>
      <c r="AG79" s="603"/>
      <c r="AH79" s="603"/>
      <c r="AI79" s="603"/>
      <c r="AJ79" s="603"/>
      <c r="AK79" s="603"/>
      <c r="AL79" s="603"/>
      <c r="AM79" s="604"/>
      <c r="AN79" s="570"/>
    </row>
    <row r="80" spans="1:42" s="571" customFormat="1" ht="12.75" customHeight="1" thickTop="1">
      <c r="A80" s="605"/>
      <c r="B80" s="606"/>
      <c r="C80" s="607"/>
      <c r="D80" s="607"/>
      <c r="E80" s="607"/>
      <c r="F80" s="607"/>
      <c r="G80" s="607"/>
      <c r="H80" s="607"/>
      <c r="I80" s="608"/>
      <c r="J80" s="608"/>
      <c r="K80" s="608"/>
      <c r="L80" s="608"/>
      <c r="M80" s="608"/>
      <c r="N80" s="608"/>
      <c r="O80" s="608"/>
      <c r="P80" s="608"/>
      <c r="Q80" s="608"/>
      <c r="R80" s="605"/>
      <c r="S80" s="574"/>
      <c r="T80" s="574"/>
      <c r="U80" s="574"/>
      <c r="V80" s="574"/>
      <c r="W80" s="574"/>
      <c r="X80" s="574"/>
      <c r="Y80" s="574"/>
      <c r="Z80" s="574"/>
      <c r="AA80" s="574"/>
      <c r="AB80" s="574"/>
      <c r="AC80" s="574"/>
      <c r="AD80" s="574"/>
      <c r="AE80" s="574"/>
      <c r="AF80" s="605"/>
      <c r="AG80" s="574"/>
      <c r="AH80" s="574"/>
      <c r="AI80" s="574"/>
      <c r="AJ80" s="574"/>
      <c r="AK80" s="585"/>
      <c r="AL80" s="585"/>
      <c r="AM80" s="585"/>
      <c r="AN80" s="570"/>
    </row>
    <row r="81" spans="1:43" s="571" customFormat="1" ht="12.75" customHeight="1">
      <c r="A81" s="573" t="s">
        <v>1494</v>
      </c>
      <c r="B81" s="574" t="s">
        <v>1495</v>
      </c>
      <c r="C81" s="574"/>
      <c r="D81" s="574"/>
      <c r="E81" s="574"/>
      <c r="F81" s="574"/>
      <c r="G81" s="574"/>
      <c r="H81" s="574"/>
      <c r="I81" s="574"/>
      <c r="J81" s="574"/>
      <c r="K81" s="574"/>
      <c r="L81" s="574"/>
      <c r="M81" s="574"/>
      <c r="N81" s="574"/>
      <c r="O81" s="574"/>
      <c r="P81" s="574"/>
      <c r="Q81" s="574"/>
      <c r="R81" s="574"/>
      <c r="S81" s="574"/>
      <c r="T81" s="574"/>
      <c r="U81" s="574"/>
      <c r="V81" s="574"/>
      <c r="W81" s="574"/>
      <c r="X81" s="574"/>
      <c r="Y81" s="574"/>
      <c r="Z81" s="574"/>
      <c r="AA81" s="574"/>
      <c r="AB81" s="574"/>
      <c r="AC81" s="574"/>
      <c r="AD81" s="574"/>
      <c r="AE81" s="1882" t="s">
        <v>1477</v>
      </c>
      <c r="AF81" s="1882"/>
      <c r="AG81" s="1882"/>
      <c r="AH81" s="1882"/>
      <c r="AI81" s="1882"/>
      <c r="AJ81" s="1882"/>
      <c r="AK81" s="1882"/>
      <c r="AL81" s="575"/>
      <c r="AM81" s="575"/>
      <c r="AN81" s="570"/>
    </row>
    <row r="82" spans="1:43" s="571" customFormat="1" ht="12.75" customHeight="1">
      <c r="A82" s="573"/>
      <c r="B82" s="574" t="s">
        <v>1496</v>
      </c>
      <c r="C82" s="574"/>
      <c r="D82" s="574"/>
      <c r="E82" s="574"/>
      <c r="F82" s="574"/>
      <c r="G82" s="574"/>
      <c r="H82" s="574"/>
      <c r="I82" s="574"/>
      <c r="J82" s="574"/>
      <c r="K82" s="574"/>
      <c r="L82" s="574"/>
      <c r="M82" s="574"/>
      <c r="N82" s="574"/>
      <c r="O82" s="574"/>
      <c r="P82" s="574"/>
      <c r="Q82" s="574"/>
      <c r="R82" s="574"/>
      <c r="S82" s="574"/>
      <c r="T82" s="574"/>
      <c r="U82" s="574"/>
      <c r="V82" s="574"/>
      <c r="W82" s="574"/>
      <c r="X82" s="574"/>
      <c r="Y82" s="574"/>
      <c r="Z82" s="574"/>
      <c r="AA82" s="574"/>
      <c r="AB82" s="574"/>
      <c r="AC82" s="574"/>
      <c r="AD82" s="574"/>
      <c r="AE82" s="578"/>
      <c r="AF82" s="578"/>
      <c r="AG82" s="578"/>
      <c r="AH82" s="578"/>
      <c r="AI82" s="578"/>
      <c r="AJ82" s="578"/>
      <c r="AK82" s="578"/>
      <c r="AL82" s="575"/>
      <c r="AM82" s="575"/>
      <c r="AN82" s="570"/>
    </row>
    <row r="83" spans="1:43" s="571" customFormat="1" ht="12.75" customHeight="1">
      <c r="A83" s="573"/>
      <c r="B83" s="574"/>
      <c r="C83" s="574"/>
      <c r="D83" s="574"/>
      <c r="E83" s="574"/>
      <c r="F83" s="574"/>
      <c r="G83" s="574"/>
      <c r="H83" s="574"/>
      <c r="I83" s="574"/>
      <c r="J83" s="574"/>
      <c r="K83" s="574"/>
      <c r="L83" s="574"/>
      <c r="M83" s="574"/>
      <c r="N83" s="574"/>
      <c r="O83" s="574"/>
      <c r="P83" s="574"/>
      <c r="Q83" s="574"/>
      <c r="R83" s="574"/>
      <c r="S83" s="574"/>
      <c r="T83" s="574"/>
      <c r="U83" s="574"/>
      <c r="V83" s="574"/>
      <c r="W83" s="574"/>
      <c r="X83" s="574"/>
      <c r="Y83" s="574"/>
      <c r="Z83" s="574"/>
      <c r="AA83" s="574"/>
      <c r="AB83" s="574"/>
      <c r="AC83" s="574"/>
      <c r="AD83" s="574"/>
      <c r="AE83" s="578"/>
      <c r="AF83" s="578"/>
      <c r="AG83" s="578"/>
      <c r="AH83" s="578"/>
      <c r="AI83" s="578"/>
      <c r="AJ83" s="578"/>
      <c r="AK83" s="578"/>
      <c r="AL83" s="575"/>
      <c r="AM83" s="575"/>
      <c r="AN83" s="570"/>
    </row>
    <row r="84" spans="1:43" s="571" customFormat="1" ht="12.75" customHeight="1">
      <c r="A84" s="573"/>
      <c r="B84" s="1872" t="s">
        <v>600</v>
      </c>
      <c r="C84" s="1872"/>
      <c r="D84" s="582" t="s">
        <v>1487</v>
      </c>
      <c r="E84" s="1883" t="s">
        <v>1497</v>
      </c>
      <c r="F84" s="1884"/>
      <c r="G84" s="1884"/>
      <c r="H84" s="1884"/>
      <c r="I84" s="1884"/>
      <c r="J84" s="1884"/>
      <c r="K84" s="1884"/>
      <c r="L84" s="1884"/>
      <c r="M84" s="1884"/>
      <c r="N84" s="1884"/>
      <c r="O84" s="1884"/>
      <c r="P84" s="1884"/>
      <c r="Q84" s="1884"/>
      <c r="R84" s="1884"/>
      <c r="S84" s="1884"/>
      <c r="T84" s="1884"/>
      <c r="U84" s="1884"/>
      <c r="V84" s="1884"/>
      <c r="W84" s="1884"/>
      <c r="X84" s="1884"/>
      <c r="Y84" s="1884"/>
      <c r="Z84" s="1884"/>
      <c r="AA84" s="1884"/>
      <c r="AB84" s="1884"/>
      <c r="AC84" s="1884"/>
      <c r="AD84" s="1884"/>
      <c r="AE84" s="1884"/>
      <c r="AF84" s="1884"/>
      <c r="AG84" s="1884"/>
      <c r="AH84" s="1884"/>
      <c r="AI84" s="1884"/>
      <c r="AJ84" s="1885"/>
      <c r="AK84" s="578"/>
      <c r="AL84" s="575"/>
      <c r="AM84" s="575"/>
      <c r="AN84" s="570"/>
    </row>
    <row r="85" spans="1:43" s="571" customFormat="1" ht="12.75" customHeight="1">
      <c r="A85" s="573"/>
      <c r="B85" s="574"/>
      <c r="C85" s="574"/>
      <c r="D85" s="574"/>
      <c r="E85" s="1886"/>
      <c r="F85" s="1887"/>
      <c r="G85" s="1887"/>
      <c r="H85" s="1887"/>
      <c r="I85" s="1887"/>
      <c r="J85" s="1887"/>
      <c r="K85" s="1887"/>
      <c r="L85" s="1887"/>
      <c r="M85" s="1887"/>
      <c r="N85" s="1887"/>
      <c r="O85" s="1887"/>
      <c r="P85" s="1887"/>
      <c r="Q85" s="1887"/>
      <c r="R85" s="1887"/>
      <c r="S85" s="1887"/>
      <c r="T85" s="1887"/>
      <c r="U85" s="1887"/>
      <c r="V85" s="1887"/>
      <c r="W85" s="1887"/>
      <c r="X85" s="1887"/>
      <c r="Y85" s="1887"/>
      <c r="Z85" s="1887"/>
      <c r="AA85" s="1887"/>
      <c r="AB85" s="1887"/>
      <c r="AC85" s="1887"/>
      <c r="AD85" s="1887"/>
      <c r="AE85" s="1887"/>
      <c r="AF85" s="1887"/>
      <c r="AG85" s="1887"/>
      <c r="AH85" s="1887"/>
      <c r="AI85" s="1887"/>
      <c r="AJ85" s="1888"/>
      <c r="AK85" s="578"/>
      <c r="AL85" s="575"/>
      <c r="AM85" s="575"/>
      <c r="AN85" s="570"/>
    </row>
    <row r="86" spans="1:43" s="571" customFormat="1" ht="12.75" customHeight="1">
      <c r="A86" s="573"/>
      <c r="B86" s="574"/>
      <c r="C86" s="574"/>
      <c r="D86" s="574"/>
      <c r="E86" s="611"/>
      <c r="F86" s="612"/>
      <c r="G86" s="612"/>
      <c r="H86" s="612"/>
      <c r="I86" s="612"/>
      <c r="J86" s="612"/>
      <c r="K86" s="612"/>
      <c r="L86" s="612"/>
      <c r="M86" s="612"/>
      <c r="N86" s="612"/>
      <c r="O86" s="612"/>
      <c r="P86" s="612"/>
      <c r="Q86" s="612"/>
      <c r="R86" s="612"/>
      <c r="S86" s="612"/>
      <c r="T86" s="612"/>
      <c r="U86" s="612"/>
      <c r="V86" s="612"/>
      <c r="W86" s="612"/>
      <c r="X86" s="612"/>
      <c r="Y86" s="612"/>
      <c r="Z86" s="613"/>
      <c r="AA86" s="613"/>
      <c r="AB86" s="613"/>
      <c r="AC86" s="612"/>
      <c r="AD86" s="612"/>
      <c r="AE86" s="612"/>
      <c r="AF86" s="612"/>
      <c r="AG86" s="612"/>
      <c r="AH86" s="612"/>
      <c r="AI86" s="612"/>
      <c r="AJ86" s="614"/>
      <c r="AK86" s="578"/>
      <c r="AL86" s="575"/>
      <c r="AM86" s="575"/>
      <c r="AN86" s="570"/>
    </row>
    <row r="87" spans="1:43" s="571" customFormat="1" ht="12.75" customHeight="1">
      <c r="A87" s="573"/>
      <c r="B87" s="574"/>
      <c r="C87" s="574"/>
      <c r="D87" s="574"/>
      <c r="E87" s="1866">
        <f>Application!AC739</f>
        <v>0.59879518072289151</v>
      </c>
      <c r="F87" s="1867"/>
      <c r="G87" s="1867"/>
      <c r="H87" s="1867"/>
      <c r="I87" s="612"/>
      <c r="J87" s="615" t="s">
        <v>1498</v>
      </c>
      <c r="K87" s="612"/>
      <c r="L87" s="612"/>
      <c r="M87" s="612"/>
      <c r="N87" s="612"/>
      <c r="O87" s="612"/>
      <c r="P87" s="612"/>
      <c r="Q87" s="612"/>
      <c r="R87" s="612"/>
      <c r="S87" s="612"/>
      <c r="T87" s="612"/>
      <c r="U87" s="612"/>
      <c r="V87" s="612"/>
      <c r="W87" s="612"/>
      <c r="X87" s="612"/>
      <c r="Y87" s="612"/>
      <c r="Z87" s="616"/>
      <c r="AA87" s="616"/>
      <c r="AB87" s="616"/>
      <c r="AC87" s="612"/>
      <c r="AD87" s="612"/>
      <c r="AE87" s="612"/>
      <c r="AF87" s="612"/>
      <c r="AG87" s="612"/>
      <c r="AH87" s="612"/>
      <c r="AI87" s="612"/>
      <c r="AJ87" s="614"/>
      <c r="AK87" s="578"/>
      <c r="AL87" s="575"/>
      <c r="AM87" s="575"/>
      <c r="AN87" s="570"/>
    </row>
    <row r="88" spans="1:43" s="571" customFormat="1" ht="12.75" customHeight="1">
      <c r="A88" s="573"/>
      <c r="B88" s="574"/>
      <c r="C88" s="574"/>
      <c r="D88" s="574"/>
      <c r="E88" s="1868">
        <f>0.6-ROUNDUP(E87,2)</f>
        <v>0</v>
      </c>
      <c r="F88" s="1869"/>
      <c r="G88" s="1869"/>
      <c r="H88" s="1869"/>
      <c r="I88" s="612"/>
      <c r="J88" s="615" t="s">
        <v>1499</v>
      </c>
      <c r="K88" s="612"/>
      <c r="L88" s="612"/>
      <c r="M88" s="612"/>
      <c r="N88" s="612"/>
      <c r="O88" s="612"/>
      <c r="P88" s="612"/>
      <c r="Q88" s="612"/>
      <c r="R88" s="612"/>
      <c r="S88" s="612"/>
      <c r="T88" s="612"/>
      <c r="U88" s="612"/>
      <c r="V88" s="612"/>
      <c r="W88" s="612"/>
      <c r="X88" s="612"/>
      <c r="Y88" s="612"/>
      <c r="Z88" s="612"/>
      <c r="AA88" s="612"/>
      <c r="AB88" s="612"/>
      <c r="AC88" s="612"/>
      <c r="AD88" s="612"/>
      <c r="AE88" s="612"/>
      <c r="AF88" s="612"/>
      <c r="AG88" s="612"/>
      <c r="AH88" s="612"/>
      <c r="AI88" s="612"/>
      <c r="AJ88" s="614"/>
      <c r="AK88" s="578"/>
      <c r="AL88" s="575"/>
      <c r="AM88" s="575"/>
      <c r="AN88" s="570"/>
    </row>
    <row r="89" spans="1:43" s="571" customFormat="1" ht="12.75" customHeight="1">
      <c r="A89" s="573"/>
      <c r="B89" s="574"/>
      <c r="C89" s="574"/>
      <c r="D89" s="574"/>
      <c r="E89" s="1896">
        <f>IF(E88*200&gt;20,20,E88*200)</f>
        <v>0</v>
      </c>
      <c r="F89" s="1897"/>
      <c r="G89" s="1897"/>
      <c r="H89" s="1897"/>
      <c r="I89" s="612"/>
      <c r="J89" s="615" t="s">
        <v>1500</v>
      </c>
      <c r="K89" s="612"/>
      <c r="L89" s="612"/>
      <c r="M89" s="612"/>
      <c r="N89" s="612"/>
      <c r="O89" s="612"/>
      <c r="P89" s="612"/>
      <c r="Q89" s="612"/>
      <c r="R89" s="612"/>
      <c r="S89" s="612"/>
      <c r="T89" s="612"/>
      <c r="U89" s="612"/>
      <c r="V89" s="612"/>
      <c r="W89" s="612"/>
      <c r="X89" s="612"/>
      <c r="Y89" s="612"/>
      <c r="Z89" s="612"/>
      <c r="AA89" s="612"/>
      <c r="AB89" s="612"/>
      <c r="AC89" s="612"/>
      <c r="AD89" s="612"/>
      <c r="AE89" s="612"/>
      <c r="AF89" s="612"/>
      <c r="AG89" s="612"/>
      <c r="AH89" s="612"/>
      <c r="AI89" s="612"/>
      <c r="AJ89" s="614"/>
      <c r="AK89" s="578"/>
      <c r="AL89" s="575"/>
      <c r="AM89" s="575"/>
      <c r="AN89" s="570"/>
      <c r="AP89" s="571">
        <f>IF(B84="yes",E89,0)</f>
        <v>0</v>
      </c>
      <c r="AQ89" s="571" t="s">
        <v>1480</v>
      </c>
    </row>
    <row r="90" spans="1:43" s="571" customFormat="1" ht="12.75" customHeight="1">
      <c r="A90" s="573"/>
      <c r="B90" s="574"/>
      <c r="C90" s="574"/>
      <c r="D90" s="574"/>
      <c r="E90" s="617"/>
      <c r="F90" s="618"/>
      <c r="G90" s="618"/>
      <c r="H90" s="618"/>
      <c r="I90" s="618"/>
      <c r="J90" s="618"/>
      <c r="K90" s="618"/>
      <c r="L90" s="618"/>
      <c r="M90" s="618"/>
      <c r="N90" s="618"/>
      <c r="O90" s="618"/>
      <c r="P90" s="618"/>
      <c r="Q90" s="618"/>
      <c r="R90" s="618"/>
      <c r="S90" s="618"/>
      <c r="T90" s="618"/>
      <c r="U90" s="618"/>
      <c r="V90" s="618"/>
      <c r="W90" s="618"/>
      <c r="X90" s="618"/>
      <c r="Y90" s="618"/>
      <c r="Z90" s="618"/>
      <c r="AA90" s="618"/>
      <c r="AB90" s="618"/>
      <c r="AC90" s="618"/>
      <c r="AD90" s="618"/>
      <c r="AE90" s="619"/>
      <c r="AF90" s="619"/>
      <c r="AG90" s="619"/>
      <c r="AH90" s="619"/>
      <c r="AI90" s="619"/>
      <c r="AJ90" s="620"/>
      <c r="AK90" s="578"/>
      <c r="AL90" s="575"/>
      <c r="AM90" s="575"/>
      <c r="AN90" s="570"/>
    </row>
    <row r="91" spans="1:43" s="571" customFormat="1" ht="12.75" customHeight="1">
      <c r="A91" s="573"/>
      <c r="B91" s="574"/>
      <c r="C91" s="574"/>
      <c r="D91" s="574"/>
      <c r="E91" s="574"/>
      <c r="F91" s="574"/>
      <c r="G91" s="574"/>
      <c r="H91" s="574"/>
      <c r="I91" s="574"/>
      <c r="J91" s="574"/>
      <c r="K91" s="574"/>
      <c r="L91" s="574"/>
      <c r="M91" s="574"/>
      <c r="N91" s="574"/>
      <c r="O91" s="574"/>
      <c r="P91" s="574"/>
      <c r="Q91" s="574"/>
      <c r="R91" s="574"/>
      <c r="S91" s="574"/>
      <c r="T91" s="574"/>
      <c r="U91" s="574"/>
      <c r="V91" s="574"/>
      <c r="W91" s="574"/>
      <c r="X91" s="574"/>
      <c r="Y91" s="574"/>
      <c r="Z91" s="574"/>
      <c r="AA91" s="574"/>
      <c r="AB91" s="574"/>
      <c r="AC91" s="574"/>
      <c r="AD91" s="574"/>
      <c r="AE91" s="578"/>
      <c r="AF91" s="578"/>
      <c r="AG91" s="578"/>
      <c r="AH91" s="578"/>
      <c r="AI91" s="578"/>
      <c r="AJ91" s="578"/>
      <c r="AK91" s="578"/>
      <c r="AL91" s="575"/>
      <c r="AM91" s="575"/>
      <c r="AN91" s="570"/>
    </row>
    <row r="92" spans="1:43" s="571" customFormat="1" ht="12.75" customHeight="1">
      <c r="A92" s="573"/>
      <c r="B92" s="1872" t="s">
        <v>554</v>
      </c>
      <c r="C92" s="1872"/>
      <c r="D92" s="582" t="s">
        <v>1489</v>
      </c>
      <c r="E92" s="1883" t="s">
        <v>1985</v>
      </c>
      <c r="F92" s="1884"/>
      <c r="G92" s="1884"/>
      <c r="H92" s="1884"/>
      <c r="I92" s="1884"/>
      <c r="J92" s="1884"/>
      <c r="K92" s="1884"/>
      <c r="L92" s="1884"/>
      <c r="M92" s="1884"/>
      <c r="N92" s="1884"/>
      <c r="O92" s="1884"/>
      <c r="P92" s="1884"/>
      <c r="Q92" s="1884"/>
      <c r="R92" s="1884"/>
      <c r="S92" s="1884"/>
      <c r="T92" s="1884"/>
      <c r="U92" s="1884"/>
      <c r="V92" s="1884"/>
      <c r="W92" s="1884"/>
      <c r="X92" s="1884"/>
      <c r="Y92" s="1884"/>
      <c r="Z92" s="1884"/>
      <c r="AA92" s="1884"/>
      <c r="AB92" s="1884"/>
      <c r="AC92" s="1884"/>
      <c r="AD92" s="1884"/>
      <c r="AE92" s="1884"/>
      <c r="AF92" s="1884"/>
      <c r="AG92" s="1884"/>
      <c r="AH92" s="1884"/>
      <c r="AI92" s="1884"/>
      <c r="AJ92" s="1885"/>
      <c r="AK92" s="578"/>
      <c r="AL92" s="575"/>
      <c r="AM92" s="575"/>
      <c r="AN92" s="570"/>
    </row>
    <row r="93" spans="1:43" s="571" customFormat="1" ht="12.75" customHeight="1">
      <c r="A93" s="573"/>
      <c r="B93" s="574"/>
      <c r="C93" s="574"/>
      <c r="D93" s="574"/>
      <c r="E93" s="1886"/>
      <c r="F93" s="1887"/>
      <c r="G93" s="1887"/>
      <c r="H93" s="1887"/>
      <c r="I93" s="1887"/>
      <c r="J93" s="1887"/>
      <c r="K93" s="1887"/>
      <c r="L93" s="1887"/>
      <c r="M93" s="1887"/>
      <c r="N93" s="1887"/>
      <c r="O93" s="1887"/>
      <c r="P93" s="1887"/>
      <c r="Q93" s="1887"/>
      <c r="R93" s="1887"/>
      <c r="S93" s="1887"/>
      <c r="T93" s="1887"/>
      <c r="U93" s="1887"/>
      <c r="V93" s="1887"/>
      <c r="W93" s="1887"/>
      <c r="X93" s="1887"/>
      <c r="Y93" s="1887"/>
      <c r="Z93" s="1887"/>
      <c r="AA93" s="1887"/>
      <c r="AB93" s="1887"/>
      <c r="AC93" s="1887"/>
      <c r="AD93" s="1887"/>
      <c r="AE93" s="1887"/>
      <c r="AF93" s="1887"/>
      <c r="AG93" s="1887"/>
      <c r="AH93" s="1887"/>
      <c r="AI93" s="1887"/>
      <c r="AJ93" s="1888"/>
      <c r="AK93" s="578"/>
      <c r="AL93" s="575"/>
      <c r="AM93" s="575"/>
      <c r="AN93" s="570"/>
    </row>
    <row r="94" spans="1:43" s="571" customFormat="1" ht="12.75" customHeight="1">
      <c r="A94" s="573"/>
      <c r="B94" s="574"/>
      <c r="C94" s="574"/>
      <c r="D94" s="574"/>
      <c r="E94" s="1886"/>
      <c r="F94" s="1887"/>
      <c r="G94" s="1887"/>
      <c r="H94" s="1887"/>
      <c r="I94" s="1887"/>
      <c r="J94" s="1887"/>
      <c r="K94" s="1887"/>
      <c r="L94" s="1887"/>
      <c r="M94" s="1887"/>
      <c r="N94" s="1887"/>
      <c r="O94" s="1887"/>
      <c r="P94" s="1887"/>
      <c r="Q94" s="1887"/>
      <c r="R94" s="1887"/>
      <c r="S94" s="1887"/>
      <c r="T94" s="1887"/>
      <c r="U94" s="1887"/>
      <c r="V94" s="1887"/>
      <c r="W94" s="1887"/>
      <c r="X94" s="1887"/>
      <c r="Y94" s="1887"/>
      <c r="Z94" s="1887"/>
      <c r="AA94" s="1887"/>
      <c r="AB94" s="1887"/>
      <c r="AC94" s="1887"/>
      <c r="AD94" s="1887"/>
      <c r="AE94" s="1887"/>
      <c r="AF94" s="1887"/>
      <c r="AG94" s="1887"/>
      <c r="AH94" s="1887"/>
      <c r="AI94" s="1887"/>
      <c r="AJ94" s="1888"/>
      <c r="AK94" s="578"/>
      <c r="AL94" s="575"/>
      <c r="AM94" s="575"/>
      <c r="AN94" s="570"/>
    </row>
    <row r="95" spans="1:43" s="571" customFormat="1" ht="12.75" customHeight="1">
      <c r="A95" s="573"/>
      <c r="B95" s="574"/>
      <c r="C95" s="574"/>
      <c r="D95" s="574"/>
      <c r="E95" s="1886"/>
      <c r="F95" s="1887"/>
      <c r="G95" s="1887"/>
      <c r="H95" s="1887"/>
      <c r="I95" s="1887"/>
      <c r="J95" s="1887"/>
      <c r="K95" s="1887"/>
      <c r="L95" s="1887"/>
      <c r="M95" s="1887"/>
      <c r="N95" s="1887"/>
      <c r="O95" s="1887"/>
      <c r="P95" s="1887"/>
      <c r="Q95" s="1887"/>
      <c r="R95" s="1887"/>
      <c r="S95" s="1887"/>
      <c r="T95" s="1887"/>
      <c r="U95" s="1887"/>
      <c r="V95" s="1887"/>
      <c r="W95" s="1887"/>
      <c r="X95" s="1887"/>
      <c r="Y95" s="1887"/>
      <c r="Z95" s="1887"/>
      <c r="AA95" s="1887"/>
      <c r="AB95" s="1887"/>
      <c r="AC95" s="1887"/>
      <c r="AD95" s="1887"/>
      <c r="AE95" s="1887"/>
      <c r="AF95" s="1887"/>
      <c r="AG95" s="1887"/>
      <c r="AH95" s="1887"/>
      <c r="AI95" s="1887"/>
      <c r="AJ95" s="1888"/>
      <c r="AK95" s="578"/>
      <c r="AL95" s="575"/>
      <c r="AM95" s="575"/>
      <c r="AN95" s="570"/>
    </row>
    <row r="96" spans="1:43" s="571" customFormat="1" ht="12.75" customHeight="1">
      <c r="A96" s="573"/>
      <c r="B96" s="574"/>
      <c r="C96" s="574"/>
      <c r="D96" s="574"/>
      <c r="E96" s="621"/>
      <c r="F96" s="588"/>
      <c r="G96" s="588"/>
      <c r="H96" s="588"/>
      <c r="I96" s="588"/>
      <c r="J96" s="588"/>
      <c r="K96" s="588"/>
      <c r="L96" s="588"/>
      <c r="M96" s="588"/>
      <c r="N96" s="588"/>
      <c r="O96" s="588"/>
      <c r="P96" s="588"/>
      <c r="Q96" s="588"/>
      <c r="R96" s="588"/>
      <c r="S96" s="588"/>
      <c r="T96" s="588"/>
      <c r="U96" s="588"/>
      <c r="V96" s="588"/>
      <c r="W96" s="588"/>
      <c r="X96" s="588"/>
      <c r="Y96" s="588"/>
      <c r="Z96" s="588"/>
      <c r="AA96" s="588"/>
      <c r="AB96" s="588"/>
      <c r="AC96" s="588"/>
      <c r="AD96" s="588"/>
      <c r="AE96" s="588"/>
      <c r="AF96" s="588"/>
      <c r="AG96" s="588"/>
      <c r="AH96" s="588"/>
      <c r="AI96" s="588"/>
      <c r="AJ96" s="589"/>
      <c r="AK96" s="578"/>
      <c r="AL96" s="575"/>
      <c r="AM96" s="575"/>
      <c r="AN96" s="570"/>
    </row>
    <row r="97" spans="1:49" s="571" customFormat="1" ht="12.75" customHeight="1">
      <c r="A97" s="573"/>
      <c r="B97" s="574"/>
      <c r="C97" s="574"/>
      <c r="D97" s="574"/>
      <c r="E97" s="1866">
        <f>Application!AC739</f>
        <v>0.59879518072289151</v>
      </c>
      <c r="F97" s="1867"/>
      <c r="G97" s="1867"/>
      <c r="H97" s="1867"/>
      <c r="I97" s="612"/>
      <c r="J97" s="615" t="s">
        <v>1498</v>
      </c>
      <c r="K97" s="612"/>
      <c r="L97" s="612"/>
      <c r="M97" s="612"/>
      <c r="N97" s="612"/>
      <c r="O97" s="612"/>
      <c r="P97" s="612"/>
      <c r="Q97" s="612"/>
      <c r="R97" s="588"/>
      <c r="S97" s="588"/>
      <c r="T97" s="588"/>
      <c r="U97" s="588"/>
      <c r="V97" s="588"/>
      <c r="W97" s="588"/>
      <c r="X97" s="588"/>
      <c r="Y97" s="588"/>
      <c r="Z97" s="588"/>
      <c r="AA97" s="588"/>
      <c r="AB97" s="588"/>
      <c r="AC97" s="588"/>
      <c r="AD97" s="588"/>
      <c r="AE97" s="588"/>
      <c r="AF97" s="588"/>
      <c r="AG97" s="588"/>
      <c r="AH97" s="588"/>
      <c r="AI97" s="588"/>
      <c r="AJ97" s="589"/>
      <c r="AK97" s="578"/>
      <c r="AL97" s="575"/>
      <c r="AM97" s="575"/>
      <c r="AN97" s="570"/>
    </row>
    <row r="98" spans="1:49" s="571" customFormat="1" ht="12.75" customHeight="1">
      <c r="A98" s="573"/>
      <c r="B98" s="574"/>
      <c r="C98" s="574"/>
      <c r="D98" s="574"/>
      <c r="E98" s="1866">
        <f ca="1">SUMIF(Application!AC714:AG738,0.2,Application!G714:J738)/Application!G739+SUMIF(Application!AC714:AG738,0.25,Application!G714:J738)/Application!G739+SUMIF(Application!AC714:AG738,0.3,Application!G714:J738)/Application!G739</f>
        <v>0.10240963855421686</v>
      </c>
      <c r="F98" s="1867"/>
      <c r="G98" s="1867"/>
      <c r="H98" s="1867"/>
      <c r="I98" s="612"/>
      <c r="J98" s="615" t="s">
        <v>1501</v>
      </c>
      <c r="K98" s="612"/>
      <c r="L98" s="612"/>
      <c r="M98" s="612"/>
      <c r="N98" s="612"/>
      <c r="O98" s="612"/>
      <c r="P98" s="612"/>
      <c r="Q98" s="612"/>
      <c r="R98" s="588"/>
      <c r="S98" s="588"/>
      <c r="T98" s="588"/>
      <c r="U98" s="588"/>
      <c r="V98" s="588"/>
      <c r="W98" s="588"/>
      <c r="X98" s="588"/>
      <c r="Y98" s="588"/>
      <c r="Z98" s="588"/>
      <c r="AA98" s="588"/>
      <c r="AB98" s="588"/>
      <c r="AC98" s="588"/>
      <c r="AD98" s="588"/>
      <c r="AE98" s="588"/>
      <c r="AF98" s="588"/>
      <c r="AG98" s="588"/>
      <c r="AH98" s="588"/>
      <c r="AI98" s="588"/>
      <c r="AJ98" s="589"/>
      <c r="AK98" s="578"/>
      <c r="AL98" s="575"/>
      <c r="AM98" s="575"/>
      <c r="AN98" s="570"/>
      <c r="AU98" s="898"/>
    </row>
    <row r="99" spans="1:49" s="571" customFormat="1" ht="12.75" customHeight="1">
      <c r="A99" s="573"/>
      <c r="B99" s="574"/>
      <c r="C99" s="574"/>
      <c r="D99" s="574"/>
      <c r="E99" s="1866">
        <f ca="1">SUMIF(Application!AC714:AG738,0.35,Application!G714:J738)/Application!G739+SUMIF(Application!AC714:AG738,0.4,Application!G714:J738)/Application!G739+SUMIF(Application!AC714:AG738,0.45,Application!G714:J738)/Application!G739+SUMIF(Application!AC714:AG738,0.5,Application!G714:J738)/Application!G739</f>
        <v>0.30120481927710846</v>
      </c>
      <c r="F99" s="1867"/>
      <c r="G99" s="1867"/>
      <c r="H99" s="1867"/>
      <c r="I99" s="612"/>
      <c r="J99" s="615" t="s">
        <v>1502</v>
      </c>
      <c r="K99" s="612"/>
      <c r="L99" s="612"/>
      <c r="M99" s="612"/>
      <c r="N99" s="612"/>
      <c r="O99" s="612"/>
      <c r="P99" s="612"/>
      <c r="Q99" s="612"/>
      <c r="R99" s="588"/>
      <c r="S99" s="588"/>
      <c r="T99" s="588"/>
      <c r="U99" s="588"/>
      <c r="V99" s="588"/>
      <c r="W99" s="588"/>
      <c r="X99" s="588"/>
      <c r="Y99" s="588"/>
      <c r="Z99" s="588"/>
      <c r="AA99" s="588"/>
      <c r="AB99" s="588"/>
      <c r="AC99" s="588"/>
      <c r="AD99" s="588"/>
      <c r="AE99" s="588"/>
      <c r="AF99" s="588"/>
      <c r="AG99" s="588"/>
      <c r="AH99" s="588"/>
      <c r="AI99" s="588"/>
      <c r="AJ99" s="589"/>
      <c r="AK99" s="578"/>
      <c r="AL99" s="575"/>
      <c r="AM99" s="575"/>
      <c r="AN99" s="570"/>
      <c r="AU99" s="898"/>
    </row>
    <row r="100" spans="1:49" s="571" customFormat="1" ht="12.75" customHeight="1">
      <c r="A100" s="573"/>
      <c r="B100" s="574"/>
      <c r="C100" s="574"/>
      <c r="D100" s="574"/>
      <c r="E100" s="1921">
        <f ca="1">IF(AND(E97&lt;=0.6,E98&gt;=0.1,OR(E99&gt;=0.1,E98&gt;=0.2)),20,0)</f>
        <v>20</v>
      </c>
      <c r="F100" s="1922"/>
      <c r="G100" s="1922"/>
      <c r="H100" s="1922"/>
      <c r="I100" s="588"/>
      <c r="J100" s="622" t="s">
        <v>1500</v>
      </c>
      <c r="K100" s="588"/>
      <c r="L100" s="588"/>
      <c r="M100" s="588"/>
      <c r="N100" s="588"/>
      <c r="O100" s="588"/>
      <c r="P100" s="588"/>
      <c r="Q100" s="588"/>
      <c r="R100" s="588"/>
      <c r="S100" s="588"/>
      <c r="T100" s="588"/>
      <c r="U100" s="588"/>
      <c r="V100" s="588"/>
      <c r="W100" s="588"/>
      <c r="X100" s="588"/>
      <c r="Y100" s="588"/>
      <c r="Z100" s="588"/>
      <c r="AA100" s="588"/>
      <c r="AB100" s="588"/>
      <c r="AC100" s="588"/>
      <c r="AD100" s="588"/>
      <c r="AE100" s="588"/>
      <c r="AF100" s="588"/>
      <c r="AG100" s="588"/>
      <c r="AH100" s="588"/>
      <c r="AI100" s="588"/>
      <c r="AJ100" s="589"/>
      <c r="AK100" s="578"/>
      <c r="AL100" s="575"/>
      <c r="AM100" s="575"/>
      <c r="AN100" s="570"/>
      <c r="AP100" s="571">
        <f ca="1">IF(B92="yes",E100,0)</f>
        <v>20</v>
      </c>
      <c r="AQ100" s="571" t="s">
        <v>1480</v>
      </c>
    </row>
    <row r="101" spans="1:49" s="571" customFormat="1" ht="12.75" customHeight="1">
      <c r="A101" s="573"/>
      <c r="B101" s="574"/>
      <c r="C101" s="574"/>
      <c r="D101" s="574"/>
      <c r="E101" s="617"/>
      <c r="F101" s="618"/>
      <c r="G101" s="618"/>
      <c r="H101" s="618"/>
      <c r="I101" s="618"/>
      <c r="J101" s="618"/>
      <c r="K101" s="618"/>
      <c r="L101" s="618"/>
      <c r="M101" s="618"/>
      <c r="N101" s="618"/>
      <c r="O101" s="618"/>
      <c r="P101" s="618"/>
      <c r="Q101" s="618"/>
      <c r="R101" s="618"/>
      <c r="S101" s="618"/>
      <c r="T101" s="618"/>
      <c r="U101" s="618"/>
      <c r="V101" s="618"/>
      <c r="W101" s="618"/>
      <c r="X101" s="618"/>
      <c r="Y101" s="618"/>
      <c r="Z101" s="618"/>
      <c r="AA101" s="618"/>
      <c r="AB101" s="618"/>
      <c r="AC101" s="618"/>
      <c r="AD101" s="618"/>
      <c r="AE101" s="619"/>
      <c r="AF101" s="619"/>
      <c r="AG101" s="619"/>
      <c r="AH101" s="619"/>
      <c r="AI101" s="619"/>
      <c r="AJ101" s="620"/>
      <c r="AK101" s="578"/>
      <c r="AL101" s="575"/>
      <c r="AM101" s="575"/>
      <c r="AN101" s="570"/>
    </row>
    <row r="102" spans="1:49" s="571" customFormat="1" ht="12.75" customHeight="1">
      <c r="A102" s="573"/>
      <c r="B102" s="574"/>
      <c r="C102" s="574"/>
      <c r="D102" s="574"/>
      <c r="E102" s="574"/>
      <c r="F102" s="574"/>
      <c r="G102" s="574"/>
      <c r="H102" s="574"/>
      <c r="I102" s="574"/>
      <c r="J102" s="574"/>
      <c r="K102" s="574"/>
      <c r="L102" s="574"/>
      <c r="M102" s="574"/>
      <c r="N102" s="574"/>
      <c r="O102" s="574"/>
      <c r="P102" s="574"/>
      <c r="Q102" s="574"/>
      <c r="R102" s="574"/>
      <c r="S102" s="574"/>
      <c r="T102" s="574"/>
      <c r="U102" s="574"/>
      <c r="V102" s="574"/>
      <c r="W102" s="574"/>
      <c r="X102" s="574"/>
      <c r="Y102" s="574"/>
      <c r="Z102" s="574"/>
      <c r="AA102" s="574"/>
      <c r="AB102" s="574"/>
      <c r="AC102" s="574"/>
      <c r="AD102" s="574"/>
      <c r="AE102" s="578"/>
      <c r="AF102" s="578"/>
      <c r="AG102" s="578"/>
      <c r="AH102" s="578"/>
      <c r="AI102" s="578"/>
      <c r="AJ102" s="578"/>
      <c r="AK102" s="578"/>
      <c r="AL102" s="575"/>
      <c r="AM102" s="575"/>
      <c r="AN102" s="570"/>
    </row>
    <row r="103" spans="1:49" s="571" customFormat="1" ht="12.75" customHeight="1">
      <c r="A103" s="596"/>
      <c r="B103" s="597"/>
      <c r="C103" s="597"/>
      <c r="D103" s="597"/>
      <c r="E103" s="597"/>
      <c r="F103" s="597"/>
      <c r="G103" s="598"/>
      <c r="H103" s="599"/>
      <c r="I103" s="599"/>
      <c r="J103" s="599"/>
      <c r="K103" s="599"/>
      <c r="L103" s="599"/>
      <c r="M103" s="599"/>
      <c r="N103" s="599"/>
      <c r="O103" s="599"/>
      <c r="P103" s="599"/>
      <c r="Q103" s="599"/>
      <c r="R103" s="599"/>
      <c r="S103" s="599"/>
      <c r="T103" s="599"/>
      <c r="U103" s="599"/>
      <c r="V103" s="599"/>
      <c r="W103" s="599"/>
      <c r="X103" s="599"/>
      <c r="Y103" s="599"/>
      <c r="Z103" s="599"/>
      <c r="AA103" s="599"/>
      <c r="AB103" s="599"/>
      <c r="AC103" s="599"/>
      <c r="AD103" s="599"/>
      <c r="AE103" s="599"/>
      <c r="AF103" s="599"/>
      <c r="AG103" s="599"/>
      <c r="AH103" s="599"/>
      <c r="AI103" s="600"/>
      <c r="AJ103" s="600" t="s">
        <v>1503</v>
      </c>
      <c r="AK103" s="1902">
        <f ca="1">MAX(AP89,AP100)</f>
        <v>20</v>
      </c>
      <c r="AL103" s="1903"/>
      <c r="AM103" s="1904"/>
      <c r="AN103" s="570"/>
    </row>
    <row r="104" spans="1:49" s="571" customFormat="1" ht="12.75" customHeight="1" thickBot="1">
      <c r="A104" s="601"/>
      <c r="B104" s="602"/>
      <c r="C104" s="603"/>
      <c r="D104" s="603"/>
      <c r="E104" s="603"/>
      <c r="F104" s="603"/>
      <c r="G104" s="603"/>
      <c r="H104" s="603"/>
      <c r="I104" s="603"/>
      <c r="J104" s="603"/>
      <c r="K104" s="603"/>
      <c r="L104" s="603"/>
      <c r="M104" s="603"/>
      <c r="N104" s="603"/>
      <c r="O104" s="603"/>
      <c r="P104" s="603"/>
      <c r="Q104" s="603"/>
      <c r="R104" s="603"/>
      <c r="S104" s="603"/>
      <c r="T104" s="603"/>
      <c r="U104" s="603"/>
      <c r="V104" s="603"/>
      <c r="W104" s="603"/>
      <c r="X104" s="603"/>
      <c r="Y104" s="603"/>
      <c r="Z104" s="603"/>
      <c r="AA104" s="603"/>
      <c r="AB104" s="603"/>
      <c r="AC104" s="603"/>
      <c r="AD104" s="603"/>
      <c r="AE104" s="603"/>
      <c r="AF104" s="603"/>
      <c r="AG104" s="603"/>
      <c r="AH104" s="603"/>
      <c r="AI104" s="603"/>
      <c r="AJ104" s="603"/>
      <c r="AK104" s="603"/>
      <c r="AL104" s="603"/>
      <c r="AM104" s="604"/>
      <c r="AN104" s="570"/>
    </row>
    <row r="105" spans="1:49" s="571" customFormat="1" ht="12.75" customHeight="1" thickTop="1">
      <c r="A105" s="605"/>
      <c r="B105" s="606"/>
      <c r="C105" s="607"/>
      <c r="D105" s="607"/>
      <c r="E105" s="607"/>
      <c r="F105" s="607"/>
      <c r="G105" s="607"/>
      <c r="H105" s="607"/>
      <c r="I105" s="608"/>
      <c r="J105" s="608"/>
      <c r="K105" s="608"/>
      <c r="L105" s="608"/>
      <c r="M105" s="608"/>
      <c r="N105" s="608"/>
      <c r="O105" s="608"/>
      <c r="P105" s="608"/>
      <c r="Q105" s="608"/>
      <c r="R105" s="605"/>
      <c r="S105" s="574"/>
      <c r="T105" s="574"/>
      <c r="U105" s="574"/>
      <c r="V105" s="574"/>
      <c r="W105" s="574"/>
      <c r="X105" s="574"/>
      <c r="Y105" s="574"/>
      <c r="Z105" s="574"/>
      <c r="AA105" s="574"/>
      <c r="AB105" s="574"/>
      <c r="AC105" s="574"/>
      <c r="AD105" s="574"/>
      <c r="AE105" s="574"/>
      <c r="AF105" s="605"/>
      <c r="AG105" s="574"/>
      <c r="AH105" s="574"/>
      <c r="AI105" s="574"/>
      <c r="AJ105" s="574"/>
      <c r="AK105" s="585"/>
      <c r="AL105" s="585"/>
      <c r="AM105" s="585"/>
      <c r="AN105" s="570"/>
    </row>
    <row r="106" spans="1:49" s="571" customFormat="1" ht="12.75" customHeight="1">
      <c r="A106" s="573" t="s">
        <v>1504</v>
      </c>
      <c r="B106" s="574" t="s">
        <v>1505</v>
      </c>
      <c r="C106" s="574"/>
      <c r="D106" s="574"/>
      <c r="E106" s="574"/>
      <c r="F106" s="574"/>
      <c r="G106" s="574"/>
      <c r="H106" s="574"/>
      <c r="I106" s="574"/>
      <c r="J106" s="574"/>
      <c r="K106" s="574"/>
      <c r="L106" s="574"/>
      <c r="M106" s="574"/>
      <c r="N106" s="574"/>
      <c r="O106" s="574"/>
      <c r="P106" s="574"/>
      <c r="Q106" s="574"/>
      <c r="R106" s="574"/>
      <c r="S106" s="574"/>
      <c r="T106" s="574"/>
      <c r="U106" s="574"/>
      <c r="V106" s="574"/>
      <c r="W106" s="574"/>
      <c r="X106" s="574"/>
      <c r="Y106" s="574"/>
      <c r="Z106" s="574"/>
      <c r="AA106" s="574"/>
      <c r="AB106" s="574"/>
      <c r="AC106" s="574"/>
      <c r="AD106" s="574"/>
      <c r="AE106" s="1882" t="s">
        <v>1486</v>
      </c>
      <c r="AF106" s="1882"/>
      <c r="AG106" s="1882"/>
      <c r="AH106" s="1882"/>
      <c r="AI106" s="1882"/>
      <c r="AJ106" s="1882"/>
      <c r="AK106" s="1882"/>
      <c r="AL106" s="575"/>
      <c r="AM106" s="575"/>
      <c r="AN106" s="570"/>
      <c r="AO106" s="571" t="str">
        <f>Application!B714</f>
        <v>1 Bedroom</v>
      </c>
      <c r="AQ106" s="571">
        <f>Application!O714</f>
        <v>521</v>
      </c>
    </row>
    <row r="107" spans="1:49" s="571" customFormat="1" ht="12.75" customHeight="1">
      <c r="A107" s="575"/>
      <c r="B107" s="574" t="s">
        <v>1496</v>
      </c>
      <c r="C107" s="574"/>
      <c r="D107" s="574"/>
      <c r="E107" s="574"/>
      <c r="F107" s="574"/>
      <c r="G107" s="574"/>
      <c r="H107" s="574"/>
      <c r="I107" s="574"/>
      <c r="J107" s="574"/>
      <c r="K107" s="574"/>
      <c r="L107" s="574"/>
      <c r="M107" s="574"/>
      <c r="N107" s="574"/>
      <c r="O107" s="574"/>
      <c r="P107" s="574"/>
      <c r="Q107" s="574"/>
      <c r="R107" s="574"/>
      <c r="S107" s="574"/>
      <c r="T107" s="574"/>
      <c r="U107" s="574"/>
      <c r="V107" s="574"/>
      <c r="W107" s="574"/>
      <c r="X107" s="574"/>
      <c r="Y107" s="574"/>
      <c r="Z107" s="574"/>
      <c r="AA107" s="574"/>
      <c r="AB107" s="574"/>
      <c r="AC107" s="574"/>
      <c r="AD107" s="574"/>
      <c r="AE107" s="578"/>
      <c r="AF107" s="578"/>
      <c r="AG107" s="578"/>
      <c r="AH107" s="578"/>
      <c r="AI107" s="578"/>
      <c r="AJ107" s="578"/>
      <c r="AK107" s="575"/>
      <c r="AL107" s="575"/>
      <c r="AM107" s="575"/>
      <c r="AN107" s="570"/>
      <c r="AO107" s="571" t="str">
        <f>Application!B715</f>
        <v>1 Bedroom</v>
      </c>
      <c r="AQ107" s="571">
        <f>Application!O715</f>
        <v>521</v>
      </c>
    </row>
    <row r="108" spans="1:49" s="571" customFormat="1" ht="12.75" customHeight="1">
      <c r="A108" s="575"/>
      <c r="B108" s="574"/>
      <c r="C108" s="574"/>
      <c r="D108" s="574"/>
      <c r="E108" s="612"/>
      <c r="F108" s="612"/>
      <c r="G108" s="612"/>
      <c r="H108" s="612"/>
      <c r="I108" s="612"/>
      <c r="J108" s="612"/>
      <c r="K108" s="612"/>
      <c r="L108" s="612"/>
      <c r="M108" s="612"/>
      <c r="N108" s="612"/>
      <c r="O108" s="612"/>
      <c r="P108" s="612"/>
      <c r="Q108" s="612"/>
      <c r="R108" s="612"/>
      <c r="S108" s="612"/>
      <c r="T108" s="612"/>
      <c r="U108" s="612"/>
      <c r="V108" s="612"/>
      <c r="W108" s="612"/>
      <c r="X108" s="612"/>
      <c r="Y108" s="612"/>
      <c r="Z108" s="612"/>
      <c r="AA108" s="612"/>
      <c r="AB108" s="612"/>
      <c r="AC108" s="612"/>
      <c r="AD108" s="612"/>
      <c r="AE108" s="612"/>
      <c r="AF108" s="612"/>
      <c r="AG108" s="612"/>
      <c r="AH108" s="612"/>
      <c r="AI108" s="612"/>
      <c r="AJ108" s="612"/>
      <c r="AK108" s="575"/>
      <c r="AL108" s="575"/>
      <c r="AM108" s="575"/>
      <c r="AN108" s="570"/>
      <c r="AO108" s="571" t="str">
        <f>Application!B716</f>
        <v>1 Bedroom</v>
      </c>
      <c r="AQ108" s="571">
        <f>Application!O716</f>
        <v>901</v>
      </c>
    </row>
    <row r="109" spans="1:49" s="571" customFormat="1" ht="12.75" customHeight="1">
      <c r="A109" s="575"/>
      <c r="B109" s="1872" t="s">
        <v>554</v>
      </c>
      <c r="C109" s="1872"/>
      <c r="D109" s="582" t="s">
        <v>1487</v>
      </c>
      <c r="E109" s="1883" t="s">
        <v>2120</v>
      </c>
      <c r="F109" s="1884"/>
      <c r="G109" s="1884"/>
      <c r="H109" s="1884"/>
      <c r="I109" s="1884"/>
      <c r="J109" s="1884"/>
      <c r="K109" s="1884"/>
      <c r="L109" s="1884"/>
      <c r="M109" s="1884"/>
      <c r="N109" s="1884"/>
      <c r="O109" s="1884"/>
      <c r="P109" s="1884"/>
      <c r="Q109" s="1884"/>
      <c r="R109" s="1884"/>
      <c r="S109" s="1884"/>
      <c r="T109" s="1884"/>
      <c r="U109" s="1884"/>
      <c r="V109" s="1884"/>
      <c r="W109" s="1884"/>
      <c r="X109" s="1884"/>
      <c r="Y109" s="1884"/>
      <c r="Z109" s="1884"/>
      <c r="AA109" s="1884"/>
      <c r="AB109" s="1884"/>
      <c r="AC109" s="1884"/>
      <c r="AD109" s="1884"/>
      <c r="AE109" s="1884"/>
      <c r="AF109" s="1884"/>
      <c r="AG109" s="1884"/>
      <c r="AH109" s="1884"/>
      <c r="AI109" s="1884"/>
      <c r="AJ109" s="1885"/>
      <c r="AK109" s="575"/>
      <c r="AL109" s="575"/>
      <c r="AM109" s="575"/>
      <c r="AN109" s="570"/>
      <c r="AO109" s="571" t="str">
        <f>Application!B717</f>
        <v>1 Bedroom</v>
      </c>
      <c r="AQ109" s="571">
        <f>Application!O717</f>
        <v>1281</v>
      </c>
      <c r="AU109" s="571" t="s">
        <v>2102</v>
      </c>
      <c r="AV109" s="630" t="s">
        <v>2103</v>
      </c>
      <c r="AW109" s="571" t="s">
        <v>2104</v>
      </c>
    </row>
    <row r="110" spans="1:49" s="571" customFormat="1" ht="12.75" customHeight="1">
      <c r="A110" s="575"/>
      <c r="B110" s="574"/>
      <c r="C110" s="574"/>
      <c r="D110" s="574"/>
      <c r="E110" s="1886"/>
      <c r="F110" s="1887"/>
      <c r="G110" s="1887"/>
      <c r="H110" s="1887"/>
      <c r="I110" s="1887"/>
      <c r="J110" s="1887"/>
      <c r="K110" s="1887"/>
      <c r="L110" s="1887"/>
      <c r="M110" s="1887"/>
      <c r="N110" s="1887"/>
      <c r="O110" s="1887"/>
      <c r="P110" s="1887"/>
      <c r="Q110" s="1887"/>
      <c r="R110" s="1887"/>
      <c r="S110" s="1887"/>
      <c r="T110" s="1887"/>
      <c r="U110" s="1887"/>
      <c r="V110" s="1887"/>
      <c r="W110" s="1887"/>
      <c r="X110" s="1887"/>
      <c r="Y110" s="1887"/>
      <c r="Z110" s="1887"/>
      <c r="AA110" s="1887"/>
      <c r="AB110" s="1887"/>
      <c r="AC110" s="1887"/>
      <c r="AD110" s="1887"/>
      <c r="AE110" s="1887"/>
      <c r="AF110" s="1887"/>
      <c r="AG110" s="1887"/>
      <c r="AH110" s="1887"/>
      <c r="AI110" s="1887"/>
      <c r="AJ110" s="1888"/>
      <c r="AK110" s="575"/>
      <c r="AL110" s="575"/>
      <c r="AM110" s="575"/>
      <c r="AN110" s="570"/>
      <c r="AO110" s="571" t="str">
        <f>Application!B718</f>
        <v>2 Bedrooms</v>
      </c>
      <c r="AQ110" s="571">
        <f>Application!O718</f>
        <v>624</v>
      </c>
      <c r="AU110" s="892" t="str">
        <f>E118</f>
        <v>Studio/SRO</v>
      </c>
      <c r="AV110" s="571">
        <f t="array" ref="AV110">SUM(IF(Application!B714:F738="SRO/Studio",Application!G714:J738))</f>
        <v>0</v>
      </c>
      <c r="AW110" s="1048">
        <f>AV110/AV116</f>
        <v>0</v>
      </c>
    </row>
    <row r="111" spans="1:49" s="571" customFormat="1" ht="12.75" customHeight="1">
      <c r="A111" s="575"/>
      <c r="B111" s="574"/>
      <c r="C111" s="574"/>
      <c r="D111" s="574"/>
      <c r="E111" s="1886"/>
      <c r="F111" s="1887"/>
      <c r="G111" s="1887"/>
      <c r="H111" s="1887"/>
      <c r="I111" s="1887"/>
      <c r="J111" s="1887"/>
      <c r="K111" s="1887"/>
      <c r="L111" s="1887"/>
      <c r="M111" s="1887"/>
      <c r="N111" s="1887"/>
      <c r="O111" s="1887"/>
      <c r="P111" s="1887"/>
      <c r="Q111" s="1887"/>
      <c r="R111" s="1887"/>
      <c r="S111" s="1887"/>
      <c r="T111" s="1887"/>
      <c r="U111" s="1887"/>
      <c r="V111" s="1887"/>
      <c r="W111" s="1887"/>
      <c r="X111" s="1887"/>
      <c r="Y111" s="1887"/>
      <c r="Z111" s="1887"/>
      <c r="AA111" s="1887"/>
      <c r="AB111" s="1887"/>
      <c r="AC111" s="1887"/>
      <c r="AD111" s="1887"/>
      <c r="AE111" s="1887"/>
      <c r="AF111" s="1887"/>
      <c r="AG111" s="1887"/>
      <c r="AH111" s="1887"/>
      <c r="AI111" s="1887"/>
      <c r="AJ111" s="1888"/>
      <c r="AK111" s="575"/>
      <c r="AL111" s="575"/>
      <c r="AM111" s="575"/>
      <c r="AN111" s="570"/>
      <c r="AO111" s="571" t="str">
        <f>Application!B719</f>
        <v>2 Bedrooms</v>
      </c>
      <c r="AQ111" s="571">
        <f>Application!O719</f>
        <v>624</v>
      </c>
      <c r="AU111" s="892" t="str">
        <f>J118</f>
        <v>1-bedroom</v>
      </c>
      <c r="AV111" s="571">
        <f t="array" ref="AV111">SUM(IF(Application!B714:F738="1 Bedroom",Application!G714:J738))</f>
        <v>57</v>
      </c>
      <c r="AW111" s="1048">
        <f>AV111/AV116</f>
        <v>0.34337349397590361</v>
      </c>
    </row>
    <row r="112" spans="1:49" s="571" customFormat="1" ht="12.75" customHeight="1">
      <c r="A112" s="575"/>
      <c r="B112" s="574"/>
      <c r="C112" s="574"/>
      <c r="D112" s="574"/>
      <c r="E112" s="1886"/>
      <c r="F112" s="1887"/>
      <c r="G112" s="1887"/>
      <c r="H112" s="1887"/>
      <c r="I112" s="1887"/>
      <c r="J112" s="1887"/>
      <c r="K112" s="1887"/>
      <c r="L112" s="1887"/>
      <c r="M112" s="1887"/>
      <c r="N112" s="1887"/>
      <c r="O112" s="1887"/>
      <c r="P112" s="1887"/>
      <c r="Q112" s="1887"/>
      <c r="R112" s="1887"/>
      <c r="S112" s="1887"/>
      <c r="T112" s="1887"/>
      <c r="U112" s="1887"/>
      <c r="V112" s="1887"/>
      <c r="W112" s="1887"/>
      <c r="X112" s="1887"/>
      <c r="Y112" s="1887"/>
      <c r="Z112" s="1887"/>
      <c r="AA112" s="1887"/>
      <c r="AB112" s="1887"/>
      <c r="AC112" s="1887"/>
      <c r="AD112" s="1887"/>
      <c r="AE112" s="1887"/>
      <c r="AF112" s="1887"/>
      <c r="AG112" s="1887"/>
      <c r="AH112" s="1887"/>
      <c r="AI112" s="1887"/>
      <c r="AJ112" s="1888"/>
      <c r="AK112" s="575"/>
      <c r="AL112" s="575"/>
      <c r="AM112" s="575"/>
      <c r="AN112" s="570"/>
      <c r="AO112" s="571" t="str">
        <f>Application!B720</f>
        <v>2 Bedrooms</v>
      </c>
      <c r="AQ112" s="571">
        <f>Application!O720</f>
        <v>1080</v>
      </c>
      <c r="AU112" s="892" t="str">
        <f>O118</f>
        <v>2-bedroom</v>
      </c>
      <c r="AV112" s="571">
        <f t="array" ref="AV112">SUM(IF(Application!B714:F738="2 Bedrooms",Application!G714:J738))</f>
        <v>67</v>
      </c>
      <c r="AW112" s="1048">
        <f>AV112/AV116</f>
        <v>0.40361445783132532</v>
      </c>
    </row>
    <row r="113" spans="1:52" s="571" customFormat="1" ht="12.75" customHeight="1">
      <c r="A113" s="575"/>
      <c r="B113" s="574"/>
      <c r="C113" s="574"/>
      <c r="D113" s="574"/>
      <c r="E113" s="1886"/>
      <c r="F113" s="1887"/>
      <c r="G113" s="1887"/>
      <c r="H113" s="1887"/>
      <c r="I113" s="1887"/>
      <c r="J113" s="1887"/>
      <c r="K113" s="1887"/>
      <c r="L113" s="1887"/>
      <c r="M113" s="1887"/>
      <c r="N113" s="1887"/>
      <c r="O113" s="1887"/>
      <c r="P113" s="1887"/>
      <c r="Q113" s="1887"/>
      <c r="R113" s="1887"/>
      <c r="S113" s="1887"/>
      <c r="T113" s="1887"/>
      <c r="U113" s="1887"/>
      <c r="V113" s="1887"/>
      <c r="W113" s="1887"/>
      <c r="X113" s="1887"/>
      <c r="Y113" s="1887"/>
      <c r="Z113" s="1887"/>
      <c r="AA113" s="1887"/>
      <c r="AB113" s="1887"/>
      <c r="AC113" s="1887"/>
      <c r="AD113" s="1887"/>
      <c r="AE113" s="1887"/>
      <c r="AF113" s="1887"/>
      <c r="AG113" s="1887"/>
      <c r="AH113" s="1887"/>
      <c r="AI113" s="1887"/>
      <c r="AJ113" s="1888"/>
      <c r="AK113" s="575"/>
      <c r="AL113" s="575"/>
      <c r="AM113" s="575"/>
      <c r="AN113" s="570"/>
      <c r="AO113" s="571" t="str">
        <f>Application!B721</f>
        <v>2 Bedrooms</v>
      </c>
      <c r="AQ113" s="571">
        <f>Application!O721</f>
        <v>1517</v>
      </c>
      <c r="AU113" s="892" t="str">
        <f>T118</f>
        <v>3-bedroom</v>
      </c>
      <c r="AV113" s="571">
        <f t="array" ref="AV113">SUM(IF(Application!B714:F738="3 Bedrooms",Application!G714:J738))</f>
        <v>42</v>
      </c>
      <c r="AW113" s="1048">
        <f>AV113/AV116</f>
        <v>0.25301204819277107</v>
      </c>
    </row>
    <row r="114" spans="1:52" s="571" customFormat="1" ht="12.75" customHeight="1">
      <c r="A114" s="575"/>
      <c r="B114" s="574"/>
      <c r="C114" s="574"/>
      <c r="D114" s="574"/>
      <c r="E114" s="1886"/>
      <c r="F114" s="1887"/>
      <c r="G114" s="1887"/>
      <c r="H114" s="1887"/>
      <c r="I114" s="1887"/>
      <c r="J114" s="1887"/>
      <c r="K114" s="1887"/>
      <c r="L114" s="1887"/>
      <c r="M114" s="1887"/>
      <c r="N114" s="1887"/>
      <c r="O114" s="1887"/>
      <c r="P114" s="1887"/>
      <c r="Q114" s="1887"/>
      <c r="R114" s="1887"/>
      <c r="S114" s="1887"/>
      <c r="T114" s="1887"/>
      <c r="U114" s="1887"/>
      <c r="V114" s="1887"/>
      <c r="W114" s="1887"/>
      <c r="X114" s="1887"/>
      <c r="Y114" s="1887"/>
      <c r="Z114" s="1887"/>
      <c r="AA114" s="1887"/>
      <c r="AB114" s="1887"/>
      <c r="AC114" s="1887"/>
      <c r="AD114" s="1887"/>
      <c r="AE114" s="1887"/>
      <c r="AF114" s="1887"/>
      <c r="AG114" s="1887"/>
      <c r="AH114" s="1887"/>
      <c r="AI114" s="1887"/>
      <c r="AJ114" s="1888"/>
      <c r="AK114" s="575"/>
      <c r="AL114" s="575"/>
      <c r="AM114" s="575"/>
      <c r="AN114" s="570"/>
      <c r="AO114" s="571" t="str">
        <f>Application!B722</f>
        <v>2 Bedrooms</v>
      </c>
      <c r="AQ114" s="571">
        <f>Application!O722</f>
        <v>624</v>
      </c>
      <c r="AU114" s="892" t="str">
        <f>Y118</f>
        <v>4-bedroom</v>
      </c>
      <c r="AV114" s="571">
        <f t="array" ref="AV114">SUM(IF(Application!B714:F738="4 Bedrooms",Application!G714:J738))</f>
        <v>0</v>
      </c>
      <c r="AW114" s="1048">
        <f>AV114/AV116</f>
        <v>0</v>
      </c>
    </row>
    <row r="115" spans="1:52" s="571" customFormat="1" ht="12.75" customHeight="1">
      <c r="A115" s="575"/>
      <c r="B115" s="574"/>
      <c r="C115" s="574"/>
      <c r="D115" s="574"/>
      <c r="E115" s="1886"/>
      <c r="F115" s="1887"/>
      <c r="G115" s="1887"/>
      <c r="H115" s="1887"/>
      <c r="I115" s="1887"/>
      <c r="J115" s="1887"/>
      <c r="K115" s="1887"/>
      <c r="L115" s="1887"/>
      <c r="M115" s="1887"/>
      <c r="N115" s="1887"/>
      <c r="O115" s="1887"/>
      <c r="P115" s="1887"/>
      <c r="Q115" s="1887"/>
      <c r="R115" s="1887"/>
      <c r="S115" s="1887"/>
      <c r="T115" s="1887"/>
      <c r="U115" s="1887"/>
      <c r="V115" s="1887"/>
      <c r="W115" s="1887"/>
      <c r="X115" s="1887"/>
      <c r="Y115" s="1887"/>
      <c r="Z115" s="1887"/>
      <c r="AA115" s="1887"/>
      <c r="AB115" s="1887"/>
      <c r="AC115" s="1887"/>
      <c r="AD115" s="1887"/>
      <c r="AE115" s="1887"/>
      <c r="AF115" s="1887"/>
      <c r="AG115" s="1887"/>
      <c r="AH115" s="1887"/>
      <c r="AI115" s="1887"/>
      <c r="AJ115" s="1888"/>
      <c r="AK115" s="575"/>
      <c r="AL115" s="575"/>
      <c r="AM115" s="575"/>
      <c r="AN115" s="570"/>
      <c r="AO115" s="571" t="str">
        <f>Application!B723</f>
        <v>2 Bedrooms</v>
      </c>
      <c r="AQ115" s="571">
        <f>Application!O723</f>
        <v>624</v>
      </c>
      <c r="AU115" s="892" t="str">
        <f>AD118</f>
        <v>5-bedroom</v>
      </c>
      <c r="AV115" s="571">
        <f t="array" ref="AV115">SUM(IF(Application!B714:F738="5 Bedrooms",Application!G714:J738))</f>
        <v>0</v>
      </c>
      <c r="AW115" s="1048">
        <f>AV115/AV116</f>
        <v>0</v>
      </c>
    </row>
    <row r="116" spans="1:52" s="571" customFormat="1" ht="12.75" customHeight="1">
      <c r="A116" s="575"/>
      <c r="B116" s="574"/>
      <c r="C116" s="574"/>
      <c r="D116" s="574"/>
      <c r="E116" s="1886"/>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c r="AI116" s="1887"/>
      <c r="AJ116" s="1888"/>
      <c r="AK116" s="575"/>
      <c r="AL116" s="575"/>
      <c r="AM116" s="575"/>
      <c r="AN116" s="570"/>
      <c r="AO116" s="571" t="str">
        <f>Application!B724</f>
        <v>2 Bedrooms</v>
      </c>
      <c r="AQ116" s="571">
        <f>Application!O724</f>
        <v>1080</v>
      </c>
      <c r="AV116" s="571">
        <f>SUM(AV110:AV115)</f>
        <v>166</v>
      </c>
      <c r="AW116" s="1048">
        <f>SUM(AW110:AW115)</f>
        <v>1</v>
      </c>
    </row>
    <row r="117" spans="1:52" s="571" customFormat="1" ht="12.75" customHeight="1">
      <c r="A117" s="575"/>
      <c r="B117" s="574"/>
      <c r="C117" s="574"/>
      <c r="D117" s="574"/>
      <c r="E117" s="621"/>
      <c r="F117" s="588"/>
      <c r="G117" s="588"/>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9"/>
      <c r="AK117" s="575"/>
      <c r="AL117" s="575"/>
      <c r="AM117" s="575"/>
      <c r="AN117" s="570"/>
      <c r="AO117" s="571" t="str">
        <f>Application!B725</f>
        <v>2 Bedrooms</v>
      </c>
      <c r="AQ117" s="571">
        <f>Application!O725</f>
        <v>1536</v>
      </c>
    </row>
    <row r="118" spans="1:52" s="571" customFormat="1" ht="12.75" customHeight="1">
      <c r="A118" s="575"/>
      <c r="B118" s="574"/>
      <c r="C118" s="575"/>
      <c r="D118" s="575"/>
      <c r="E118" s="1866" t="s">
        <v>1765</v>
      </c>
      <c r="F118" s="1867"/>
      <c r="G118" s="1867"/>
      <c r="H118" s="1867"/>
      <c r="I118" s="612"/>
      <c r="J118" s="1867" t="s">
        <v>1810</v>
      </c>
      <c r="K118" s="1867"/>
      <c r="L118" s="1867"/>
      <c r="M118" s="1867"/>
      <c r="N118" s="612"/>
      <c r="O118" s="1867" t="s">
        <v>1811</v>
      </c>
      <c r="P118" s="1867"/>
      <c r="Q118" s="1867"/>
      <c r="R118" s="1867"/>
      <c r="S118" s="612"/>
      <c r="T118" s="1867" t="s">
        <v>1506</v>
      </c>
      <c r="U118" s="1867"/>
      <c r="V118" s="1867"/>
      <c r="W118" s="1867"/>
      <c r="X118" s="612"/>
      <c r="Y118" s="1867" t="s">
        <v>1812</v>
      </c>
      <c r="Z118" s="1867"/>
      <c r="AA118" s="1867"/>
      <c r="AB118" s="1867"/>
      <c r="AC118" s="612"/>
      <c r="AD118" s="1867" t="s">
        <v>1813</v>
      </c>
      <c r="AE118" s="1867"/>
      <c r="AF118" s="1867"/>
      <c r="AG118" s="1867"/>
      <c r="AH118" s="612"/>
      <c r="AI118" s="612"/>
      <c r="AJ118" s="614"/>
      <c r="AK118" s="575"/>
      <c r="AL118" s="575"/>
      <c r="AM118" s="575"/>
      <c r="AN118" s="570"/>
      <c r="AO118" s="571" t="str">
        <f>Application!B726</f>
        <v>3 Bedrooms</v>
      </c>
      <c r="AQ118" s="571">
        <f>Application!O726</f>
        <v>720</v>
      </c>
    </row>
    <row r="119" spans="1:52" s="571" customFormat="1" ht="12.75" customHeight="1">
      <c r="A119" s="575"/>
      <c r="B119" s="574"/>
      <c r="C119" s="575"/>
      <c r="D119" s="575"/>
      <c r="E119" s="901"/>
      <c r="F119" s="899"/>
      <c r="G119" s="899"/>
      <c r="H119" s="899"/>
      <c r="I119" s="612"/>
      <c r="J119" s="899"/>
      <c r="K119" s="899"/>
      <c r="L119" s="899"/>
      <c r="M119" s="899"/>
      <c r="N119" s="612"/>
      <c r="O119" s="899"/>
      <c r="P119" s="899"/>
      <c r="Q119" s="899"/>
      <c r="R119" s="899"/>
      <c r="S119" s="612"/>
      <c r="T119" s="899"/>
      <c r="U119" s="899"/>
      <c r="V119" s="899"/>
      <c r="W119" s="899"/>
      <c r="X119" s="612"/>
      <c r="Y119" s="899"/>
      <c r="Z119" s="899"/>
      <c r="AA119" s="899"/>
      <c r="AB119" s="899"/>
      <c r="AC119" s="612"/>
      <c r="AD119" s="899"/>
      <c r="AE119" s="899"/>
      <c r="AF119" s="899"/>
      <c r="AG119" s="899"/>
      <c r="AH119" s="612"/>
      <c r="AI119" s="612"/>
      <c r="AJ119" s="614"/>
      <c r="AK119" s="575"/>
      <c r="AL119" s="575"/>
      <c r="AM119" s="575"/>
      <c r="AN119" s="570"/>
      <c r="AO119" s="571" t="str">
        <f>Application!B727</f>
        <v>3 Bedrooms</v>
      </c>
      <c r="AQ119" s="571">
        <f>Application!O727</f>
        <v>720</v>
      </c>
    </row>
    <row r="120" spans="1:52" s="571" customFormat="1" ht="12.75" customHeight="1">
      <c r="A120" s="575"/>
      <c r="B120" s="574"/>
      <c r="C120" s="575"/>
      <c r="D120" s="575"/>
      <c r="E120" s="902" t="s">
        <v>1814</v>
      </c>
      <c r="F120" s="899"/>
      <c r="G120" s="899"/>
      <c r="H120" s="899"/>
      <c r="I120" s="612"/>
      <c r="J120" s="899"/>
      <c r="K120" s="899"/>
      <c r="L120" s="899"/>
      <c r="M120" s="899"/>
      <c r="N120" s="612"/>
      <c r="O120" s="899"/>
      <c r="P120" s="899"/>
      <c r="Q120" s="899"/>
      <c r="R120" s="899"/>
      <c r="S120" s="612"/>
      <c r="T120" s="899"/>
      <c r="U120" s="899"/>
      <c r="V120" s="899"/>
      <c r="W120" s="899"/>
      <c r="X120" s="612"/>
      <c r="Y120" s="899"/>
      <c r="Z120" s="899"/>
      <c r="AA120" s="899"/>
      <c r="AB120" s="899"/>
      <c r="AC120" s="612"/>
      <c r="AD120" s="899"/>
      <c r="AE120" s="899"/>
      <c r="AF120" s="899"/>
      <c r="AG120" s="899"/>
      <c r="AH120" s="612"/>
      <c r="AI120" s="612"/>
      <c r="AJ120" s="614"/>
      <c r="AK120" s="575"/>
      <c r="AL120" s="575"/>
      <c r="AM120" s="575"/>
      <c r="AN120" s="570"/>
      <c r="AO120" s="571" t="str">
        <f>Application!B728</f>
        <v>3 Bedrooms</v>
      </c>
      <c r="AQ120" s="571">
        <f>Application!O728</f>
        <v>1247</v>
      </c>
    </row>
    <row r="121" spans="1:52" s="571" customFormat="1" ht="12.75" customHeight="1">
      <c r="A121" s="575"/>
      <c r="B121" s="574"/>
      <c r="C121" s="575"/>
      <c r="D121" s="575"/>
      <c r="E121" s="1923"/>
      <c r="F121" s="1924"/>
      <c r="G121" s="1924"/>
      <c r="H121" s="1924"/>
      <c r="I121" s="900"/>
      <c r="J121" s="1924">
        <v>2187</v>
      </c>
      <c r="K121" s="1924"/>
      <c r="L121" s="1924"/>
      <c r="M121" s="1924"/>
      <c r="N121" s="900"/>
      <c r="O121" s="1924">
        <v>2266</v>
      </c>
      <c r="P121" s="1924"/>
      <c r="Q121" s="1924"/>
      <c r="R121" s="1924"/>
      <c r="S121" s="900"/>
      <c r="T121" s="1924">
        <v>2680</v>
      </c>
      <c r="U121" s="1924"/>
      <c r="V121" s="1924"/>
      <c r="W121" s="1924"/>
      <c r="X121" s="900"/>
      <c r="Y121" s="1924"/>
      <c r="Z121" s="1924"/>
      <c r="AA121" s="1924"/>
      <c r="AB121" s="1924"/>
      <c r="AC121" s="900"/>
      <c r="AD121" s="1924"/>
      <c r="AE121" s="1924"/>
      <c r="AF121" s="1924"/>
      <c r="AG121" s="1924"/>
      <c r="AH121" s="612"/>
      <c r="AI121" s="612"/>
      <c r="AJ121" s="614"/>
      <c r="AK121" s="575"/>
      <c r="AL121" s="575"/>
      <c r="AM121" s="575"/>
      <c r="AN121" s="570"/>
      <c r="AO121" s="571" t="str">
        <f>Application!B729</f>
        <v>3 Bedrooms</v>
      </c>
      <c r="AQ121" s="571">
        <f>Application!O729</f>
        <v>1774</v>
      </c>
    </row>
    <row r="122" spans="1:52" s="571" customFormat="1" ht="12.75" customHeight="1">
      <c r="A122" s="575"/>
      <c r="B122" s="574"/>
      <c r="C122" s="575"/>
      <c r="D122" s="575"/>
      <c r="E122" s="901"/>
      <c r="F122" s="899"/>
      <c r="G122" s="899"/>
      <c r="H122" s="899"/>
      <c r="I122" s="612"/>
      <c r="J122" s="899"/>
      <c r="K122" s="899"/>
      <c r="L122" s="899"/>
      <c r="M122" s="899"/>
      <c r="N122" s="612"/>
      <c r="O122" s="899"/>
      <c r="P122" s="899"/>
      <c r="Q122" s="899"/>
      <c r="R122" s="899"/>
      <c r="S122" s="612"/>
      <c r="T122" s="899"/>
      <c r="U122" s="899"/>
      <c r="V122" s="899"/>
      <c r="W122" s="899"/>
      <c r="X122" s="612"/>
      <c r="Y122" s="899"/>
      <c r="Z122" s="899"/>
      <c r="AA122" s="899"/>
      <c r="AB122" s="899"/>
      <c r="AC122" s="612"/>
      <c r="AD122" s="899"/>
      <c r="AE122" s="899"/>
      <c r="AF122" s="899"/>
      <c r="AG122" s="899"/>
      <c r="AH122" s="612"/>
      <c r="AI122" s="612"/>
      <c r="AJ122" s="614"/>
      <c r="AK122" s="575"/>
      <c r="AL122" s="575"/>
      <c r="AM122" s="575"/>
      <c r="AN122" s="570"/>
      <c r="AO122" s="571">
        <f>Application!B730</f>
        <v>0</v>
      </c>
      <c r="AQ122" s="571">
        <f>Application!O730</f>
        <v>0</v>
      </c>
      <c r="AU122" s="1046"/>
      <c r="AV122" s="1046"/>
      <c r="AW122" s="1046"/>
      <c r="AX122" s="1046"/>
      <c r="AY122" s="1046"/>
      <c r="AZ122" s="1046"/>
    </row>
    <row r="123" spans="1:52" s="571" customFormat="1" ht="12.75" customHeight="1">
      <c r="A123" s="575"/>
      <c r="B123" s="574"/>
      <c r="C123" s="575"/>
      <c r="D123" s="575"/>
      <c r="E123" s="902" t="s">
        <v>2106</v>
      </c>
      <c r="F123" s="899"/>
      <c r="G123" s="899"/>
      <c r="H123" s="899"/>
      <c r="I123" s="612"/>
      <c r="J123" s="899"/>
      <c r="K123" s="899"/>
      <c r="L123" s="899"/>
      <c r="M123" s="899"/>
      <c r="N123" s="612"/>
      <c r="O123" s="899"/>
      <c r="P123" s="899"/>
      <c r="Q123" s="899"/>
      <c r="R123" s="899"/>
      <c r="S123" s="612"/>
      <c r="T123" s="899"/>
      <c r="U123" s="899"/>
      <c r="V123" s="899"/>
      <c r="W123" s="899"/>
      <c r="X123" s="612"/>
      <c r="Y123" s="899"/>
      <c r="Z123" s="899"/>
      <c r="AA123" s="899"/>
      <c r="AB123" s="899"/>
      <c r="AC123" s="612"/>
      <c r="AD123" s="899"/>
      <c r="AE123" s="899"/>
      <c r="AF123" s="899"/>
      <c r="AG123" s="899"/>
      <c r="AH123" s="612"/>
      <c r="AI123" s="612"/>
      <c r="AJ123" s="614"/>
      <c r="AK123" s="575"/>
      <c r="AL123" s="575"/>
      <c r="AM123" s="575"/>
      <c r="AN123" s="570"/>
      <c r="AO123" s="571">
        <f>Application!B731</f>
        <v>0</v>
      </c>
      <c r="AQ123" s="571">
        <f>Application!O731</f>
        <v>0</v>
      </c>
      <c r="AU123" s="1046"/>
      <c r="AV123" s="1046"/>
      <c r="AW123" s="1046"/>
      <c r="AX123" s="1046"/>
      <c r="AY123" s="1046"/>
      <c r="AZ123" s="1046"/>
    </row>
    <row r="124" spans="1:52" s="571" customFormat="1" ht="12.75" customHeight="1">
      <c r="A124" s="575"/>
      <c r="B124" s="574"/>
      <c r="C124" s="575"/>
      <c r="D124" s="575"/>
      <c r="E124" s="1916">
        <f>Application!DX649</f>
        <v>0</v>
      </c>
      <c r="F124" s="1917"/>
      <c r="G124" s="1917"/>
      <c r="H124" s="1917"/>
      <c r="I124" s="900"/>
      <c r="J124" s="1917">
        <f>Application!EC649</f>
        <v>1087.6666666666665</v>
      </c>
      <c r="K124" s="1917"/>
      <c r="L124" s="1917"/>
      <c r="M124" s="1917"/>
      <c r="N124" s="900"/>
      <c r="O124" s="1917">
        <f>Application!EH649</f>
        <v>1298.0746268656717</v>
      </c>
      <c r="P124" s="1917"/>
      <c r="Q124" s="1917"/>
      <c r="R124" s="1917"/>
      <c r="S124" s="904"/>
      <c r="T124" s="1917">
        <f>Application!EM649</f>
        <v>1510.5</v>
      </c>
      <c r="U124" s="1917"/>
      <c r="V124" s="1917"/>
      <c r="W124" s="1917"/>
      <c r="X124" s="904"/>
      <c r="Y124" s="1917">
        <f>Application!ER649</f>
        <v>0</v>
      </c>
      <c r="Z124" s="1917"/>
      <c r="AA124" s="1917"/>
      <c r="AB124" s="1917"/>
      <c r="AC124" s="904"/>
      <c r="AD124" s="1917">
        <f>Application!EW649</f>
        <v>0</v>
      </c>
      <c r="AE124" s="1917"/>
      <c r="AF124" s="1917"/>
      <c r="AG124" s="1917"/>
      <c r="AH124" s="612"/>
      <c r="AI124" s="612"/>
      <c r="AJ124" s="614"/>
      <c r="AK124" s="575"/>
      <c r="AL124" s="575"/>
      <c r="AM124" s="575"/>
      <c r="AN124" s="570"/>
      <c r="AO124" s="571">
        <f>Application!B732</f>
        <v>0</v>
      </c>
      <c r="AQ124" s="571">
        <f>Application!O732</f>
        <v>0</v>
      </c>
      <c r="AU124" s="1046"/>
      <c r="AV124" s="1046"/>
      <c r="AW124" s="1047"/>
      <c r="AX124" s="1047"/>
      <c r="AY124" s="1046"/>
      <c r="AZ124" s="1046"/>
    </row>
    <row r="125" spans="1:52" s="571" customFormat="1" ht="12.75" customHeight="1">
      <c r="A125" s="575"/>
      <c r="B125" s="574"/>
      <c r="C125" s="575"/>
      <c r="D125" s="575"/>
      <c r="E125" s="903"/>
      <c r="F125" s="899"/>
      <c r="G125" s="899"/>
      <c r="H125" s="899"/>
      <c r="I125" s="612"/>
      <c r="J125" s="615"/>
      <c r="K125" s="612"/>
      <c r="L125" s="612"/>
      <c r="M125" s="612"/>
      <c r="N125" s="612"/>
      <c r="O125" s="612"/>
      <c r="P125" s="612"/>
      <c r="Q125" s="612"/>
      <c r="R125" s="612"/>
      <c r="S125" s="612"/>
      <c r="T125" s="612"/>
      <c r="U125" s="612"/>
      <c r="V125" s="612"/>
      <c r="W125" s="612"/>
      <c r="X125" s="612"/>
      <c r="Y125" s="612"/>
      <c r="Z125" s="612"/>
      <c r="AA125" s="612"/>
      <c r="AB125" s="612"/>
      <c r="AC125" s="612"/>
      <c r="AD125" s="612"/>
      <c r="AE125" s="612"/>
      <c r="AF125" s="612"/>
      <c r="AG125" s="612"/>
      <c r="AH125" s="612"/>
      <c r="AI125" s="612"/>
      <c r="AJ125" s="614"/>
      <c r="AK125" s="575"/>
      <c r="AL125" s="575"/>
      <c r="AM125" s="575"/>
      <c r="AN125" s="570"/>
      <c r="AO125" s="571">
        <f>Application!B733</f>
        <v>0</v>
      </c>
      <c r="AQ125" s="571">
        <f>Application!O733</f>
        <v>0</v>
      </c>
      <c r="AU125" s="1046"/>
      <c r="AV125" s="1046"/>
      <c r="AW125" s="1047"/>
      <c r="AX125" s="1047"/>
      <c r="AY125" s="1046"/>
      <c r="AZ125" s="1046"/>
    </row>
    <row r="126" spans="1:52" s="571" customFormat="1" ht="12.75" customHeight="1">
      <c r="A126" s="575"/>
      <c r="B126" s="574"/>
      <c r="C126" s="575"/>
      <c r="D126" s="575"/>
      <c r="E126" s="902" t="s">
        <v>2107</v>
      </c>
      <c r="F126" s="899"/>
      <c r="G126" s="899"/>
      <c r="H126" s="899"/>
      <c r="I126" s="612"/>
      <c r="J126" s="615"/>
      <c r="K126" s="612"/>
      <c r="L126" s="612"/>
      <c r="M126" s="612"/>
      <c r="N126" s="612"/>
      <c r="O126" s="612"/>
      <c r="P126" s="612"/>
      <c r="Q126" s="612"/>
      <c r="R126" s="612"/>
      <c r="S126" s="612"/>
      <c r="T126" s="612"/>
      <c r="U126" s="612"/>
      <c r="V126" s="612"/>
      <c r="W126" s="612"/>
      <c r="X126" s="612"/>
      <c r="Y126" s="612"/>
      <c r="Z126" s="612"/>
      <c r="AA126" s="612"/>
      <c r="AB126" s="612"/>
      <c r="AC126" s="612"/>
      <c r="AD126" s="612"/>
      <c r="AE126" s="612"/>
      <c r="AF126" s="612"/>
      <c r="AG126" s="612"/>
      <c r="AH126" s="612"/>
      <c r="AI126" s="612"/>
      <c r="AJ126" s="614"/>
      <c r="AK126" s="575"/>
      <c r="AL126" s="575"/>
      <c r="AM126" s="575"/>
      <c r="AN126" s="570"/>
      <c r="AO126" s="571">
        <f>Application!B734</f>
        <v>0</v>
      </c>
      <c r="AQ126" s="571">
        <f>Application!O734</f>
        <v>0</v>
      </c>
      <c r="AU126" s="1046"/>
      <c r="AV126" s="1046"/>
      <c r="AW126" s="1047"/>
      <c r="AX126" s="1047"/>
      <c r="AY126" s="1046"/>
      <c r="AZ126" s="1046"/>
    </row>
    <row r="127" spans="1:52" s="571" customFormat="1" ht="12.75" customHeight="1">
      <c r="A127" s="575"/>
      <c r="B127" s="574"/>
      <c r="C127" s="575"/>
      <c r="D127" s="575"/>
      <c r="E127" s="2109" t="e">
        <f>(E121-E124)/E121</f>
        <v>#DIV/0!</v>
      </c>
      <c r="F127" s="1869"/>
      <c r="G127" s="1869"/>
      <c r="H127" s="2110"/>
      <c r="I127" s="612"/>
      <c r="J127" s="2109">
        <f>(J121-J124)/J121</f>
        <v>0.50266727632982788</v>
      </c>
      <c r="K127" s="1869"/>
      <c r="L127" s="1869"/>
      <c r="M127" s="2110"/>
      <c r="N127" s="612"/>
      <c r="O127" s="2109">
        <f>(O121-O124)/O121</f>
        <v>0.42715153271594364</v>
      </c>
      <c r="P127" s="1869"/>
      <c r="Q127" s="1869"/>
      <c r="R127" s="2110"/>
      <c r="S127" s="612"/>
      <c r="T127" s="2109">
        <f>(T121-T124)/T121</f>
        <v>0.43638059701492538</v>
      </c>
      <c r="U127" s="1869"/>
      <c r="V127" s="1869"/>
      <c r="W127" s="2110"/>
      <c r="X127" s="612"/>
      <c r="Y127" s="2109" t="e">
        <f>(Y121-Y124)/Y121</f>
        <v>#DIV/0!</v>
      </c>
      <c r="Z127" s="1869"/>
      <c r="AA127" s="1869"/>
      <c r="AB127" s="2110"/>
      <c r="AC127" s="612"/>
      <c r="AD127" s="2109" t="e">
        <f>(AD121-AD124)/AD121</f>
        <v>#DIV/0!</v>
      </c>
      <c r="AE127" s="1869"/>
      <c r="AF127" s="1869"/>
      <c r="AG127" s="2110"/>
      <c r="AH127" s="612"/>
      <c r="AI127" s="612"/>
      <c r="AJ127" s="614"/>
      <c r="AK127" s="575"/>
      <c r="AL127" s="575"/>
      <c r="AM127" s="575"/>
      <c r="AN127" s="570"/>
      <c r="AO127" s="571">
        <f>Application!B735</f>
        <v>0</v>
      </c>
      <c r="AQ127" s="571">
        <f>Application!O735</f>
        <v>0</v>
      </c>
      <c r="AU127" s="1046"/>
      <c r="AV127" s="1046"/>
      <c r="AW127" s="1047"/>
      <c r="AX127" s="1047"/>
      <c r="AY127" s="1046"/>
      <c r="AZ127" s="1046"/>
    </row>
    <row r="128" spans="1:52" s="571" customFormat="1" ht="12.75" customHeight="1">
      <c r="A128" s="575"/>
      <c r="B128" s="574"/>
      <c r="C128" s="575"/>
      <c r="D128" s="575"/>
      <c r="E128" s="1041"/>
      <c r="F128" s="1040"/>
      <c r="G128" s="1040"/>
      <c r="H128" s="1040"/>
      <c r="I128" s="612"/>
      <c r="J128" s="1040"/>
      <c r="K128" s="1040"/>
      <c r="L128" s="1040"/>
      <c r="M128" s="1040"/>
      <c r="N128" s="612"/>
      <c r="O128" s="1040"/>
      <c r="P128" s="1040"/>
      <c r="Q128" s="1040"/>
      <c r="R128" s="1040"/>
      <c r="S128" s="612"/>
      <c r="T128" s="1040"/>
      <c r="U128" s="1040"/>
      <c r="V128" s="1040"/>
      <c r="W128" s="1040"/>
      <c r="X128" s="612"/>
      <c r="Y128" s="1040"/>
      <c r="Z128" s="1040"/>
      <c r="AA128" s="1040"/>
      <c r="AB128" s="1040"/>
      <c r="AC128" s="612"/>
      <c r="AD128" s="1040"/>
      <c r="AE128" s="1040"/>
      <c r="AF128" s="1040"/>
      <c r="AG128" s="1040"/>
      <c r="AH128" s="612"/>
      <c r="AI128" s="612"/>
      <c r="AJ128" s="614"/>
      <c r="AK128" s="575"/>
      <c r="AL128" s="575"/>
      <c r="AM128" s="575"/>
      <c r="AN128" s="570"/>
      <c r="AO128" s="571">
        <f>Application!B736</f>
        <v>0</v>
      </c>
      <c r="AQ128" s="571">
        <f>Application!O736</f>
        <v>0</v>
      </c>
      <c r="AU128" s="1046"/>
      <c r="AV128" s="1046"/>
      <c r="AW128" s="1047"/>
      <c r="AX128" s="1047"/>
      <c r="AY128" s="1046"/>
      <c r="AZ128" s="1046"/>
    </row>
    <row r="129" spans="1:52" s="571" customFormat="1" ht="12.75" customHeight="1">
      <c r="A129" s="575"/>
      <c r="B129" s="574"/>
      <c r="C129" s="575"/>
      <c r="D129" s="575"/>
      <c r="E129" s="1042" t="s">
        <v>2108</v>
      </c>
      <c r="F129" s="1040"/>
      <c r="G129" s="1040"/>
      <c r="H129" s="1040"/>
      <c r="I129" s="612"/>
      <c r="J129" s="1040"/>
      <c r="K129" s="1040"/>
      <c r="L129" s="1040"/>
      <c r="M129" s="1040"/>
      <c r="N129" s="612"/>
      <c r="O129" s="1040"/>
      <c r="P129" s="1040"/>
      <c r="Q129" s="1040"/>
      <c r="R129" s="1040"/>
      <c r="S129" s="612"/>
      <c r="T129" s="1040"/>
      <c r="U129" s="1040"/>
      <c r="V129" s="1040"/>
      <c r="W129" s="1040"/>
      <c r="X129" s="612"/>
      <c r="Y129" s="1040"/>
      <c r="Z129" s="1040"/>
      <c r="AA129" s="1040"/>
      <c r="AB129" s="1040"/>
      <c r="AC129" s="612"/>
      <c r="AD129" s="1040"/>
      <c r="AE129" s="1040"/>
      <c r="AF129" s="1040"/>
      <c r="AG129" s="1040"/>
      <c r="AH129" s="612"/>
      <c r="AI129" s="612"/>
      <c r="AJ129" s="614"/>
      <c r="AK129" s="575"/>
      <c r="AL129" s="575"/>
      <c r="AM129" s="575"/>
      <c r="AN129" s="570"/>
      <c r="AO129" s="571">
        <f>Application!B737</f>
        <v>0</v>
      </c>
      <c r="AQ129" s="571">
        <f>Application!O737</f>
        <v>0</v>
      </c>
      <c r="AU129" s="1047"/>
      <c r="AV129" s="1046"/>
      <c r="AW129" s="1047"/>
      <c r="AX129" s="1047"/>
      <c r="AY129" s="1046"/>
      <c r="AZ129" s="1046"/>
    </row>
    <row r="130" spans="1:52" s="571" customFormat="1" ht="12.75" customHeight="1">
      <c r="A130" s="575"/>
      <c r="B130" s="574"/>
      <c r="C130" s="575"/>
      <c r="D130" s="575"/>
      <c r="E130" s="1918" t="e">
        <f>IF(((E127-0.1)*AW110)&gt;0,((E127-0.1)*AW110),0)</f>
        <v>#DIV/0!</v>
      </c>
      <c r="F130" s="1919"/>
      <c r="G130" s="1919"/>
      <c r="H130" s="1920"/>
      <c r="I130" s="612"/>
      <c r="J130" s="1918">
        <f>IF(((J127-0.1)*AW111)&gt;0,((J127-0.1)*AW111),0)</f>
        <v>0.13826526958313368</v>
      </c>
      <c r="K130" s="1919"/>
      <c r="L130" s="1919"/>
      <c r="M130" s="1920"/>
      <c r="N130" s="612"/>
      <c r="O130" s="1918">
        <f>IF(((O127-0.1)*AW112)&gt;0,((O127-0.1)*AW112),0)</f>
        <v>0.13204308850583268</v>
      </c>
      <c r="P130" s="1919"/>
      <c r="Q130" s="1919"/>
      <c r="R130" s="1920"/>
      <c r="S130" s="612"/>
      <c r="T130" s="1918">
        <f>IF(((T127-0.1)*AW113)&gt;0,((T127-0.1)*AW113),0)</f>
        <v>8.5108343823053406E-2</v>
      </c>
      <c r="U130" s="1919"/>
      <c r="V130" s="1919"/>
      <c r="W130" s="1920"/>
      <c r="X130" s="612"/>
      <c r="Y130" s="1918" t="e">
        <f>IF(((Y127-0.1)*AW114)&gt;0,((Y127-0.1)*AW114),0)</f>
        <v>#DIV/0!</v>
      </c>
      <c r="Z130" s="1919"/>
      <c r="AA130" s="1919"/>
      <c r="AB130" s="1920"/>
      <c r="AC130" s="612"/>
      <c r="AD130" s="1918" t="e">
        <f>IF(((AD127-0.1)*AW115)&gt;0,((AD127-0.1)*AW115),0)</f>
        <v>#DIV/0!</v>
      </c>
      <c r="AE130" s="1919"/>
      <c r="AF130" s="1919"/>
      <c r="AG130" s="1920"/>
      <c r="AH130" s="612"/>
      <c r="AI130" s="612"/>
      <c r="AJ130" s="614"/>
      <c r="AK130" s="575"/>
      <c r="AL130" s="575"/>
      <c r="AM130" s="575"/>
      <c r="AN130" s="570"/>
      <c r="AO130" s="571">
        <f>Application!B738</f>
        <v>0</v>
      </c>
      <c r="AQ130" s="571">
        <f>Application!O738</f>
        <v>0</v>
      </c>
      <c r="AU130" s="1046"/>
      <c r="AV130" s="1046"/>
      <c r="AW130" s="1046"/>
      <c r="AX130" s="1047"/>
      <c r="AY130" s="1046"/>
      <c r="AZ130" s="1046"/>
    </row>
    <row r="131" spans="1:52" s="571" customFormat="1" ht="12.75" customHeight="1">
      <c r="A131" s="575"/>
      <c r="B131" s="574"/>
      <c r="C131" s="575"/>
      <c r="D131" s="575"/>
      <c r="E131" s="903"/>
      <c r="F131" s="899"/>
      <c r="G131" s="899"/>
      <c r="H131" s="899"/>
      <c r="I131" s="612"/>
      <c r="J131" s="615"/>
      <c r="K131" s="612"/>
      <c r="L131" s="612"/>
      <c r="M131" s="612"/>
      <c r="N131" s="612"/>
      <c r="O131" s="612"/>
      <c r="P131" s="612"/>
      <c r="Q131" s="612"/>
      <c r="R131" s="612"/>
      <c r="S131" s="612"/>
      <c r="T131" s="612"/>
      <c r="U131" s="612"/>
      <c r="V131" s="612"/>
      <c r="W131" s="612"/>
      <c r="X131" s="612"/>
      <c r="Y131" s="612"/>
      <c r="Z131" s="612"/>
      <c r="AA131" s="612"/>
      <c r="AB131" s="612"/>
      <c r="AC131" s="612"/>
      <c r="AD131" s="612"/>
      <c r="AE131" s="612"/>
      <c r="AF131" s="612"/>
      <c r="AG131" s="612"/>
      <c r="AH131" s="612"/>
      <c r="AI131" s="612"/>
      <c r="AJ131" s="614"/>
      <c r="AK131" s="575"/>
      <c r="AL131" s="575"/>
      <c r="AM131" s="575"/>
      <c r="AN131" s="570"/>
      <c r="AU131" s="1046"/>
      <c r="AV131" s="1046"/>
      <c r="AW131" s="1046"/>
      <c r="AX131" s="1046"/>
      <c r="AY131" s="1046"/>
      <c r="AZ131" s="1046"/>
    </row>
    <row r="132" spans="1:52" s="571" customFormat="1" ht="12.75" customHeight="1">
      <c r="A132" s="575"/>
      <c r="B132" s="574"/>
      <c r="C132" s="575"/>
      <c r="D132" s="575"/>
      <c r="E132" s="2109">
        <f>ROUNDDOWN(SUMIF(E130:AG130,"&gt;0"),2)</f>
        <v>0.35</v>
      </c>
      <c r="F132" s="1869"/>
      <c r="G132" s="1869"/>
      <c r="H132" s="2110"/>
      <c r="I132" s="612"/>
      <c r="J132" s="615" t="s">
        <v>2109</v>
      </c>
      <c r="K132" s="612"/>
      <c r="L132" s="612"/>
      <c r="M132" s="612"/>
      <c r="N132" s="612"/>
      <c r="O132" s="612"/>
      <c r="P132" s="612"/>
      <c r="Q132" s="612"/>
      <c r="R132" s="612"/>
      <c r="S132" s="612"/>
      <c r="T132" s="612"/>
      <c r="U132" s="612"/>
      <c r="V132" s="612"/>
      <c r="W132" s="612"/>
      <c r="X132" s="612"/>
      <c r="Y132" s="612"/>
      <c r="Z132" s="612"/>
      <c r="AA132" s="612"/>
      <c r="AB132" s="612"/>
      <c r="AC132" s="612"/>
      <c r="AD132" s="905"/>
      <c r="AE132" s="905"/>
      <c r="AF132" s="905"/>
      <c r="AG132" s="905"/>
      <c r="AH132" s="612"/>
      <c r="AI132" s="612"/>
      <c r="AJ132" s="614"/>
      <c r="AK132" s="575"/>
      <c r="AL132" s="575"/>
      <c r="AM132" s="575"/>
      <c r="AN132" s="570"/>
      <c r="AU132" s="1046"/>
      <c r="AV132" s="1046"/>
      <c r="AW132" s="1046"/>
      <c r="AX132" s="1047"/>
      <c r="AY132" s="1046"/>
      <c r="AZ132" s="1046"/>
    </row>
    <row r="133" spans="1:52" s="571" customFormat="1" ht="12.75" customHeight="1">
      <c r="A133" s="575"/>
      <c r="B133" s="574"/>
      <c r="C133" s="575"/>
      <c r="D133" s="575"/>
      <c r="E133" s="1902">
        <f>IF((E132*100)&gt;10,10,E132*100)</f>
        <v>10</v>
      </c>
      <c r="F133" s="1903"/>
      <c r="G133" s="1903"/>
      <c r="H133" s="1904"/>
      <c r="I133" s="612"/>
      <c r="J133" s="615" t="s">
        <v>1500</v>
      </c>
      <c r="K133" s="612"/>
      <c r="L133" s="612"/>
      <c r="M133" s="612"/>
      <c r="N133" s="612"/>
      <c r="O133" s="612"/>
      <c r="P133" s="612"/>
      <c r="Q133" s="612"/>
      <c r="R133" s="612"/>
      <c r="S133" s="612"/>
      <c r="T133" s="612"/>
      <c r="U133" s="612"/>
      <c r="V133" s="612"/>
      <c r="W133" s="612"/>
      <c r="X133" s="612"/>
      <c r="Y133" s="612"/>
      <c r="Z133" s="612"/>
      <c r="AA133" s="612"/>
      <c r="AB133" s="612"/>
      <c r="AC133" s="612"/>
      <c r="AD133" s="612"/>
      <c r="AE133" s="612"/>
      <c r="AF133" s="612"/>
      <c r="AG133" s="612"/>
      <c r="AH133" s="612"/>
      <c r="AI133" s="612"/>
      <c r="AJ133" s="614"/>
      <c r="AK133" s="575"/>
      <c r="AL133" s="575"/>
      <c r="AM133" s="575"/>
      <c r="AN133" s="570"/>
      <c r="AU133" s="1046"/>
      <c r="AV133" s="1046"/>
      <c r="AW133" s="1046"/>
      <c r="AX133" s="1046"/>
      <c r="AY133" s="1046"/>
      <c r="AZ133" s="1046"/>
    </row>
    <row r="134" spans="1:52" s="571" customFormat="1" ht="12.75" customHeight="1">
      <c r="A134" s="575"/>
      <c r="B134" s="575"/>
      <c r="C134" s="575"/>
      <c r="D134" s="575"/>
      <c r="E134" s="623"/>
      <c r="F134" s="624"/>
      <c r="G134" s="624"/>
      <c r="H134" s="624"/>
      <c r="I134" s="624"/>
      <c r="J134" s="624"/>
      <c r="K134" s="624"/>
      <c r="L134" s="624"/>
      <c r="M134" s="624"/>
      <c r="N134" s="624"/>
      <c r="O134" s="624"/>
      <c r="P134" s="624"/>
      <c r="Q134" s="624"/>
      <c r="R134" s="624"/>
      <c r="S134" s="624"/>
      <c r="T134" s="624"/>
      <c r="U134" s="624"/>
      <c r="V134" s="624"/>
      <c r="W134" s="624"/>
      <c r="X134" s="624"/>
      <c r="Y134" s="624"/>
      <c r="Z134" s="624"/>
      <c r="AA134" s="624"/>
      <c r="AB134" s="624"/>
      <c r="AC134" s="624"/>
      <c r="AD134" s="624"/>
      <c r="AE134" s="624"/>
      <c r="AF134" s="624"/>
      <c r="AG134" s="624"/>
      <c r="AH134" s="624"/>
      <c r="AI134" s="624"/>
      <c r="AJ134" s="625"/>
      <c r="AK134" s="575"/>
      <c r="AL134" s="575"/>
      <c r="AM134" s="575"/>
      <c r="AN134" s="570"/>
      <c r="AT134" s="1039"/>
      <c r="AU134" s="1046"/>
      <c r="AV134" s="1046"/>
      <c r="AW134" s="1047"/>
      <c r="AX134" s="1046"/>
      <c r="AY134" s="1046"/>
      <c r="AZ134" s="1046"/>
    </row>
    <row r="135" spans="1:52" s="571" customFormat="1" ht="12.75" customHeight="1">
      <c r="A135" s="575"/>
      <c r="B135" s="575"/>
      <c r="C135" s="575"/>
      <c r="D135" s="575"/>
      <c r="E135" s="575"/>
      <c r="F135" s="575"/>
      <c r="G135" s="575"/>
      <c r="H135" s="575"/>
      <c r="I135" s="575"/>
      <c r="J135" s="575"/>
      <c r="K135" s="575"/>
      <c r="L135" s="575"/>
      <c r="M135" s="575"/>
      <c r="N135" s="575"/>
      <c r="O135" s="575"/>
      <c r="P135" s="575"/>
      <c r="Q135" s="575"/>
      <c r="R135" s="575"/>
      <c r="S135" s="575"/>
      <c r="T135" s="575"/>
      <c r="U135" s="575"/>
      <c r="V135" s="575"/>
      <c r="W135" s="575"/>
      <c r="X135" s="575"/>
      <c r="Y135" s="575"/>
      <c r="Z135" s="575"/>
      <c r="AA135" s="575"/>
      <c r="AB135" s="575"/>
      <c r="AC135" s="575"/>
      <c r="AD135" s="575"/>
      <c r="AE135" s="575"/>
      <c r="AF135" s="575"/>
      <c r="AG135" s="575"/>
      <c r="AH135" s="575"/>
      <c r="AI135" s="575"/>
      <c r="AJ135" s="575"/>
      <c r="AK135" s="575"/>
      <c r="AL135" s="575"/>
      <c r="AM135" s="575"/>
      <c r="AN135" s="570"/>
      <c r="AU135" s="1046"/>
      <c r="AV135" s="1046"/>
      <c r="AW135" s="1046"/>
      <c r="AX135" s="1046"/>
      <c r="AY135" s="1046"/>
      <c r="AZ135" s="1046"/>
    </row>
    <row r="136" spans="1:52" s="571" customFormat="1" ht="12.75" customHeight="1">
      <c r="A136" s="575"/>
      <c r="B136" s="575"/>
      <c r="C136" s="575"/>
      <c r="D136" s="575"/>
      <c r="E136" s="575"/>
      <c r="F136" s="575"/>
      <c r="G136" s="575"/>
      <c r="H136" s="575"/>
      <c r="I136" s="575"/>
      <c r="J136" s="575"/>
      <c r="K136" s="575"/>
      <c r="L136" s="575"/>
      <c r="M136" s="575"/>
      <c r="N136" s="575"/>
      <c r="O136" s="575"/>
      <c r="P136" s="575"/>
      <c r="Q136" s="575"/>
      <c r="R136" s="575"/>
      <c r="S136" s="575"/>
      <c r="T136" s="575"/>
      <c r="U136" s="575"/>
      <c r="V136" s="575"/>
      <c r="W136" s="575"/>
      <c r="X136" s="575"/>
      <c r="Y136" s="575"/>
      <c r="Z136" s="575"/>
      <c r="AA136" s="575"/>
      <c r="AB136" s="575"/>
      <c r="AC136" s="575"/>
      <c r="AD136" s="575"/>
      <c r="AE136" s="575"/>
      <c r="AF136" s="575"/>
      <c r="AG136" s="575"/>
      <c r="AH136" s="575"/>
      <c r="AI136" s="575"/>
      <c r="AJ136" s="575"/>
      <c r="AK136" s="575"/>
      <c r="AL136" s="575"/>
      <c r="AM136" s="575"/>
      <c r="AN136" s="570"/>
    </row>
    <row r="137" spans="1:52" s="571" customFormat="1" ht="12.75" customHeight="1">
      <c r="A137" s="596"/>
      <c r="B137" s="597"/>
      <c r="C137" s="597"/>
      <c r="D137" s="597"/>
      <c r="E137" s="597"/>
      <c r="F137" s="597"/>
      <c r="G137" s="598"/>
      <c r="H137" s="599"/>
      <c r="I137" s="599"/>
      <c r="J137" s="599"/>
      <c r="K137" s="599"/>
      <c r="L137" s="599"/>
      <c r="M137" s="599"/>
      <c r="N137" s="599"/>
      <c r="O137" s="599"/>
      <c r="P137" s="599"/>
      <c r="Q137" s="599"/>
      <c r="R137" s="599"/>
      <c r="S137" s="599"/>
      <c r="T137" s="599"/>
      <c r="U137" s="599"/>
      <c r="V137" s="599"/>
      <c r="W137" s="599"/>
      <c r="X137" s="599"/>
      <c r="Y137" s="599"/>
      <c r="Z137" s="599"/>
      <c r="AA137" s="599"/>
      <c r="AB137" s="599"/>
      <c r="AC137" s="599"/>
      <c r="AD137" s="599"/>
      <c r="AE137" s="599"/>
      <c r="AF137" s="599"/>
      <c r="AG137" s="599"/>
      <c r="AH137" s="599"/>
      <c r="AI137" s="600"/>
      <c r="AJ137" s="600" t="s">
        <v>1507</v>
      </c>
      <c r="AK137" s="1902">
        <f>E133</f>
        <v>10</v>
      </c>
      <c r="AL137" s="1903"/>
      <c r="AM137" s="1904"/>
      <c r="AN137" s="570"/>
    </row>
    <row r="138" spans="1:52" s="571" customFormat="1" ht="12.75" customHeight="1" thickBot="1">
      <c r="A138" s="601"/>
      <c r="B138" s="602"/>
      <c r="C138" s="603"/>
      <c r="D138" s="603"/>
      <c r="E138" s="603"/>
      <c r="F138" s="603"/>
      <c r="G138" s="603"/>
      <c r="H138" s="603"/>
      <c r="I138" s="603"/>
      <c r="J138" s="603"/>
      <c r="K138" s="603"/>
      <c r="L138" s="603"/>
      <c r="M138" s="603"/>
      <c r="N138" s="603"/>
      <c r="O138" s="603"/>
      <c r="P138" s="603"/>
      <c r="Q138" s="603"/>
      <c r="R138" s="603"/>
      <c r="S138" s="603"/>
      <c r="T138" s="603"/>
      <c r="U138" s="603"/>
      <c r="V138" s="603"/>
      <c r="W138" s="603"/>
      <c r="X138" s="603"/>
      <c r="Y138" s="603"/>
      <c r="Z138" s="603"/>
      <c r="AA138" s="603"/>
      <c r="AB138" s="603"/>
      <c r="AC138" s="603"/>
      <c r="AD138" s="603"/>
      <c r="AE138" s="603"/>
      <c r="AF138" s="603"/>
      <c r="AG138" s="603"/>
      <c r="AH138" s="603"/>
      <c r="AI138" s="603"/>
      <c r="AJ138" s="603"/>
      <c r="AK138" s="603"/>
      <c r="AL138" s="603"/>
      <c r="AM138" s="604"/>
      <c r="AN138" s="570"/>
    </row>
    <row r="139" spans="1:52" s="571" customFormat="1" ht="12.75" customHeight="1" thickTop="1">
      <c r="A139" s="605"/>
      <c r="B139" s="606"/>
      <c r="C139" s="607"/>
      <c r="D139" s="607"/>
      <c r="E139" s="607"/>
      <c r="F139" s="607"/>
      <c r="G139" s="607"/>
      <c r="H139" s="607"/>
      <c r="I139" s="608"/>
      <c r="J139" s="608"/>
      <c r="K139" s="608"/>
      <c r="L139" s="608"/>
      <c r="M139" s="608"/>
      <c r="N139" s="608"/>
      <c r="O139" s="608"/>
      <c r="P139" s="608"/>
      <c r="Q139" s="608"/>
      <c r="R139" s="605"/>
      <c r="S139" s="574"/>
      <c r="T139" s="574"/>
      <c r="U139" s="574"/>
      <c r="V139" s="574"/>
      <c r="W139" s="574"/>
      <c r="X139" s="574"/>
      <c r="Y139" s="574"/>
      <c r="Z139" s="574"/>
      <c r="AA139" s="574"/>
      <c r="AB139" s="574"/>
      <c r="AC139" s="574"/>
      <c r="AD139" s="574"/>
      <c r="AE139" s="574"/>
      <c r="AF139" s="605"/>
      <c r="AG139" s="574"/>
      <c r="AH139" s="574"/>
      <c r="AI139" s="574"/>
      <c r="AJ139" s="574"/>
      <c r="AK139" s="585"/>
      <c r="AL139" s="585"/>
      <c r="AM139" s="585"/>
      <c r="AN139" s="570"/>
    </row>
    <row r="140" spans="1:52" s="574" customFormat="1" ht="12.75" customHeight="1">
      <c r="A140" s="573" t="s">
        <v>1508</v>
      </c>
      <c r="AE140" s="1882" t="s">
        <v>1486</v>
      </c>
      <c r="AF140" s="1882"/>
      <c r="AG140" s="1882"/>
      <c r="AH140" s="1882"/>
      <c r="AI140" s="1882"/>
      <c r="AJ140" s="1882"/>
      <c r="AK140" s="1882"/>
      <c r="AL140" s="626"/>
      <c r="AN140" s="627"/>
      <c r="AO140" s="571"/>
    </row>
    <row r="141" spans="1:52" s="574" customFormat="1" ht="12.95" customHeight="1">
      <c r="A141" s="573"/>
      <c r="AE141" s="626"/>
      <c r="AF141" s="626"/>
      <c r="AG141" s="626"/>
      <c r="AH141" s="626"/>
      <c r="AI141" s="626"/>
      <c r="AJ141" s="626"/>
      <c r="AK141" s="626"/>
      <c r="AL141" s="626"/>
      <c r="AN141" s="627"/>
    </row>
    <row r="142" spans="1:52" s="571" customFormat="1" ht="12.75" customHeight="1">
      <c r="A142" s="573"/>
      <c r="B142" s="573" t="s">
        <v>1509</v>
      </c>
      <c r="C142" s="574"/>
      <c r="D142" s="574"/>
      <c r="E142" s="574"/>
      <c r="F142" s="574"/>
      <c r="G142" s="574"/>
      <c r="H142" s="574"/>
      <c r="I142" s="574"/>
      <c r="J142" s="574"/>
      <c r="K142" s="574"/>
      <c r="L142" s="574"/>
      <c r="M142" s="574"/>
      <c r="N142" s="574"/>
      <c r="O142" s="574"/>
      <c r="P142" s="574"/>
      <c r="Q142" s="574"/>
      <c r="R142" s="574"/>
      <c r="S142" s="574"/>
      <c r="T142" s="574"/>
      <c r="U142" s="574"/>
      <c r="V142" s="574"/>
      <c r="W142" s="574"/>
      <c r="X142" s="574"/>
      <c r="Y142" s="574"/>
      <c r="Z142" s="574"/>
      <c r="AA142" s="574"/>
      <c r="AB142" s="574"/>
      <c r="AC142" s="574"/>
      <c r="AD142" s="574"/>
      <c r="AF142" s="1914" t="s">
        <v>1510</v>
      </c>
      <c r="AG142" s="1914"/>
      <c r="AH142" s="1914"/>
      <c r="AI142" s="1914"/>
      <c r="AJ142" s="1914"/>
      <c r="AK142" s="1914"/>
      <c r="AL142" s="1914"/>
      <c r="AM142" s="574"/>
      <c r="AN142" s="570"/>
    </row>
    <row r="143" spans="1:52" s="571" customFormat="1" ht="12.75" customHeight="1">
      <c r="A143" s="573"/>
      <c r="B143" s="573" t="s">
        <v>541</v>
      </c>
      <c r="C143" s="640"/>
      <c r="D143" s="640"/>
      <c r="E143" s="640"/>
      <c r="F143" s="640"/>
      <c r="G143" s="640"/>
      <c r="H143" s="640"/>
      <c r="I143" s="640"/>
      <c r="J143" s="640"/>
      <c r="K143" s="640"/>
      <c r="L143" s="640"/>
      <c r="M143" s="640"/>
      <c r="N143" s="640"/>
      <c r="O143" s="640"/>
      <c r="P143" s="640"/>
      <c r="Q143" s="640"/>
      <c r="R143" s="640"/>
      <c r="S143" s="640"/>
      <c r="T143" s="640"/>
      <c r="U143" s="640"/>
      <c r="V143" s="640"/>
      <c r="W143" s="640"/>
      <c r="X143" s="640"/>
      <c r="Y143" s="640"/>
      <c r="Z143" s="640"/>
      <c r="AA143" s="640"/>
      <c r="AB143" s="640"/>
      <c r="AC143" s="640"/>
      <c r="AD143" s="574"/>
      <c r="AL143" s="629"/>
      <c r="AM143" s="574"/>
      <c r="AN143" s="570"/>
    </row>
    <row r="144" spans="1:52" s="571" customFormat="1" ht="15" customHeight="1">
      <c r="A144" s="573"/>
      <c r="B144" s="1915" t="s">
        <v>2642</v>
      </c>
      <c r="C144" s="1915"/>
      <c r="D144" s="1915"/>
      <c r="E144" s="1915"/>
      <c r="F144" s="1915"/>
      <c r="G144" s="1915"/>
      <c r="H144" s="1915"/>
      <c r="I144" s="1915"/>
      <c r="J144" s="1915"/>
      <c r="K144" s="1915"/>
      <c r="L144" s="1915"/>
      <c r="M144" s="1915"/>
      <c r="N144" s="1915"/>
      <c r="O144" s="1915"/>
      <c r="P144" s="1915"/>
      <c r="Q144" s="1915"/>
      <c r="R144" s="1915"/>
      <c r="S144" s="1915"/>
      <c r="T144" s="1915"/>
      <c r="U144" s="1915"/>
      <c r="V144" s="1915"/>
      <c r="W144" s="1915"/>
      <c r="X144" s="1915"/>
      <c r="Y144" s="1915"/>
      <c r="Z144" s="1915"/>
      <c r="AA144" s="1915"/>
      <c r="AB144" s="1915"/>
      <c r="AC144" s="1915"/>
      <c r="AD144" s="574"/>
      <c r="AE144" s="629"/>
      <c r="AF144" s="629"/>
      <c r="AG144" s="629"/>
      <c r="AH144" s="629"/>
      <c r="AI144" s="629"/>
      <c r="AJ144" s="629"/>
      <c r="AK144" s="629"/>
      <c r="AL144" s="629"/>
      <c r="AM144" s="574"/>
      <c r="AN144" s="570"/>
      <c r="AP144" s="630"/>
    </row>
    <row r="145" spans="1:42" s="571" customFormat="1" ht="12.75" customHeight="1">
      <c r="A145" s="573"/>
      <c r="B145" s="573"/>
      <c r="C145" s="574"/>
      <c r="D145" s="574"/>
      <c r="E145" s="574"/>
      <c r="F145" s="574"/>
      <c r="G145" s="574"/>
      <c r="H145" s="574"/>
      <c r="I145" s="574"/>
      <c r="J145" s="574"/>
      <c r="K145" s="574"/>
      <c r="L145" s="574"/>
      <c r="M145" s="574"/>
      <c r="N145" s="574"/>
      <c r="O145" s="574"/>
      <c r="P145" s="574"/>
      <c r="Q145" s="574"/>
      <c r="R145" s="574"/>
      <c r="S145" s="574"/>
      <c r="T145" s="574"/>
      <c r="U145" s="574"/>
      <c r="V145" s="574"/>
      <c r="W145" s="574"/>
      <c r="X145" s="574"/>
      <c r="Y145" s="574"/>
      <c r="Z145" s="574"/>
      <c r="AA145" s="574"/>
      <c r="AB145" s="574"/>
      <c r="AC145" s="574"/>
      <c r="AD145" s="574"/>
      <c r="AE145" s="629"/>
      <c r="AF145" s="629"/>
      <c r="AG145" s="629"/>
      <c r="AH145" s="629"/>
      <c r="AI145" s="629"/>
      <c r="AJ145" s="629"/>
      <c r="AK145" s="629"/>
      <c r="AL145" s="629"/>
      <c r="AM145" s="574"/>
      <c r="AN145" s="570"/>
      <c r="AO145" s="482" t="s">
        <v>308</v>
      </c>
      <c r="AP145" s="580"/>
    </row>
    <row r="146" spans="1:42" s="571" customFormat="1" ht="12.75" customHeight="1">
      <c r="A146" s="573"/>
      <c r="B146" s="574" t="s">
        <v>1511</v>
      </c>
      <c r="C146" s="574"/>
      <c r="D146" s="574"/>
      <c r="E146" s="574"/>
      <c r="F146" s="574"/>
      <c r="G146" s="574"/>
      <c r="H146" s="574"/>
      <c r="I146" s="574"/>
      <c r="J146" s="574"/>
      <c r="K146" s="574"/>
      <c r="L146" s="574"/>
      <c r="M146" s="574"/>
      <c r="N146" s="574"/>
      <c r="O146" s="574"/>
      <c r="P146" s="574"/>
      <c r="Q146" s="574"/>
      <c r="R146" s="574"/>
      <c r="S146" s="574"/>
      <c r="T146" s="574"/>
      <c r="U146" s="574"/>
      <c r="V146" s="574"/>
      <c r="W146" s="574"/>
      <c r="X146" s="574"/>
      <c r="Y146" s="574"/>
      <c r="Z146" s="574"/>
      <c r="AA146" s="574"/>
      <c r="AB146" s="574"/>
      <c r="AC146" s="574"/>
      <c r="AD146" s="574"/>
      <c r="AE146" s="574"/>
      <c r="AF146" s="574"/>
      <c r="AG146" s="574"/>
      <c r="AH146" s="574"/>
      <c r="AI146" s="574"/>
      <c r="AJ146" s="574"/>
      <c r="AK146" s="574"/>
      <c r="AL146" s="574"/>
      <c r="AM146" s="574"/>
      <c r="AN146" s="570"/>
      <c r="AO146" s="511" t="s">
        <v>1512</v>
      </c>
      <c r="AP146" s="524">
        <v>5</v>
      </c>
    </row>
    <row r="147" spans="1:42" s="571" customFormat="1" ht="12.75" customHeight="1">
      <c r="A147" s="573"/>
      <c r="B147" s="1940" t="s">
        <v>1513</v>
      </c>
      <c r="C147" s="1940"/>
      <c r="D147" s="1940"/>
      <c r="E147" s="1940"/>
      <c r="F147" s="1940"/>
      <c r="G147" s="1940"/>
      <c r="H147" s="1940"/>
      <c r="I147" s="1940"/>
      <c r="J147" s="1940"/>
      <c r="K147" s="1940"/>
      <c r="L147" s="1940"/>
      <c r="M147" s="1940"/>
      <c r="N147" s="1940"/>
      <c r="O147" s="1940"/>
      <c r="P147" s="1940"/>
      <c r="Q147" s="1940"/>
      <c r="R147" s="1940"/>
      <c r="S147" s="1940"/>
      <c r="T147" s="1940"/>
      <c r="U147" s="1940"/>
      <c r="V147" s="1940"/>
      <c r="W147" s="1940"/>
      <c r="X147" s="1940"/>
      <c r="Y147" s="1940"/>
      <c r="Z147" s="1940"/>
      <c r="AA147" s="1940"/>
      <c r="AB147" s="1940"/>
      <c r="AC147" s="1940"/>
      <c r="AD147" s="1940"/>
      <c r="AE147" s="1940"/>
      <c r="AF147" s="1940"/>
      <c r="AG147" s="1940"/>
      <c r="AH147" s="1940"/>
      <c r="AI147" s="1940"/>
      <c r="AM147" s="574"/>
      <c r="AN147" s="570"/>
      <c r="AO147" s="511" t="s">
        <v>1513</v>
      </c>
      <c r="AP147" s="524">
        <v>7</v>
      </c>
    </row>
    <row r="148" spans="1:42" s="571" customFormat="1" ht="12.95" customHeight="1">
      <c r="A148" s="573"/>
      <c r="B148" s="640"/>
      <c r="C148" s="640"/>
      <c r="D148" s="640"/>
      <c r="E148" s="640"/>
      <c r="F148" s="640"/>
      <c r="G148" s="640"/>
      <c r="H148" s="640"/>
      <c r="I148" s="640"/>
      <c r="J148" s="640"/>
      <c r="K148" s="640"/>
      <c r="L148" s="640"/>
      <c r="M148" s="640"/>
      <c r="N148" s="640"/>
      <c r="O148" s="640"/>
      <c r="P148" s="640"/>
      <c r="Q148" s="640"/>
      <c r="R148" s="640"/>
      <c r="S148" s="640"/>
      <c r="T148" s="640"/>
      <c r="U148" s="640"/>
      <c r="V148" s="640"/>
      <c r="W148" s="640"/>
      <c r="X148" s="640"/>
      <c r="Y148" s="640"/>
      <c r="Z148" s="640"/>
      <c r="AA148" s="640"/>
      <c r="AB148" s="640"/>
      <c r="AC148" s="640"/>
      <c r="AD148" s="626"/>
      <c r="AM148" s="574"/>
      <c r="AN148" s="570"/>
      <c r="AO148" s="511" t="s">
        <v>2414</v>
      </c>
      <c r="AP148" s="524">
        <v>7</v>
      </c>
    </row>
    <row r="149" spans="1:42" s="571" customFormat="1" ht="12.75" customHeight="1">
      <c r="A149" s="573"/>
      <c r="B149" s="574" t="s">
        <v>1514</v>
      </c>
      <c r="AB149" s="1941" t="s">
        <v>600</v>
      </c>
      <c r="AC149" s="1941"/>
      <c r="AD149" s="626"/>
      <c r="AM149" s="574"/>
      <c r="AN149" s="570"/>
      <c r="AO149" s="511"/>
      <c r="AP149" s="511"/>
    </row>
    <row r="150" spans="1:42" s="571" customFormat="1" ht="9" customHeight="1">
      <c r="A150" s="573"/>
      <c r="B150" s="640"/>
      <c r="C150" s="640"/>
      <c r="D150" s="640"/>
      <c r="E150" s="640"/>
      <c r="F150" s="640"/>
      <c r="G150" s="640"/>
      <c r="H150" s="640"/>
      <c r="I150" s="640"/>
      <c r="J150" s="640"/>
      <c r="K150" s="640"/>
      <c r="L150" s="640"/>
      <c r="M150" s="640"/>
      <c r="N150" s="640"/>
      <c r="O150" s="640"/>
      <c r="P150" s="640"/>
      <c r="Q150" s="640"/>
      <c r="R150" s="640"/>
      <c r="S150" s="640"/>
      <c r="T150" s="640"/>
      <c r="U150" s="640"/>
      <c r="V150" s="640"/>
      <c r="W150" s="640"/>
      <c r="X150" s="640"/>
      <c r="Y150" s="640"/>
      <c r="Z150" s="640"/>
      <c r="AA150" s="640"/>
      <c r="AB150" s="640"/>
      <c r="AC150" s="640"/>
      <c r="AD150" s="626"/>
      <c r="AM150" s="574"/>
      <c r="AN150" s="570"/>
      <c r="AO150" s="482" t="s">
        <v>1515</v>
      </c>
      <c r="AP150" s="524"/>
    </row>
    <row r="151" spans="1:42" s="571" customFormat="1" ht="12.75" customHeight="1">
      <c r="A151" s="573"/>
      <c r="B151" s="573" t="s">
        <v>1516</v>
      </c>
      <c r="C151" s="640"/>
      <c r="D151" s="640"/>
      <c r="E151" s="640"/>
      <c r="F151" s="640"/>
      <c r="G151" s="640"/>
      <c r="H151" s="640"/>
      <c r="I151" s="640"/>
      <c r="J151" s="640"/>
      <c r="K151" s="640"/>
      <c r="L151" s="640"/>
      <c r="M151" s="640"/>
      <c r="N151" s="640"/>
      <c r="O151" s="640"/>
      <c r="P151" s="640"/>
      <c r="Q151" s="640"/>
      <c r="R151" s="640"/>
      <c r="S151" s="640"/>
      <c r="T151" s="640"/>
      <c r="U151" s="640"/>
      <c r="V151" s="640"/>
      <c r="W151" s="640"/>
      <c r="X151" s="640"/>
      <c r="Y151" s="640"/>
      <c r="Z151" s="640"/>
      <c r="AA151" s="640"/>
      <c r="AB151" s="640"/>
      <c r="AC151" s="640"/>
      <c r="AD151" s="626"/>
      <c r="AM151" s="574"/>
      <c r="AN151" s="570"/>
      <c r="AO151" s="511" t="s">
        <v>1517</v>
      </c>
      <c r="AP151" s="524">
        <v>5</v>
      </c>
    </row>
    <row r="152" spans="1:42" s="571" customFormat="1" ht="12.75" customHeight="1">
      <c r="A152" s="573"/>
      <c r="B152" s="1940" t="s">
        <v>1515</v>
      </c>
      <c r="C152" s="1940"/>
      <c r="D152" s="1940"/>
      <c r="E152" s="1940"/>
      <c r="F152" s="1940"/>
      <c r="G152" s="1940"/>
      <c r="H152" s="1940"/>
      <c r="I152" s="1940"/>
      <c r="J152" s="1940"/>
      <c r="K152" s="1940"/>
      <c r="L152" s="1940"/>
      <c r="M152" s="1940"/>
      <c r="N152" s="1940"/>
      <c r="O152" s="1940"/>
      <c r="P152" s="1940"/>
      <c r="Q152" s="1940"/>
      <c r="R152" s="1940"/>
      <c r="S152" s="1940"/>
      <c r="T152" s="1940"/>
      <c r="U152" s="1940"/>
      <c r="V152" s="1940"/>
      <c r="W152" s="1940"/>
      <c r="X152" s="1940"/>
      <c r="Y152" s="1940"/>
      <c r="Z152" s="1940"/>
      <c r="AA152" s="1940"/>
      <c r="AB152" s="1940"/>
      <c r="AC152" s="1940"/>
      <c r="AD152" s="1940"/>
      <c r="AE152" s="1940"/>
      <c r="AF152" s="1940"/>
      <c r="AG152" s="1940"/>
      <c r="AH152" s="1940"/>
      <c r="AI152" s="1940"/>
      <c r="AJ152" s="1940"/>
      <c r="AN152" s="570"/>
      <c r="AO152" s="511" t="s">
        <v>1518</v>
      </c>
      <c r="AP152" s="524">
        <v>7</v>
      </c>
    </row>
    <row r="153" spans="1:42" s="571" customFormat="1" ht="12.75" customHeight="1">
      <c r="B153" s="574" t="s">
        <v>1519</v>
      </c>
      <c r="C153" s="640"/>
      <c r="D153" s="640"/>
      <c r="E153" s="640"/>
      <c r="F153" s="640"/>
      <c r="G153" s="640"/>
      <c r="H153" s="640"/>
      <c r="I153" s="640"/>
      <c r="J153" s="640"/>
      <c r="K153" s="640"/>
      <c r="L153" s="640"/>
      <c r="M153" s="640"/>
      <c r="N153" s="640"/>
      <c r="O153" s="640"/>
      <c r="P153" s="640"/>
      <c r="Q153" s="640"/>
      <c r="R153" s="640"/>
      <c r="S153" s="640"/>
      <c r="T153" s="640"/>
      <c r="U153" s="640"/>
      <c r="AM153" s="574"/>
      <c r="AN153" s="570"/>
      <c r="AO153" s="511"/>
      <c r="AP153" s="524"/>
    </row>
    <row r="154" spans="1:42" s="571" customFormat="1" ht="12.75" customHeight="1">
      <c r="AM154" s="574"/>
      <c r="AN154" s="570"/>
    </row>
    <row r="155" spans="1:42" s="585" customFormat="1" ht="12.75" customHeight="1">
      <c r="A155" s="635"/>
      <c r="B155" s="636"/>
      <c r="C155" s="636"/>
      <c r="D155" s="636"/>
      <c r="E155" s="636"/>
      <c r="F155" s="636"/>
      <c r="G155" s="636"/>
      <c r="H155" s="636"/>
      <c r="I155" s="636"/>
      <c r="J155" s="636"/>
      <c r="K155" s="636"/>
      <c r="L155" s="636"/>
      <c r="M155" s="636"/>
      <c r="N155" s="636"/>
      <c r="O155" s="636"/>
      <c r="P155" s="636"/>
      <c r="Q155" s="636"/>
      <c r="R155" s="636"/>
      <c r="S155" s="636"/>
      <c r="T155" s="636"/>
      <c r="U155" s="636"/>
      <c r="V155" s="636"/>
      <c r="W155" s="636"/>
      <c r="X155" s="636"/>
      <c r="Y155" s="636"/>
      <c r="Z155" s="636"/>
      <c r="AA155" s="636"/>
      <c r="AB155" s="636"/>
      <c r="AC155" s="636"/>
      <c r="AD155" s="636"/>
      <c r="AE155" s="636"/>
      <c r="AF155" s="636"/>
      <c r="AG155" s="636"/>
      <c r="AH155" s="636"/>
      <c r="AI155" s="600" t="s">
        <v>1521</v>
      </c>
      <c r="AJ155" s="1943">
        <f>IF($AB$149="N/A",VLOOKUP($B$147,$AO$145:$AP$148,2,FALSE),VLOOKUP($B$152,$AO$150:$AP$153,2,FALSE))</f>
        <v>7</v>
      </c>
      <c r="AK155" s="1943"/>
      <c r="AL155" s="630"/>
      <c r="AM155" s="571"/>
      <c r="AN155" s="633"/>
    </row>
    <row r="156" spans="1:42" s="585" customFormat="1" ht="12.75" customHeight="1">
      <c r="A156" s="630"/>
      <c r="B156" s="630"/>
      <c r="C156" s="571"/>
      <c r="D156" s="571"/>
      <c r="E156" s="571"/>
      <c r="F156" s="571"/>
      <c r="G156" s="571"/>
      <c r="H156" s="571"/>
      <c r="I156" s="571"/>
      <c r="J156" s="571"/>
      <c r="K156" s="571"/>
      <c r="L156" s="571"/>
      <c r="M156" s="571"/>
      <c r="N156" s="571"/>
      <c r="O156" s="571"/>
      <c r="P156" s="571"/>
      <c r="Q156" s="571"/>
      <c r="R156" s="571"/>
      <c r="S156" s="571"/>
      <c r="T156" s="571"/>
      <c r="U156" s="571"/>
      <c r="V156" s="571"/>
      <c r="W156" s="571"/>
      <c r="X156" s="571"/>
      <c r="Y156" s="571"/>
      <c r="Z156" s="571"/>
      <c r="AA156" s="571"/>
      <c r="AB156" s="571"/>
      <c r="AC156" s="571"/>
      <c r="AD156" s="571"/>
      <c r="AE156" s="571"/>
      <c r="AF156" s="571"/>
      <c r="AG156" s="571"/>
      <c r="AH156" s="571"/>
      <c r="AI156" s="571"/>
      <c r="AJ156" s="571"/>
      <c r="AK156" s="571"/>
      <c r="AL156" s="571"/>
      <c r="AM156" s="571"/>
      <c r="AN156" s="633"/>
    </row>
    <row r="157" spans="1:42" s="585" customFormat="1" ht="12.75" customHeight="1">
      <c r="A157" s="571"/>
      <c r="B157" s="573" t="s">
        <v>1523</v>
      </c>
      <c r="C157" s="574"/>
      <c r="D157" s="571"/>
      <c r="E157" s="677"/>
      <c r="F157" s="677"/>
      <c r="G157" s="677"/>
      <c r="H157" s="677"/>
      <c r="I157" s="677"/>
      <c r="J157" s="677"/>
      <c r="K157" s="677"/>
      <c r="L157" s="677"/>
      <c r="M157" s="677"/>
      <c r="N157" s="677"/>
      <c r="O157" s="677"/>
      <c r="P157" s="677"/>
      <c r="Q157" s="677"/>
      <c r="R157" s="677"/>
      <c r="S157" s="677"/>
      <c r="T157" s="677"/>
      <c r="U157" s="677"/>
      <c r="V157" s="677"/>
      <c r="W157" s="677"/>
      <c r="X157" s="677"/>
      <c r="Y157" s="677"/>
      <c r="Z157" s="677"/>
      <c r="AA157" s="677"/>
      <c r="AB157" s="677"/>
      <c r="AC157" s="677"/>
      <c r="AD157" s="677"/>
      <c r="AE157" s="571"/>
      <c r="AF157" s="1914" t="s">
        <v>1524</v>
      </c>
      <c r="AG157" s="1914"/>
      <c r="AH157" s="1914"/>
      <c r="AI157" s="1914"/>
      <c r="AJ157" s="1914"/>
      <c r="AK157" s="1914"/>
      <c r="AL157" s="1914"/>
      <c r="AM157" s="638"/>
      <c r="AN157" s="633"/>
    </row>
    <row r="158" spans="1:42" s="585" customFormat="1" ht="12.75" customHeight="1">
      <c r="A158" s="571"/>
      <c r="B158" s="574" t="s">
        <v>1525</v>
      </c>
      <c r="C158" s="571"/>
      <c r="D158" s="571"/>
      <c r="E158" s="571"/>
      <c r="F158" s="571"/>
      <c r="G158" s="571"/>
      <c r="H158" s="571"/>
      <c r="I158" s="571"/>
      <c r="J158" s="571"/>
      <c r="K158" s="571"/>
      <c r="L158" s="571"/>
      <c r="M158" s="571"/>
      <c r="N158" s="571"/>
      <c r="O158" s="571"/>
      <c r="P158" s="571"/>
      <c r="Q158" s="571"/>
      <c r="R158" s="571"/>
      <c r="S158" s="571"/>
      <c r="T158" s="571"/>
      <c r="U158" s="571"/>
      <c r="V158" s="571"/>
      <c r="W158" s="571"/>
      <c r="X158" s="571"/>
      <c r="Y158" s="571"/>
      <c r="Z158" s="571"/>
      <c r="AA158" s="574"/>
      <c r="AB158" s="574"/>
      <c r="AC158" s="574"/>
      <c r="AD158" s="574"/>
      <c r="AE158" s="571"/>
      <c r="AF158" s="571"/>
      <c r="AG158" s="571"/>
      <c r="AH158" s="571"/>
      <c r="AI158" s="571"/>
      <c r="AJ158" s="571"/>
      <c r="AK158" s="571"/>
      <c r="AL158" s="571"/>
      <c r="AM158" s="638"/>
      <c r="AN158" s="633"/>
    </row>
    <row r="159" spans="1:42" s="585" customFormat="1" ht="12.75" customHeight="1">
      <c r="A159" s="571"/>
      <c r="B159" s="571"/>
      <c r="C159" s="1940" t="s">
        <v>1522</v>
      </c>
      <c r="D159" s="1940"/>
      <c r="E159" s="1940"/>
      <c r="F159" s="1940"/>
      <c r="G159" s="1940"/>
      <c r="H159" s="1940"/>
      <c r="I159" s="1940"/>
      <c r="J159" s="1940"/>
      <c r="K159" s="1940"/>
      <c r="L159" s="1940"/>
      <c r="M159" s="1940"/>
      <c r="N159" s="1940"/>
      <c r="O159" s="1940"/>
      <c r="P159" s="1940"/>
      <c r="Q159" s="1940"/>
      <c r="R159" s="1940"/>
      <c r="S159" s="1940"/>
      <c r="T159" s="1940"/>
      <c r="U159" s="1940"/>
      <c r="V159" s="1940"/>
      <c r="W159" s="1940"/>
      <c r="X159" s="1940"/>
      <c r="Y159" s="1940"/>
      <c r="Z159" s="1940"/>
      <c r="AA159" s="1940"/>
      <c r="AB159" s="1940"/>
      <c r="AC159" s="1940"/>
      <c r="AD159" s="1940"/>
      <c r="AE159" s="1940"/>
      <c r="AF159" s="1940"/>
      <c r="AG159" s="1940"/>
      <c r="AH159" s="1940"/>
      <c r="AI159" s="1940"/>
      <c r="AJ159" s="571"/>
      <c r="AK159" s="571"/>
      <c r="AL159" s="571"/>
      <c r="AM159" s="638"/>
      <c r="AN159" s="632"/>
      <c r="AO159" s="511" t="s">
        <v>308</v>
      </c>
      <c r="AP159" s="511"/>
    </row>
    <row r="160" spans="1:42" s="585" customFormat="1" ht="12.95" customHeight="1">
      <c r="A160" s="571"/>
      <c r="B160" s="571"/>
      <c r="C160" s="640"/>
      <c r="D160" s="640"/>
      <c r="E160" s="640"/>
      <c r="F160" s="640"/>
      <c r="G160" s="640"/>
      <c r="H160" s="640"/>
      <c r="I160" s="640"/>
      <c r="J160" s="640"/>
      <c r="K160" s="640"/>
      <c r="L160" s="640"/>
      <c r="M160" s="640"/>
      <c r="N160" s="640"/>
      <c r="O160" s="640"/>
      <c r="P160" s="640"/>
      <c r="Q160" s="640"/>
      <c r="R160" s="640"/>
      <c r="S160" s="640"/>
      <c r="T160" s="640"/>
      <c r="U160" s="640"/>
      <c r="V160" s="640"/>
      <c r="W160" s="640"/>
      <c r="X160" s="640"/>
      <c r="Y160" s="640"/>
      <c r="Z160" s="640"/>
      <c r="AA160" s="640"/>
      <c r="AB160" s="640"/>
      <c r="AC160" s="640"/>
      <c r="AD160" s="640"/>
      <c r="AE160" s="571"/>
      <c r="AF160" s="571"/>
      <c r="AG160" s="571"/>
      <c r="AH160" s="571"/>
      <c r="AI160" s="571"/>
      <c r="AJ160" s="571"/>
      <c r="AK160" s="571"/>
      <c r="AL160" s="571"/>
      <c r="AM160" s="638"/>
      <c r="AN160" s="632"/>
      <c r="AO160" s="511" t="s">
        <v>1520</v>
      </c>
      <c r="AP160" s="634">
        <v>2</v>
      </c>
    </row>
    <row r="161" spans="1:73" s="585" customFormat="1" ht="12.75" customHeight="1">
      <c r="A161" s="571"/>
      <c r="B161" s="571"/>
      <c r="C161" s="574" t="s">
        <v>1527</v>
      </c>
      <c r="D161" s="571"/>
      <c r="E161" s="571"/>
      <c r="F161" s="571"/>
      <c r="G161" s="571"/>
      <c r="H161" s="571"/>
      <c r="I161" s="571"/>
      <c r="J161" s="571"/>
      <c r="K161" s="571"/>
      <c r="L161" s="571"/>
      <c r="M161" s="571"/>
      <c r="N161" s="571"/>
      <c r="O161" s="571"/>
      <c r="P161" s="571"/>
      <c r="Q161" s="571"/>
      <c r="R161" s="571"/>
      <c r="S161" s="571"/>
      <c r="T161" s="571"/>
      <c r="U161" s="571"/>
      <c r="V161" s="571"/>
      <c r="W161" s="571"/>
      <c r="X161" s="571"/>
      <c r="Y161" s="571"/>
      <c r="Z161" s="571"/>
      <c r="AA161" s="571"/>
      <c r="AB161" s="571"/>
      <c r="AC161" s="1941" t="s">
        <v>600</v>
      </c>
      <c r="AD161" s="1941"/>
      <c r="AE161" s="571"/>
      <c r="AF161" s="571"/>
      <c r="AG161" s="571"/>
      <c r="AH161" s="571"/>
      <c r="AI161" s="571"/>
      <c r="AJ161" s="571"/>
      <c r="AK161" s="571"/>
      <c r="AL161" s="571"/>
      <c r="AM161" s="638"/>
      <c r="AN161" s="632"/>
      <c r="AO161" s="511" t="s">
        <v>1522</v>
      </c>
      <c r="AP161" s="634">
        <v>3</v>
      </c>
    </row>
    <row r="162" spans="1:73" s="585" customFormat="1" ht="9" customHeight="1">
      <c r="A162" s="571"/>
      <c r="B162" s="571"/>
      <c r="C162" s="640"/>
      <c r="D162" s="640"/>
      <c r="E162" s="640"/>
      <c r="F162" s="640"/>
      <c r="G162" s="640"/>
      <c r="H162" s="640"/>
      <c r="I162" s="640"/>
      <c r="J162" s="640"/>
      <c r="K162" s="640"/>
      <c r="L162" s="640"/>
      <c r="M162" s="640"/>
      <c r="N162" s="640"/>
      <c r="O162" s="640"/>
      <c r="P162" s="640"/>
      <c r="Q162" s="640"/>
      <c r="R162" s="640"/>
      <c r="S162" s="640"/>
      <c r="T162" s="640"/>
      <c r="U162" s="640"/>
      <c r="V162" s="640"/>
      <c r="W162" s="640"/>
      <c r="X162" s="640"/>
      <c r="Y162" s="640"/>
      <c r="Z162" s="640"/>
      <c r="AA162" s="640"/>
      <c r="AB162" s="640"/>
      <c r="AC162" s="640"/>
      <c r="AD162" s="640"/>
      <c r="AE162" s="571"/>
      <c r="AF162" s="571"/>
      <c r="AG162" s="571"/>
      <c r="AH162" s="571"/>
      <c r="AI162" s="571"/>
      <c r="AJ162" s="571"/>
      <c r="AK162" s="571"/>
      <c r="AL162" s="571"/>
      <c r="AM162" s="638"/>
      <c r="AN162" s="632"/>
      <c r="AO162" s="637" t="s">
        <v>1816</v>
      </c>
      <c r="AP162" s="634">
        <v>3</v>
      </c>
    </row>
    <row r="163" spans="1:73" s="585" customFormat="1" ht="12.75" customHeight="1">
      <c r="A163" s="571"/>
      <c r="B163" s="571"/>
      <c r="C163" s="1940" t="s">
        <v>1515</v>
      </c>
      <c r="D163" s="1940"/>
      <c r="E163" s="1940"/>
      <c r="F163" s="1940"/>
      <c r="G163" s="1940"/>
      <c r="H163" s="1940"/>
      <c r="I163" s="1940"/>
      <c r="J163" s="1940"/>
      <c r="K163" s="1940"/>
      <c r="L163" s="1940"/>
      <c r="M163" s="1940"/>
      <c r="N163" s="1940"/>
      <c r="O163" s="1940"/>
      <c r="P163" s="1940"/>
      <c r="Q163" s="1940"/>
      <c r="R163" s="1940"/>
      <c r="S163" s="1940"/>
      <c r="T163" s="1940"/>
      <c r="U163" s="1940"/>
      <c r="V163" s="1940"/>
      <c r="W163" s="1940"/>
      <c r="X163" s="1940"/>
      <c r="Y163" s="1940"/>
      <c r="Z163" s="1940"/>
      <c r="AA163" s="1940"/>
      <c r="AB163" s="1940"/>
      <c r="AC163" s="1940"/>
      <c r="AD163" s="1940"/>
      <c r="AE163" s="571"/>
      <c r="AF163" s="571"/>
      <c r="AG163" s="571"/>
      <c r="AH163" s="571"/>
      <c r="AI163" s="571"/>
      <c r="AJ163" s="571"/>
      <c r="AK163" s="571"/>
      <c r="AL163" s="571"/>
      <c r="AM163" s="638"/>
      <c r="AN163" s="632"/>
      <c r="AO163" s="637"/>
      <c r="AP163" s="634"/>
    </row>
    <row r="164" spans="1:73" s="585" customFormat="1" ht="12.75" customHeight="1">
      <c r="A164" s="571"/>
      <c r="B164" s="571"/>
      <c r="C164" s="574" t="s">
        <v>1519</v>
      </c>
      <c r="D164" s="574"/>
      <c r="E164" s="574"/>
      <c r="F164" s="574"/>
      <c r="G164" s="574"/>
      <c r="H164" s="574"/>
      <c r="I164" s="574"/>
      <c r="J164" s="574"/>
      <c r="K164" s="574"/>
      <c r="L164" s="574"/>
      <c r="M164" s="574"/>
      <c r="N164" s="574"/>
      <c r="O164" s="574"/>
      <c r="P164" s="574"/>
      <c r="Q164" s="574"/>
      <c r="R164" s="574"/>
      <c r="S164" s="574"/>
      <c r="T164" s="574"/>
      <c r="U164" s="574"/>
      <c r="V164" s="574"/>
      <c r="W164" s="574"/>
      <c r="X164" s="574"/>
      <c r="Y164" s="574"/>
      <c r="Z164" s="574"/>
      <c r="AA164" s="574"/>
      <c r="AB164" s="574"/>
      <c r="AC164" s="574"/>
      <c r="AD164" s="574"/>
      <c r="AE164" s="574"/>
      <c r="AF164" s="574"/>
      <c r="AG164" s="574"/>
      <c r="AH164" s="574"/>
      <c r="AI164" s="574"/>
      <c r="AJ164" s="574"/>
      <c r="AK164" s="574"/>
      <c r="AL164" s="571"/>
      <c r="AM164" s="638"/>
      <c r="AN164" s="632"/>
      <c r="AO164" s="639"/>
      <c r="AP164" s="639"/>
    </row>
    <row r="165" spans="1:73" s="585" customFormat="1" ht="12.75" customHeight="1">
      <c r="A165" s="571"/>
      <c r="B165" s="571"/>
      <c r="C165" s="571"/>
      <c r="D165" s="571"/>
      <c r="E165" s="571"/>
      <c r="F165" s="571"/>
      <c r="G165" s="571"/>
      <c r="H165" s="571"/>
      <c r="I165" s="571"/>
      <c r="J165" s="571"/>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1"/>
      <c r="AK165" s="571"/>
      <c r="AL165" s="571"/>
      <c r="AM165" s="638"/>
      <c r="AN165" s="632"/>
    </row>
    <row r="166" spans="1:73" s="585" customFormat="1" ht="12.75" customHeight="1">
      <c r="A166" s="571"/>
      <c r="B166" s="571"/>
      <c r="C166" s="573" t="s">
        <v>1529</v>
      </c>
      <c r="D166" s="640"/>
      <c r="E166" s="640"/>
      <c r="F166" s="640"/>
      <c r="G166" s="640"/>
      <c r="H166" s="640"/>
      <c r="I166" s="640"/>
      <c r="J166" s="640"/>
      <c r="K166" s="640"/>
      <c r="L166" s="640"/>
      <c r="M166" s="640"/>
      <c r="N166" s="640"/>
      <c r="O166" s="640"/>
      <c r="P166" s="640"/>
      <c r="Q166" s="640"/>
      <c r="R166" s="640"/>
      <c r="S166" s="640"/>
      <c r="T166" s="640"/>
      <c r="U166" s="640"/>
      <c r="V166" s="640"/>
      <c r="W166" s="640"/>
      <c r="X166" s="640"/>
      <c r="Y166" s="640"/>
      <c r="Z166" s="640"/>
      <c r="AA166" s="640"/>
      <c r="AB166" s="640"/>
      <c r="AC166" s="640"/>
      <c r="AD166" s="640"/>
      <c r="AE166" s="571"/>
      <c r="AF166" s="571"/>
      <c r="AG166" s="571"/>
      <c r="AH166" s="571"/>
      <c r="AI166" s="571"/>
      <c r="AJ166" s="571"/>
      <c r="AK166" s="571"/>
      <c r="AL166" s="571"/>
      <c r="AM166" s="638"/>
      <c r="AN166" s="632"/>
      <c r="AO166" s="511" t="s">
        <v>1515</v>
      </c>
      <c r="AP166" s="511"/>
    </row>
    <row r="167" spans="1:73" s="585" customFormat="1" ht="12.75" customHeight="1">
      <c r="A167" s="571"/>
      <c r="B167" s="571"/>
      <c r="C167" s="1915" t="s">
        <v>2689</v>
      </c>
      <c r="D167" s="1915"/>
      <c r="E167" s="1915"/>
      <c r="F167" s="1915"/>
      <c r="G167" s="1915"/>
      <c r="H167" s="1915"/>
      <c r="I167" s="1915"/>
      <c r="J167" s="1915"/>
      <c r="K167" s="1915"/>
      <c r="L167" s="1915"/>
      <c r="M167" s="1915"/>
      <c r="N167" s="1915"/>
      <c r="O167" s="1915"/>
      <c r="P167" s="1915"/>
      <c r="Q167" s="1915"/>
      <c r="R167" s="1915"/>
      <c r="S167" s="1915"/>
      <c r="T167" s="1915"/>
      <c r="U167" s="1915"/>
      <c r="V167" s="1915"/>
      <c r="W167" s="1915"/>
      <c r="X167" s="1915"/>
      <c r="Y167" s="1915"/>
      <c r="Z167" s="1915"/>
      <c r="AA167" s="1915"/>
      <c r="AB167" s="1915"/>
      <c r="AC167" s="1915"/>
      <c r="AD167" s="1915"/>
      <c r="AE167" s="571"/>
      <c r="AF167" s="571"/>
      <c r="AG167" s="571"/>
      <c r="AH167" s="571"/>
      <c r="AI167" s="571"/>
      <c r="AJ167" s="571"/>
      <c r="AK167" s="571"/>
      <c r="AL167" s="571"/>
      <c r="AM167" s="638"/>
      <c r="AN167" s="632"/>
      <c r="AO167" s="511" t="s">
        <v>1526</v>
      </c>
      <c r="AP167" s="634">
        <v>2</v>
      </c>
    </row>
    <row r="168" spans="1:73" s="585" customFormat="1" ht="12.75" customHeight="1">
      <c r="A168" s="571"/>
      <c r="B168" s="571"/>
      <c r="C168" s="640"/>
      <c r="D168" s="640"/>
      <c r="E168" s="640"/>
      <c r="F168" s="640"/>
      <c r="G168" s="640"/>
      <c r="H168" s="640"/>
      <c r="I168" s="640"/>
      <c r="J168" s="640"/>
      <c r="K168" s="640"/>
      <c r="L168" s="640"/>
      <c r="M168" s="640"/>
      <c r="N168" s="640"/>
      <c r="O168" s="640"/>
      <c r="P168" s="640"/>
      <c r="Q168" s="640"/>
      <c r="R168" s="640"/>
      <c r="S168" s="640"/>
      <c r="T168" s="640"/>
      <c r="U168" s="640"/>
      <c r="V168" s="640"/>
      <c r="W168" s="640"/>
      <c r="X168" s="640"/>
      <c r="Y168" s="640"/>
      <c r="Z168" s="640"/>
      <c r="AA168" s="640"/>
      <c r="AB168" s="640"/>
      <c r="AC168" s="640"/>
      <c r="AD168" s="640"/>
      <c r="AE168" s="571"/>
      <c r="AF168" s="571"/>
      <c r="AG168" s="571"/>
      <c r="AH168" s="571"/>
      <c r="AI168" s="571"/>
      <c r="AJ168" s="571"/>
      <c r="AK168" s="571"/>
      <c r="AL168" s="571"/>
      <c r="AM168" s="638"/>
      <c r="AN168" s="632"/>
      <c r="AO168" s="511" t="s">
        <v>1528</v>
      </c>
      <c r="AP168" s="634">
        <v>3</v>
      </c>
    </row>
    <row r="169" spans="1:73" s="585" customFormat="1" ht="12.75" customHeight="1">
      <c r="A169" s="641"/>
      <c r="B169" s="599"/>
      <c r="C169" s="599"/>
      <c r="D169" s="598"/>
      <c r="E169" s="599"/>
      <c r="F169" s="599"/>
      <c r="G169" s="599"/>
      <c r="H169" s="599"/>
      <c r="I169" s="599"/>
      <c r="J169" s="599"/>
      <c r="K169" s="599"/>
      <c r="L169" s="599"/>
      <c r="M169" s="599"/>
      <c r="N169" s="599"/>
      <c r="O169" s="599"/>
      <c r="P169" s="599"/>
      <c r="Q169" s="636"/>
      <c r="R169" s="642"/>
      <c r="S169" s="599"/>
      <c r="T169" s="599"/>
      <c r="U169" s="599"/>
      <c r="V169" s="599"/>
      <c r="W169" s="599"/>
      <c r="X169" s="599"/>
      <c r="Y169" s="599"/>
      <c r="Z169" s="599"/>
      <c r="AA169" s="599"/>
      <c r="AB169" s="599"/>
      <c r="AC169" s="599"/>
      <c r="AD169" s="599"/>
      <c r="AE169" s="599"/>
      <c r="AF169" s="599"/>
      <c r="AG169" s="599"/>
      <c r="AH169" s="599"/>
      <c r="AI169" s="600" t="s">
        <v>1530</v>
      </c>
      <c r="AJ169" s="1942">
        <f>IF($AC$161="N/A",VLOOKUP($C$159,$AO$159:$AP$162,2,FALSE),VLOOKUP($C$163,$AO$166:$AP$168,2,FALSE))</f>
        <v>3</v>
      </c>
      <c r="AK169" s="1942"/>
      <c r="AL169" s="643"/>
      <c r="AM169" s="644"/>
      <c r="AN169" s="632"/>
      <c r="AO169" s="637"/>
      <c r="AP169" s="634"/>
    </row>
    <row r="170" spans="1:73" s="585" customFormat="1" ht="12.75" customHeight="1">
      <c r="A170" s="571"/>
      <c r="B170" s="645"/>
      <c r="R170" s="571"/>
      <c r="S170" s="645"/>
      <c r="AN170" s="632"/>
    </row>
    <row r="171" spans="1:73" s="585" customFormat="1" ht="12.75" customHeight="1">
      <c r="A171" s="646"/>
      <c r="B171" s="638"/>
      <c r="C171" s="638"/>
      <c r="D171" s="638"/>
      <c r="E171" s="638"/>
      <c r="F171" s="638"/>
      <c r="G171" s="638"/>
      <c r="H171" s="638"/>
      <c r="I171" s="638"/>
      <c r="J171" s="638"/>
      <c r="K171" s="638"/>
      <c r="L171" s="638"/>
      <c r="M171" s="638"/>
      <c r="N171" s="638"/>
      <c r="O171" s="638"/>
      <c r="P171" s="638"/>
      <c r="Q171" s="638"/>
      <c r="R171" s="638"/>
      <c r="S171" s="638"/>
      <c r="T171" s="638"/>
      <c r="U171" s="638"/>
      <c r="V171" s="638"/>
      <c r="W171" s="638"/>
      <c r="X171" s="638"/>
      <c r="Y171" s="638"/>
      <c r="Z171" s="638"/>
      <c r="AA171" s="638"/>
      <c r="AB171" s="638"/>
      <c r="AC171" s="638"/>
      <c r="AD171" s="638"/>
      <c r="AE171" s="638"/>
      <c r="AF171" s="638"/>
      <c r="AG171" s="638"/>
      <c r="AH171" s="638"/>
      <c r="AI171" s="638"/>
      <c r="AJ171" s="638"/>
      <c r="AK171" s="638"/>
      <c r="AL171" s="638"/>
      <c r="AM171" s="638"/>
      <c r="AN171" s="632"/>
    </row>
    <row r="172" spans="1:73" s="585" customFormat="1" ht="12.75" customHeight="1">
      <c r="A172" s="596"/>
      <c r="B172" s="597"/>
      <c r="C172" s="597"/>
      <c r="D172" s="597"/>
      <c r="E172" s="597"/>
      <c r="F172" s="597"/>
      <c r="G172" s="598"/>
      <c r="H172" s="599"/>
      <c r="I172" s="599"/>
      <c r="J172" s="599"/>
      <c r="K172" s="599"/>
      <c r="L172" s="599"/>
      <c r="M172" s="599"/>
      <c r="N172" s="599"/>
      <c r="O172" s="599"/>
      <c r="P172" s="599"/>
      <c r="Q172" s="599"/>
      <c r="R172" s="599"/>
      <c r="S172" s="599"/>
      <c r="T172" s="599"/>
      <c r="U172" s="599"/>
      <c r="V172" s="599"/>
      <c r="W172" s="599"/>
      <c r="X172" s="599"/>
      <c r="Y172" s="599"/>
      <c r="Z172" s="599"/>
      <c r="AA172" s="599"/>
      <c r="AB172" s="599"/>
      <c r="AC172" s="599"/>
      <c r="AD172" s="599"/>
      <c r="AE172" s="599"/>
      <c r="AF172" s="599"/>
      <c r="AG172" s="599"/>
      <c r="AH172" s="599"/>
      <c r="AI172" s="600"/>
      <c r="AJ172" s="600" t="s">
        <v>1531</v>
      </c>
      <c r="AK172" s="1902">
        <f>$AJ$155+$AJ$169</f>
        <v>10</v>
      </c>
      <c r="AL172" s="1903"/>
      <c r="AM172" s="1904"/>
      <c r="AN172" s="632"/>
    </row>
    <row r="173" spans="1:73" s="585" customFormat="1" ht="12.75" customHeight="1" thickBot="1">
      <c r="A173" s="601"/>
      <c r="B173" s="602"/>
      <c r="C173" s="603"/>
      <c r="D173" s="603"/>
      <c r="E173" s="603"/>
      <c r="F173" s="603"/>
      <c r="G173" s="603"/>
      <c r="H173" s="603"/>
      <c r="I173" s="603"/>
      <c r="J173" s="603"/>
      <c r="K173" s="603"/>
      <c r="L173" s="603"/>
      <c r="M173" s="603"/>
      <c r="N173" s="603"/>
      <c r="O173" s="603"/>
      <c r="P173" s="603"/>
      <c r="Q173" s="603"/>
      <c r="R173" s="603"/>
      <c r="S173" s="603"/>
      <c r="T173" s="603"/>
      <c r="U173" s="603"/>
      <c r="V173" s="603"/>
      <c r="W173" s="603"/>
      <c r="X173" s="603"/>
      <c r="Y173" s="603"/>
      <c r="Z173" s="603"/>
      <c r="AA173" s="603"/>
      <c r="AB173" s="603"/>
      <c r="AC173" s="603"/>
      <c r="AD173" s="603"/>
      <c r="AE173" s="603"/>
      <c r="AF173" s="603"/>
      <c r="AG173" s="603"/>
      <c r="AH173" s="603"/>
      <c r="AI173" s="603"/>
      <c r="AJ173" s="603"/>
      <c r="AK173" s="603"/>
      <c r="AL173" s="603"/>
      <c r="AM173" s="604"/>
      <c r="AN173" s="632"/>
      <c r="AO173" s="603"/>
      <c r="AR173" s="603"/>
      <c r="AS173" s="603"/>
      <c r="AT173" s="603"/>
      <c r="AU173" s="603"/>
      <c r="AV173" s="603"/>
      <c r="AW173" s="603"/>
      <c r="AX173" s="603"/>
      <c r="AY173" s="603"/>
      <c r="AZ173" s="603"/>
      <c r="BA173" s="603"/>
      <c r="BB173" s="603"/>
      <c r="BC173" s="603"/>
      <c r="BD173" s="603"/>
      <c r="BE173" s="603"/>
      <c r="BF173" s="603"/>
      <c r="BG173" s="603"/>
      <c r="BH173" s="603"/>
      <c r="BI173" s="603"/>
      <c r="BJ173" s="603"/>
      <c r="BK173" s="603"/>
      <c r="BL173" s="603"/>
      <c r="BM173" s="603"/>
      <c r="BN173" s="603"/>
      <c r="BO173" s="603"/>
      <c r="BP173" s="603"/>
      <c r="BQ173" s="603"/>
      <c r="BR173" s="603"/>
      <c r="BS173" s="603"/>
      <c r="BT173" s="603"/>
      <c r="BU173" s="603"/>
    </row>
    <row r="174" spans="1:73" s="585" customFormat="1" ht="12.75" customHeight="1" thickTop="1">
      <c r="A174" s="605"/>
      <c r="B174" s="606"/>
      <c r="C174" s="607"/>
      <c r="D174" s="607"/>
      <c r="E174" s="607"/>
      <c r="F174" s="607"/>
      <c r="G174" s="607"/>
      <c r="H174" s="607"/>
      <c r="I174" s="608"/>
      <c r="J174" s="608"/>
      <c r="K174" s="608"/>
      <c r="L174" s="608"/>
      <c r="M174" s="608"/>
      <c r="N174" s="608"/>
      <c r="O174" s="608"/>
      <c r="P174" s="608"/>
      <c r="Q174" s="608"/>
      <c r="R174" s="605"/>
      <c r="S174" s="574"/>
      <c r="T174" s="574"/>
      <c r="U174" s="574"/>
      <c r="V174" s="574"/>
      <c r="W174" s="574"/>
      <c r="X174" s="574"/>
      <c r="Y174" s="574"/>
      <c r="Z174" s="574"/>
      <c r="AA174" s="574"/>
      <c r="AB174" s="574"/>
      <c r="AC174" s="574"/>
      <c r="AD174" s="574"/>
      <c r="AE174" s="574"/>
      <c r="AF174" s="605"/>
      <c r="AG174" s="574"/>
      <c r="AH174" s="574"/>
      <c r="AI174" s="574"/>
      <c r="AJ174" s="574"/>
      <c r="AN174" s="632"/>
      <c r="AP174" s="647" t="s">
        <v>1532</v>
      </c>
      <c r="AQ174" s="647">
        <v>0</v>
      </c>
    </row>
    <row r="175" spans="1:73" s="585" customFormat="1" ht="12.75" customHeight="1">
      <c r="A175" s="573" t="s">
        <v>1533</v>
      </c>
      <c r="B175" s="573" t="s">
        <v>1987</v>
      </c>
      <c r="C175" s="648"/>
      <c r="D175" s="649"/>
      <c r="E175" s="649"/>
      <c r="F175" s="649"/>
      <c r="G175" s="649"/>
      <c r="H175" s="649"/>
      <c r="I175" s="649"/>
      <c r="J175" s="649"/>
      <c r="K175" s="571"/>
      <c r="L175" s="571"/>
      <c r="M175" s="571"/>
      <c r="N175" s="571"/>
      <c r="O175" s="571"/>
      <c r="P175" s="571"/>
      <c r="Q175" s="571"/>
      <c r="R175" s="571"/>
      <c r="S175" s="571"/>
      <c r="T175" s="571"/>
      <c r="U175" s="571"/>
      <c r="V175" s="571"/>
      <c r="W175" s="571"/>
      <c r="X175" s="571"/>
      <c r="Y175" s="650"/>
      <c r="Z175" s="650"/>
      <c r="AA175" s="650"/>
      <c r="AB175" s="650"/>
      <c r="AC175" s="571"/>
      <c r="AD175" s="571"/>
      <c r="AE175" s="1882" t="s">
        <v>1486</v>
      </c>
      <c r="AF175" s="1882"/>
      <c r="AG175" s="1882"/>
      <c r="AH175" s="1882"/>
      <c r="AI175" s="1882"/>
      <c r="AJ175" s="1882"/>
      <c r="AK175" s="1882"/>
      <c r="AL175" s="626"/>
      <c r="AN175" s="632"/>
      <c r="AP175" s="585" t="s">
        <v>1102</v>
      </c>
      <c r="AQ175" s="585">
        <v>10</v>
      </c>
    </row>
    <row r="176" spans="1:73" s="585" customFormat="1" ht="12.75" customHeight="1">
      <c r="A176" s="573"/>
      <c r="B176" s="651"/>
      <c r="C176" s="652"/>
      <c r="D176" s="649"/>
      <c r="E176" s="649"/>
      <c r="F176" s="649"/>
      <c r="G176" s="649"/>
      <c r="H176" s="571"/>
      <c r="I176" s="571"/>
      <c r="J176" s="571"/>
      <c r="K176" s="571"/>
      <c r="L176" s="571"/>
      <c r="M176" s="571"/>
      <c r="N176" s="571"/>
      <c r="O176" s="571"/>
      <c r="P176" s="571"/>
      <c r="Q176" s="571"/>
      <c r="R176" s="650"/>
      <c r="S176" s="650"/>
      <c r="T176" s="650"/>
      <c r="U176" s="650"/>
      <c r="V176" s="650"/>
      <c r="W176" s="650"/>
      <c r="X176" s="650"/>
      <c r="Y176" s="650"/>
      <c r="Z176" s="650"/>
      <c r="AA176" s="650"/>
      <c r="AB176" s="650"/>
      <c r="AC176" s="626"/>
      <c r="AD176" s="626"/>
      <c r="AE176" s="571"/>
      <c r="AF176" s="571"/>
      <c r="AG176" s="571"/>
      <c r="AH176" s="571"/>
      <c r="AI176" s="571"/>
      <c r="AJ176" s="571"/>
      <c r="AK176" s="571"/>
      <c r="AL176" s="571"/>
      <c r="AN176" s="632"/>
      <c r="AP176" s="585" t="s">
        <v>1534</v>
      </c>
      <c r="AQ176" s="585">
        <v>10</v>
      </c>
    </row>
    <row r="177" spans="1:45" s="585" customFormat="1" ht="12.75" customHeight="1">
      <c r="A177" s="571"/>
      <c r="B177" s="1938" t="s">
        <v>1102</v>
      </c>
      <c r="C177" s="1938"/>
      <c r="D177" s="1938"/>
      <c r="E177" s="1938"/>
      <c r="F177" s="1938"/>
      <c r="G177" s="1938"/>
      <c r="H177" s="1938"/>
      <c r="I177" s="1938"/>
      <c r="J177" s="1938"/>
      <c r="K177" s="1938"/>
      <c r="L177" s="1938"/>
      <c r="M177" s="1938"/>
      <c r="N177" s="1938"/>
      <c r="O177" s="1938"/>
      <c r="P177" s="1938"/>
      <c r="Q177" s="1938"/>
      <c r="R177" s="1938"/>
      <c r="S177" s="1938"/>
      <c r="T177" s="1938"/>
      <c r="U177" s="1938"/>
      <c r="V177" s="1938"/>
      <c r="W177" s="1938"/>
      <c r="X177" s="1938"/>
      <c r="Y177" s="1938"/>
      <c r="Z177" s="1938"/>
      <c r="AA177" s="1938"/>
      <c r="AB177" s="1938"/>
      <c r="AC177" s="1938"/>
      <c r="AD177" s="571"/>
      <c r="AE177" s="571"/>
      <c r="AF177" s="1914" t="s">
        <v>1535</v>
      </c>
      <c r="AG177" s="1914"/>
      <c r="AH177" s="1914"/>
      <c r="AI177" s="1914"/>
      <c r="AJ177" s="1914"/>
      <c r="AK177" s="1914"/>
      <c r="AL177" s="1914"/>
      <c r="AN177" s="632"/>
      <c r="AP177" s="585" t="s">
        <v>1104</v>
      </c>
      <c r="AQ177" s="585">
        <v>10</v>
      </c>
    </row>
    <row r="178" spans="1:45" s="585" customFormat="1" ht="12.75" customHeight="1">
      <c r="A178" s="571"/>
      <c r="B178" s="1939" t="s">
        <v>1986</v>
      </c>
      <c r="C178" s="1939"/>
      <c r="D178" s="1939"/>
      <c r="E178" s="1939"/>
      <c r="F178" s="1939"/>
      <c r="G178" s="1939"/>
      <c r="H178" s="1939"/>
      <c r="I178" s="1939"/>
      <c r="J178" s="1939"/>
      <c r="K178" s="1939"/>
      <c r="L178" s="1939"/>
      <c r="M178" s="1939"/>
      <c r="N178" s="1939"/>
      <c r="O178" s="1939"/>
      <c r="P178" s="1939"/>
      <c r="Q178" s="1939"/>
      <c r="R178" s="1939"/>
      <c r="S178" s="1939"/>
      <c r="T178" s="1915" t="s">
        <v>600</v>
      </c>
      <c r="U178" s="1915"/>
      <c r="V178" s="1915"/>
      <c r="W178" s="1915"/>
      <c r="X178" s="1915"/>
      <c r="Y178" s="1915"/>
      <c r="Z178" s="1915"/>
      <c r="AA178" s="1915"/>
      <c r="AB178" s="1915"/>
      <c r="AC178" s="1915"/>
      <c r="AD178" s="571"/>
      <c r="AE178" s="571"/>
      <c r="AF178" s="571"/>
      <c r="AG178" s="571"/>
      <c r="AH178" s="571"/>
      <c r="AI178" s="571"/>
      <c r="AJ178" s="578"/>
      <c r="AK178" s="630"/>
      <c r="AL178" s="630"/>
      <c r="AM178" s="630"/>
      <c r="AN178" s="632"/>
      <c r="AP178" s="585" t="s">
        <v>1536</v>
      </c>
      <c r="AQ178" s="585">
        <v>10</v>
      </c>
      <c r="AS178" s="585" t="s">
        <v>600</v>
      </c>
    </row>
    <row r="179" spans="1:45" s="585" customFormat="1" ht="12.75" customHeight="1">
      <c r="A179" s="571"/>
      <c r="B179" s="640"/>
      <c r="C179" s="640"/>
      <c r="D179" s="640"/>
      <c r="E179" s="640"/>
      <c r="F179" s="640"/>
      <c r="G179" s="640"/>
      <c r="H179" s="640"/>
      <c r="I179" s="640"/>
      <c r="J179" s="640"/>
      <c r="K179" s="640"/>
      <c r="L179" s="640"/>
      <c r="M179" s="640"/>
      <c r="N179" s="640"/>
      <c r="O179" s="640"/>
      <c r="P179" s="640"/>
      <c r="Q179" s="640"/>
      <c r="R179" s="640"/>
      <c r="S179" s="640"/>
      <c r="T179" s="640"/>
      <c r="U179" s="640"/>
      <c r="V179" s="640"/>
      <c r="W179" s="640"/>
      <c r="X179" s="640"/>
      <c r="Y179" s="640"/>
      <c r="Z179" s="640"/>
      <c r="AA179" s="640"/>
      <c r="AB179" s="640"/>
      <c r="AC179" s="640"/>
      <c r="AD179" s="640"/>
      <c r="AE179" s="571"/>
      <c r="AF179" s="571"/>
      <c r="AG179" s="571"/>
      <c r="AH179" s="571"/>
      <c r="AI179" s="571"/>
      <c r="AJ179" s="578"/>
      <c r="AK179" s="630"/>
      <c r="AL179" s="630"/>
      <c r="AM179" s="653"/>
      <c r="AP179" s="585" t="s">
        <v>1539</v>
      </c>
      <c r="AQ179" s="585">
        <v>10</v>
      </c>
      <c r="AS179" s="585" t="s">
        <v>1537</v>
      </c>
    </row>
    <row r="180" spans="1:45" s="585" customFormat="1" ht="12.75" customHeight="1">
      <c r="A180" s="641"/>
      <c r="B180" s="599"/>
      <c r="C180" s="599"/>
      <c r="D180" s="599"/>
      <c r="E180" s="599"/>
      <c r="F180" s="599"/>
      <c r="G180" s="599"/>
      <c r="H180" s="599"/>
      <c r="I180" s="599"/>
      <c r="J180" s="599"/>
      <c r="K180" s="599"/>
      <c r="L180" s="599"/>
      <c r="M180" s="599"/>
      <c r="N180" s="599"/>
      <c r="O180" s="599"/>
      <c r="P180" s="599"/>
      <c r="Q180" s="599"/>
      <c r="R180" s="599"/>
      <c r="S180" s="599"/>
      <c r="T180" s="599"/>
      <c r="U180" s="599"/>
      <c r="V180" s="599"/>
      <c r="W180" s="599"/>
      <c r="X180" s="599"/>
      <c r="Y180" s="599"/>
      <c r="Z180" s="599"/>
      <c r="AA180" s="599"/>
      <c r="AB180" s="599"/>
      <c r="AC180" s="599"/>
      <c r="AD180" s="599"/>
      <c r="AE180" s="599"/>
      <c r="AF180" s="599"/>
      <c r="AG180" s="599"/>
      <c r="AH180" s="599"/>
      <c r="AI180" s="600"/>
      <c r="AJ180" s="600" t="s">
        <v>1538</v>
      </c>
      <c r="AK180" s="1947">
        <f>IF(AK78&gt;0,VLOOKUP($B$177,AP174:AQ180,2,FALSE),0)</f>
        <v>10</v>
      </c>
      <c r="AL180" s="1948"/>
      <c r="AM180" s="1949"/>
      <c r="AN180" s="570"/>
      <c r="AP180" s="585" t="s">
        <v>1541</v>
      </c>
      <c r="AQ180" s="585">
        <v>10</v>
      </c>
      <c r="AS180" s="585" t="s">
        <v>1540</v>
      </c>
    </row>
    <row r="181" spans="1:45" s="585" customFormat="1" ht="12.75" customHeight="1" thickBot="1">
      <c r="A181" s="654"/>
      <c r="B181" s="654"/>
      <c r="C181" s="655"/>
      <c r="D181" s="656"/>
      <c r="E181" s="656"/>
      <c r="F181" s="656"/>
      <c r="G181" s="656"/>
      <c r="H181" s="656"/>
      <c r="I181" s="656"/>
      <c r="J181" s="656"/>
      <c r="K181" s="656"/>
      <c r="L181" s="656"/>
      <c r="M181" s="656"/>
      <c r="N181" s="656"/>
      <c r="O181" s="656"/>
      <c r="P181" s="656"/>
      <c r="Q181" s="656"/>
      <c r="R181" s="656"/>
      <c r="S181" s="656"/>
      <c r="T181" s="656"/>
      <c r="U181" s="656"/>
      <c r="V181" s="656"/>
      <c r="W181" s="656"/>
      <c r="X181" s="656"/>
      <c r="Y181" s="656"/>
      <c r="Z181" s="656"/>
      <c r="AA181" s="656"/>
      <c r="AB181" s="656"/>
      <c r="AC181" s="656"/>
      <c r="AD181" s="656"/>
      <c r="AE181" s="656"/>
      <c r="AF181" s="656"/>
      <c r="AG181" s="656"/>
      <c r="AH181" s="656"/>
      <c r="AI181" s="656"/>
      <c r="AJ181" s="656"/>
      <c r="AK181" s="656"/>
      <c r="AL181" s="656"/>
      <c r="AM181" s="656"/>
      <c r="AN181" s="632"/>
    </row>
    <row r="182" spans="1:45" s="585" customFormat="1" ht="12.75" customHeight="1" thickTop="1">
      <c r="A182" s="605"/>
      <c r="B182" s="606"/>
      <c r="C182" s="607"/>
      <c r="D182" s="607"/>
      <c r="E182" s="607"/>
      <c r="F182" s="607"/>
      <c r="G182" s="607"/>
      <c r="H182" s="607"/>
      <c r="I182" s="608"/>
      <c r="J182" s="608"/>
      <c r="K182" s="608"/>
      <c r="L182" s="608"/>
      <c r="M182" s="608"/>
      <c r="N182" s="608"/>
      <c r="O182" s="608"/>
      <c r="P182" s="608"/>
      <c r="Q182" s="608"/>
      <c r="R182" s="605"/>
      <c r="S182" s="574"/>
      <c r="T182" s="574"/>
      <c r="U182" s="574"/>
      <c r="V182" s="574"/>
      <c r="W182" s="574"/>
      <c r="X182" s="574"/>
      <c r="Y182" s="574"/>
      <c r="Z182" s="574"/>
      <c r="AA182" s="574"/>
      <c r="AB182" s="574"/>
      <c r="AC182" s="574"/>
      <c r="AD182" s="574"/>
      <c r="AE182" s="574"/>
      <c r="AF182" s="605"/>
      <c r="AG182" s="574"/>
      <c r="AH182" s="574"/>
      <c r="AI182" s="574"/>
      <c r="AJ182" s="574"/>
      <c r="AN182" s="632"/>
    </row>
    <row r="183" spans="1:45">
      <c r="A183" s="573" t="s">
        <v>1542</v>
      </c>
      <c r="B183" s="573" t="s">
        <v>1543</v>
      </c>
      <c r="C183" s="648"/>
      <c r="D183" s="649"/>
      <c r="E183" s="649"/>
      <c r="F183" s="649"/>
      <c r="G183" s="649"/>
      <c r="H183" s="649"/>
      <c r="I183" s="649"/>
      <c r="J183" s="649"/>
      <c r="K183" s="585"/>
      <c r="L183" s="585"/>
      <c r="M183" s="585"/>
      <c r="N183" s="585"/>
      <c r="O183" s="585"/>
      <c r="P183" s="585"/>
      <c r="Q183" s="585"/>
      <c r="R183" s="585"/>
      <c r="S183" s="585"/>
      <c r="T183" s="585"/>
      <c r="U183" s="585"/>
      <c r="V183" s="585"/>
      <c r="W183" s="585"/>
      <c r="X183" s="585"/>
      <c r="Y183" s="650"/>
      <c r="Z183" s="650"/>
      <c r="AA183" s="650"/>
      <c r="AB183" s="650"/>
      <c r="AC183" s="585"/>
      <c r="AD183" s="585"/>
      <c r="AE183" s="1882" t="s">
        <v>1544</v>
      </c>
      <c r="AF183" s="1882"/>
      <c r="AG183" s="1882"/>
      <c r="AH183" s="1882"/>
      <c r="AI183" s="1882"/>
      <c r="AJ183" s="1882"/>
      <c r="AK183" s="1882"/>
    </row>
    <row r="184" spans="1:45">
      <c r="A184" s="573"/>
      <c r="B184" s="573"/>
      <c r="C184" s="648"/>
      <c r="D184" s="649"/>
      <c r="E184" s="649"/>
      <c r="F184" s="649"/>
      <c r="G184" s="649"/>
      <c r="H184" s="649"/>
      <c r="I184" s="649"/>
      <c r="J184" s="649"/>
      <c r="K184" s="571"/>
      <c r="L184" s="571"/>
      <c r="M184" s="571"/>
      <c r="N184" s="571"/>
      <c r="O184" s="571"/>
      <c r="P184" s="571"/>
      <c r="Q184" s="571"/>
      <c r="R184" s="571"/>
      <c r="S184" s="571"/>
      <c r="T184" s="571"/>
      <c r="U184" s="571"/>
      <c r="V184" s="571"/>
      <c r="W184" s="571"/>
      <c r="X184" s="571"/>
      <c r="Y184" s="650"/>
      <c r="Z184" s="650"/>
      <c r="AA184" s="650"/>
      <c r="AB184" s="650"/>
      <c r="AC184" s="571"/>
      <c r="AD184" s="571"/>
      <c r="AE184" s="578"/>
      <c r="AF184" s="578"/>
      <c r="AG184" s="578"/>
      <c r="AH184" s="578"/>
      <c r="AI184" s="578"/>
      <c r="AJ184" s="578"/>
      <c r="AK184" s="578"/>
    </row>
    <row r="185" spans="1:45">
      <c r="A185" s="573"/>
      <c r="B185" s="880" t="s">
        <v>1766</v>
      </c>
      <c r="C185" s="648"/>
      <c r="D185" s="649"/>
      <c r="E185" s="649"/>
      <c r="F185" s="649"/>
      <c r="G185" s="649"/>
      <c r="H185" s="649"/>
      <c r="I185" s="649"/>
      <c r="J185" s="649"/>
      <c r="K185" s="571"/>
      <c r="L185" s="571"/>
      <c r="M185" s="571"/>
      <c r="N185" s="571"/>
      <c r="O185" s="571"/>
      <c r="P185" s="571"/>
      <c r="Q185" s="571"/>
      <c r="R185" s="571"/>
      <c r="S185" s="571"/>
      <c r="T185" s="571"/>
      <c r="U185" s="571"/>
      <c r="V185" s="571"/>
      <c r="W185" s="571"/>
      <c r="X185" s="571"/>
      <c r="Y185" s="650"/>
      <c r="Z185" s="650"/>
      <c r="AA185" s="650"/>
      <c r="AB185" s="650"/>
      <c r="AC185" s="571"/>
      <c r="AD185" s="571"/>
      <c r="AE185" s="578"/>
      <c r="AF185" s="578"/>
      <c r="AG185" s="578"/>
      <c r="AH185" s="578"/>
      <c r="AI185" s="578"/>
      <c r="AJ185" s="578"/>
      <c r="AK185" s="578"/>
    </row>
    <row r="186" spans="1:45">
      <c r="A186" s="640"/>
      <c r="C186" s="698"/>
      <c r="D186" s="863"/>
      <c r="E186" s="863"/>
      <c r="F186" s="863"/>
      <c r="G186" s="863"/>
      <c r="H186" s="863"/>
      <c r="I186" s="863"/>
      <c r="J186" s="863"/>
      <c r="K186" s="571"/>
      <c r="L186" s="571"/>
      <c r="M186" s="571"/>
      <c r="N186" s="571"/>
      <c r="O186" s="571"/>
      <c r="P186" s="571"/>
      <c r="Q186" s="571"/>
      <c r="R186" s="571"/>
      <c r="S186" s="571"/>
      <c r="T186" s="571"/>
      <c r="U186" s="571"/>
      <c r="V186" s="571"/>
      <c r="W186" s="571"/>
      <c r="X186" s="571"/>
      <c r="Y186" s="678"/>
      <c r="Z186" s="678"/>
      <c r="AA186" s="678"/>
      <c r="AB186" s="678"/>
      <c r="AC186" s="571"/>
      <c r="AD186" s="571"/>
      <c r="AE186" s="645"/>
      <c r="AF186" s="645"/>
      <c r="AG186" s="645"/>
      <c r="AH186" s="645"/>
      <c r="AI186" s="645"/>
      <c r="AJ186" s="645"/>
      <c r="AK186" s="645"/>
    </row>
    <row r="187" spans="1:45">
      <c r="A187" s="640"/>
      <c r="B187" s="881" t="s">
        <v>1802</v>
      </c>
      <c r="C187" s="698"/>
      <c r="D187" s="863"/>
      <c r="E187" s="863"/>
      <c r="F187" s="863"/>
      <c r="G187" s="863"/>
      <c r="H187" s="863"/>
      <c r="I187" s="863"/>
      <c r="J187" s="863"/>
      <c r="K187" s="571"/>
      <c r="L187" s="571"/>
      <c r="M187" s="571"/>
      <c r="N187" s="571"/>
      <c r="O187" s="571"/>
      <c r="P187" s="571"/>
      <c r="Q187" s="571"/>
      <c r="R187" s="571"/>
      <c r="S187" s="571"/>
      <c r="T187" s="571"/>
      <c r="U187" s="571"/>
      <c r="V187" s="571"/>
      <c r="W187" s="571"/>
      <c r="X187" s="571"/>
      <c r="Y187" s="678"/>
      <c r="Z187" s="678"/>
      <c r="AA187" s="678"/>
      <c r="AB187" s="678"/>
      <c r="AC187" s="571"/>
      <c r="AD187" s="571"/>
      <c r="AE187" s="645"/>
      <c r="AF187" s="645"/>
      <c r="AG187" s="645"/>
      <c r="AH187" s="645"/>
      <c r="AI187" s="645"/>
      <c r="AJ187" s="645"/>
      <c r="AK187" s="645"/>
    </row>
    <row r="188" spans="1:45">
      <c r="A188" s="640"/>
      <c r="B188" s="1926" t="s">
        <v>2716</v>
      </c>
      <c r="C188" s="1926"/>
      <c r="D188" s="1926"/>
      <c r="E188" s="1926"/>
      <c r="F188" s="1926"/>
      <c r="G188" s="1926"/>
      <c r="H188" s="1926"/>
      <c r="I188" s="1926"/>
      <c r="J188" s="1926"/>
      <c r="K188" s="1926"/>
      <c r="L188" s="1926"/>
      <c r="M188" s="1926"/>
      <c r="N188" s="1926"/>
      <c r="O188" s="1926"/>
      <c r="P188" s="1926"/>
      <c r="Q188" s="1926"/>
      <c r="R188" s="1926"/>
      <c r="S188" s="1926"/>
      <c r="T188" s="1926"/>
      <c r="U188" s="1926"/>
      <c r="V188" s="1926"/>
      <c r="W188" s="1926"/>
      <c r="X188" s="1926"/>
      <c r="Y188" s="1926"/>
      <c r="Z188" s="1926"/>
      <c r="AA188" s="1926"/>
      <c r="AB188" s="1926"/>
      <c r="AC188" s="882"/>
      <c r="AD188" s="1927">
        <v>3500000</v>
      </c>
      <c r="AE188" s="1927"/>
      <c r="AF188" s="1927"/>
      <c r="AG188" s="1927"/>
      <c r="AH188" s="1927"/>
      <c r="AI188" s="1927"/>
      <c r="AJ188" s="1927"/>
      <c r="AK188" s="645"/>
    </row>
    <row r="189" spans="1:45">
      <c r="A189" s="640"/>
      <c r="B189" s="1926"/>
      <c r="C189" s="1926"/>
      <c r="D189" s="1926"/>
      <c r="E189" s="1926"/>
      <c r="F189" s="1926"/>
      <c r="G189" s="1926"/>
      <c r="H189" s="1926"/>
      <c r="I189" s="1926"/>
      <c r="J189" s="1926"/>
      <c r="K189" s="1926"/>
      <c r="L189" s="1926"/>
      <c r="M189" s="1926"/>
      <c r="N189" s="1926"/>
      <c r="O189" s="1926"/>
      <c r="P189" s="1926"/>
      <c r="Q189" s="1926"/>
      <c r="R189" s="1926"/>
      <c r="S189" s="1926"/>
      <c r="T189" s="1926"/>
      <c r="U189" s="1926"/>
      <c r="V189" s="1926"/>
      <c r="W189" s="1926"/>
      <c r="X189" s="1926"/>
      <c r="Y189" s="1926"/>
      <c r="Z189" s="1926"/>
      <c r="AA189" s="1926"/>
      <c r="AB189" s="1926"/>
      <c r="AC189" s="882"/>
      <c r="AD189" s="1927"/>
      <c r="AE189" s="1927"/>
      <c r="AF189" s="1927"/>
      <c r="AG189" s="1927"/>
      <c r="AH189" s="1927"/>
      <c r="AI189" s="1927"/>
      <c r="AJ189" s="1927"/>
      <c r="AK189" s="645"/>
    </row>
    <row r="190" spans="1:45">
      <c r="A190" s="640"/>
      <c r="B190" s="1926"/>
      <c r="C190" s="1926"/>
      <c r="D190" s="1926"/>
      <c r="E190" s="1926"/>
      <c r="F190" s="1926"/>
      <c r="G190" s="1926"/>
      <c r="H190" s="1926"/>
      <c r="I190" s="1926"/>
      <c r="J190" s="1926"/>
      <c r="K190" s="1926"/>
      <c r="L190" s="1926"/>
      <c r="M190" s="1926"/>
      <c r="N190" s="1926"/>
      <c r="O190" s="1926"/>
      <c r="P190" s="1926"/>
      <c r="Q190" s="1926"/>
      <c r="R190" s="1926"/>
      <c r="S190" s="1926"/>
      <c r="T190" s="1926"/>
      <c r="U190" s="1926"/>
      <c r="V190" s="1926"/>
      <c r="W190" s="1926"/>
      <c r="X190" s="1926"/>
      <c r="Y190" s="1926"/>
      <c r="Z190" s="1926"/>
      <c r="AA190" s="1926"/>
      <c r="AB190" s="1926"/>
      <c r="AC190" s="882"/>
      <c r="AD190" s="1927"/>
      <c r="AE190" s="1927"/>
      <c r="AF190" s="1927"/>
      <c r="AG190" s="1927"/>
      <c r="AH190" s="1927"/>
      <c r="AI190" s="1927"/>
      <c r="AJ190" s="1927"/>
      <c r="AK190" s="645"/>
    </row>
    <row r="191" spans="1:45">
      <c r="A191" s="640"/>
      <c r="B191" s="1926"/>
      <c r="C191" s="1926"/>
      <c r="D191" s="1926"/>
      <c r="E191" s="1926"/>
      <c r="F191" s="1926"/>
      <c r="G191" s="1926"/>
      <c r="H191" s="1926"/>
      <c r="I191" s="1926"/>
      <c r="J191" s="1926"/>
      <c r="K191" s="1926"/>
      <c r="L191" s="1926"/>
      <c r="M191" s="1926"/>
      <c r="N191" s="1926"/>
      <c r="O191" s="1926"/>
      <c r="P191" s="1926"/>
      <c r="Q191" s="1926"/>
      <c r="R191" s="1926"/>
      <c r="S191" s="1926"/>
      <c r="T191" s="1926"/>
      <c r="U191" s="1926"/>
      <c r="V191" s="1926"/>
      <c r="W191" s="1926"/>
      <c r="X191" s="1926"/>
      <c r="Y191" s="1926"/>
      <c r="Z191" s="1926"/>
      <c r="AA191" s="1926"/>
      <c r="AB191" s="1926"/>
      <c r="AC191" s="882"/>
      <c r="AD191" s="1927"/>
      <c r="AE191" s="1927"/>
      <c r="AF191" s="1927"/>
      <c r="AG191" s="1927"/>
      <c r="AH191" s="1927"/>
      <c r="AI191" s="1927"/>
      <c r="AJ191" s="1927"/>
      <c r="AK191" s="645"/>
    </row>
    <row r="192" spans="1:45">
      <c r="A192" s="640"/>
      <c r="B192" s="1926"/>
      <c r="C192" s="1926"/>
      <c r="D192" s="1926"/>
      <c r="E192" s="1926"/>
      <c r="F192" s="1926"/>
      <c r="G192" s="1926"/>
      <c r="H192" s="1926"/>
      <c r="I192" s="1926"/>
      <c r="J192" s="1926"/>
      <c r="K192" s="1926"/>
      <c r="L192" s="1926"/>
      <c r="M192" s="1926"/>
      <c r="N192" s="1926"/>
      <c r="O192" s="1926"/>
      <c r="P192" s="1926"/>
      <c r="Q192" s="1926"/>
      <c r="R192" s="1926"/>
      <c r="S192" s="1926"/>
      <c r="T192" s="1926"/>
      <c r="U192" s="1926"/>
      <c r="V192" s="1926"/>
      <c r="W192" s="1926"/>
      <c r="X192" s="1926"/>
      <c r="Y192" s="1926"/>
      <c r="Z192" s="1926"/>
      <c r="AA192" s="1926"/>
      <c r="AB192" s="1926"/>
      <c r="AC192" s="882"/>
      <c r="AD192" s="1927"/>
      <c r="AE192" s="1927"/>
      <c r="AF192" s="1927"/>
      <c r="AG192" s="1927"/>
      <c r="AH192" s="1927"/>
      <c r="AI192" s="1927"/>
      <c r="AJ192" s="1927"/>
      <c r="AK192" s="645"/>
    </row>
    <row r="193" spans="1:37">
      <c r="A193" s="640"/>
      <c r="B193" s="1926"/>
      <c r="C193" s="1926"/>
      <c r="D193" s="1926"/>
      <c r="E193" s="1926"/>
      <c r="F193" s="1926"/>
      <c r="G193" s="1926"/>
      <c r="H193" s="1926"/>
      <c r="I193" s="1926"/>
      <c r="J193" s="1926"/>
      <c r="K193" s="1926"/>
      <c r="L193" s="1926"/>
      <c r="M193" s="1926"/>
      <c r="N193" s="1926"/>
      <c r="O193" s="1926"/>
      <c r="P193" s="1926"/>
      <c r="Q193" s="1926"/>
      <c r="R193" s="1926"/>
      <c r="S193" s="1926"/>
      <c r="T193" s="1926"/>
      <c r="U193" s="1926"/>
      <c r="V193" s="1926"/>
      <c r="W193" s="1926"/>
      <c r="X193" s="1926"/>
      <c r="Y193" s="1926"/>
      <c r="Z193" s="1926"/>
      <c r="AA193" s="1926"/>
      <c r="AB193" s="1926"/>
      <c r="AC193" s="882"/>
      <c r="AD193" s="1927"/>
      <c r="AE193" s="1927"/>
      <c r="AF193" s="1927"/>
      <c r="AG193" s="1927"/>
      <c r="AH193" s="1927"/>
      <c r="AI193" s="1927"/>
      <c r="AJ193" s="1927"/>
      <c r="AK193" s="645"/>
    </row>
    <row r="194" spans="1:37">
      <c r="A194" s="640"/>
      <c r="B194" s="1926"/>
      <c r="C194" s="1926"/>
      <c r="D194" s="1926"/>
      <c r="E194" s="1926"/>
      <c r="F194" s="1926"/>
      <c r="G194" s="1926"/>
      <c r="H194" s="1926"/>
      <c r="I194" s="1926"/>
      <c r="J194" s="1926"/>
      <c r="K194" s="1926"/>
      <c r="L194" s="1926"/>
      <c r="M194" s="1926"/>
      <c r="N194" s="1926"/>
      <c r="O194" s="1926"/>
      <c r="P194" s="1926"/>
      <c r="Q194" s="1926"/>
      <c r="R194" s="1926"/>
      <c r="S194" s="1926"/>
      <c r="T194" s="1926"/>
      <c r="U194" s="1926"/>
      <c r="V194" s="1926"/>
      <c r="W194" s="1926"/>
      <c r="X194" s="1926"/>
      <c r="Y194" s="1926"/>
      <c r="Z194" s="1926"/>
      <c r="AA194" s="1926"/>
      <c r="AB194" s="1926"/>
      <c r="AC194" s="882"/>
      <c r="AD194" s="1927"/>
      <c r="AE194" s="1927"/>
      <c r="AF194" s="1927"/>
      <c r="AG194" s="1927"/>
      <c r="AH194" s="1927"/>
      <c r="AI194" s="1927"/>
      <c r="AJ194" s="1927"/>
      <c r="AK194" s="645"/>
    </row>
    <row r="195" spans="1:37">
      <c r="A195" s="640"/>
      <c r="B195" s="1926"/>
      <c r="C195" s="1926"/>
      <c r="D195" s="1926"/>
      <c r="E195" s="1926"/>
      <c r="F195" s="1926"/>
      <c r="G195" s="1926"/>
      <c r="H195" s="1926"/>
      <c r="I195" s="1926"/>
      <c r="J195" s="1926"/>
      <c r="K195" s="1926"/>
      <c r="L195" s="1926"/>
      <c r="M195" s="1926"/>
      <c r="N195" s="1926"/>
      <c r="O195" s="1926"/>
      <c r="P195" s="1926"/>
      <c r="Q195" s="1926"/>
      <c r="R195" s="1926"/>
      <c r="S195" s="1926"/>
      <c r="T195" s="1926"/>
      <c r="U195" s="1926"/>
      <c r="V195" s="1926"/>
      <c r="W195" s="1926"/>
      <c r="X195" s="1926"/>
      <c r="Y195" s="1926"/>
      <c r="Z195" s="1926"/>
      <c r="AA195" s="1926"/>
      <c r="AB195" s="1926"/>
      <c r="AC195" s="882"/>
      <c r="AD195" s="1927"/>
      <c r="AE195" s="1927"/>
      <c r="AF195" s="1927"/>
      <c r="AG195" s="1927"/>
      <c r="AH195" s="1927"/>
      <c r="AI195" s="1927"/>
      <c r="AJ195" s="1927"/>
      <c r="AK195" s="645"/>
    </row>
    <row r="196" spans="1:37">
      <c r="A196" s="640"/>
      <c r="B196" s="1926"/>
      <c r="C196" s="1926"/>
      <c r="D196" s="1926"/>
      <c r="E196" s="1926"/>
      <c r="F196" s="1926"/>
      <c r="G196" s="1926"/>
      <c r="H196" s="1926"/>
      <c r="I196" s="1926"/>
      <c r="J196" s="1926"/>
      <c r="K196" s="1926"/>
      <c r="L196" s="1926"/>
      <c r="M196" s="1926"/>
      <c r="N196" s="1926"/>
      <c r="O196" s="1926"/>
      <c r="P196" s="1926"/>
      <c r="Q196" s="1926"/>
      <c r="R196" s="1926"/>
      <c r="S196" s="1926"/>
      <c r="T196" s="1926"/>
      <c r="U196" s="1926"/>
      <c r="V196" s="1926"/>
      <c r="W196" s="1926"/>
      <c r="X196" s="1926"/>
      <c r="Y196" s="1926"/>
      <c r="Z196" s="1926"/>
      <c r="AA196" s="1926"/>
      <c r="AB196" s="1926"/>
      <c r="AC196" s="882"/>
      <c r="AD196" s="1927"/>
      <c r="AE196" s="1927"/>
      <c r="AF196" s="1927"/>
      <c r="AG196" s="1927"/>
      <c r="AH196" s="1927"/>
      <c r="AI196" s="1927"/>
      <c r="AJ196" s="1927"/>
      <c r="AK196" s="645"/>
    </row>
    <row r="197" spans="1:37">
      <c r="A197" s="640"/>
      <c r="B197" s="1926"/>
      <c r="C197" s="1926"/>
      <c r="D197" s="1926"/>
      <c r="E197" s="1926"/>
      <c r="F197" s="1926"/>
      <c r="G197" s="1926"/>
      <c r="H197" s="1926"/>
      <c r="I197" s="1926"/>
      <c r="J197" s="1926"/>
      <c r="K197" s="1926"/>
      <c r="L197" s="1926"/>
      <c r="M197" s="1926"/>
      <c r="N197" s="1926"/>
      <c r="O197" s="1926"/>
      <c r="P197" s="1926"/>
      <c r="Q197" s="1926"/>
      <c r="R197" s="1926"/>
      <c r="S197" s="1926"/>
      <c r="T197" s="1926"/>
      <c r="U197" s="1926"/>
      <c r="V197" s="1926"/>
      <c r="W197" s="1926"/>
      <c r="X197" s="1926"/>
      <c r="Y197" s="1926"/>
      <c r="Z197" s="1926"/>
      <c r="AA197" s="1926"/>
      <c r="AB197" s="1926"/>
      <c r="AC197" s="882"/>
      <c r="AD197" s="1927"/>
      <c r="AE197" s="1927"/>
      <c r="AF197" s="1927"/>
      <c r="AG197" s="1927"/>
      <c r="AH197" s="1927"/>
      <c r="AI197" s="1927"/>
      <c r="AJ197" s="1927"/>
      <c r="AK197" s="645"/>
    </row>
    <row r="198" spans="1:37">
      <c r="A198" s="640"/>
      <c r="B198" s="2086" t="s">
        <v>1804</v>
      </c>
      <c r="C198" s="2086"/>
      <c r="D198" s="2086"/>
      <c r="E198" s="2086"/>
      <c r="F198" s="2086"/>
      <c r="G198" s="2086"/>
      <c r="H198" s="2086"/>
      <c r="I198" s="2086"/>
      <c r="J198" s="2086"/>
      <c r="K198" s="2086"/>
      <c r="L198" s="2086"/>
      <c r="M198" s="2086"/>
      <c r="N198" s="2086"/>
      <c r="O198" s="2086"/>
      <c r="P198" s="2086"/>
      <c r="Q198" s="2086"/>
      <c r="R198" s="2086"/>
      <c r="S198" s="2086"/>
      <c r="T198" s="2086"/>
      <c r="U198" s="2086"/>
      <c r="V198" s="2086"/>
      <c r="W198" s="2086"/>
      <c r="X198" s="2086"/>
      <c r="Y198" s="2086"/>
      <c r="Z198" s="2086"/>
      <c r="AA198" s="2086"/>
      <c r="AB198" s="2086"/>
      <c r="AC198" s="571"/>
      <c r="AD198" s="1954">
        <f>AB249</f>
        <v>1552916.9441252607</v>
      </c>
      <c r="AE198" s="1954"/>
      <c r="AF198" s="1954"/>
      <c r="AG198" s="1954"/>
      <c r="AH198" s="1954"/>
      <c r="AI198" s="1954"/>
      <c r="AJ198" s="1954"/>
      <c r="AK198" s="645"/>
    </row>
    <row r="199" spans="1:37">
      <c r="A199" s="640"/>
      <c r="B199" s="2084" t="s">
        <v>1767</v>
      </c>
      <c r="C199" s="2084"/>
      <c r="D199" s="2084"/>
      <c r="E199" s="2084"/>
      <c r="F199" s="2084"/>
      <c r="G199" s="2084"/>
      <c r="H199" s="2084"/>
      <c r="I199" s="2084"/>
      <c r="J199" s="2084"/>
      <c r="K199" s="2084"/>
      <c r="L199" s="2084"/>
      <c r="M199" s="2084"/>
      <c r="N199" s="2084"/>
      <c r="O199" s="2084"/>
      <c r="P199" s="2084"/>
      <c r="Q199" s="2084"/>
      <c r="R199" s="2084"/>
      <c r="S199" s="2084"/>
      <c r="T199" s="2084"/>
      <c r="U199" s="2084"/>
      <c r="V199" s="2084"/>
      <c r="W199" s="2084"/>
      <c r="X199" s="2084"/>
      <c r="Y199" s="2084"/>
      <c r="Z199" s="2084"/>
      <c r="AA199" s="2084"/>
      <c r="AB199" s="2084"/>
      <c r="AC199" s="882"/>
      <c r="AD199" s="1955">
        <f>'Sources and Uses Budget'!B15</f>
        <v>0</v>
      </c>
      <c r="AE199" s="1955"/>
      <c r="AF199" s="1955"/>
      <c r="AG199" s="1955"/>
      <c r="AH199" s="1955"/>
      <c r="AI199" s="1955"/>
      <c r="AJ199" s="1955"/>
      <c r="AK199" s="645"/>
    </row>
    <row r="200" spans="1:37">
      <c r="A200" s="640"/>
      <c r="B200" s="482"/>
      <c r="C200" s="482"/>
      <c r="D200" s="482"/>
      <c r="E200" s="482"/>
      <c r="F200" s="482"/>
      <c r="G200" s="482"/>
      <c r="H200" s="482"/>
      <c r="I200" s="482"/>
      <c r="J200" s="482"/>
      <c r="K200" s="482"/>
      <c r="L200" s="482"/>
      <c r="M200" s="482"/>
      <c r="N200" s="482"/>
      <c r="O200" s="482"/>
      <c r="P200" s="482"/>
      <c r="Q200" s="482"/>
      <c r="R200" s="482"/>
      <c r="S200" s="482"/>
      <c r="T200" s="482"/>
      <c r="U200" s="482"/>
      <c r="V200" s="482"/>
      <c r="W200" s="482"/>
      <c r="X200" s="482"/>
      <c r="Y200" s="482"/>
      <c r="Z200" s="482"/>
      <c r="AA200" s="482"/>
      <c r="AB200" s="658" t="s">
        <v>932</v>
      </c>
      <c r="AC200" s="571"/>
      <c r="AD200" s="1959">
        <f>SUM(AD188:AJ198)-AD199</f>
        <v>5052916.9441252612</v>
      </c>
      <c r="AE200" s="1959"/>
      <c r="AF200" s="1959"/>
      <c r="AG200" s="1959"/>
      <c r="AH200" s="1959"/>
      <c r="AI200" s="1959"/>
      <c r="AJ200" s="1959"/>
      <c r="AK200" s="645"/>
    </row>
    <row r="201" spans="1:37">
      <c r="A201" s="640"/>
      <c r="B201" s="640"/>
      <c r="C201" s="698"/>
      <c r="D201" s="863"/>
      <c r="E201" s="863"/>
      <c r="F201" s="863"/>
      <c r="G201" s="863"/>
      <c r="H201" s="863"/>
      <c r="I201" s="863"/>
      <c r="J201" s="863"/>
      <c r="K201" s="571"/>
      <c r="L201" s="571"/>
      <c r="M201" s="571"/>
      <c r="N201" s="571"/>
      <c r="O201" s="571"/>
      <c r="P201" s="571"/>
      <c r="Q201" s="571"/>
      <c r="R201" s="571"/>
      <c r="S201" s="571"/>
      <c r="T201" s="571"/>
      <c r="U201" s="571"/>
      <c r="V201" s="571"/>
      <c r="W201" s="571"/>
      <c r="X201" s="571"/>
      <c r="Y201" s="678"/>
      <c r="Z201" s="678"/>
      <c r="AA201" s="678"/>
      <c r="AB201" s="678"/>
      <c r="AC201" s="571"/>
      <c r="AD201" s="571"/>
      <c r="AE201" s="645"/>
      <c r="AF201" s="645"/>
      <c r="AG201" s="645"/>
      <c r="AH201" s="645"/>
      <c r="AI201" s="645"/>
      <c r="AJ201" s="645"/>
      <c r="AK201" s="645"/>
    </row>
    <row r="202" spans="1:37">
      <c r="A202" s="640"/>
      <c r="B202" s="533" t="s">
        <v>1772</v>
      </c>
      <c r="C202" s="698"/>
      <c r="D202" s="863"/>
      <c r="E202" s="863"/>
      <c r="F202" s="863"/>
      <c r="G202" s="863"/>
      <c r="H202" s="863"/>
      <c r="I202" s="863"/>
      <c r="J202" s="863"/>
      <c r="K202" s="571"/>
      <c r="L202" s="571"/>
      <c r="M202" s="571"/>
      <c r="N202" s="571"/>
      <c r="O202" s="571"/>
      <c r="P202" s="571"/>
      <c r="Q202" s="571"/>
      <c r="R202" s="571"/>
      <c r="S202" s="571"/>
      <c r="T202" s="571"/>
      <c r="U202" s="571"/>
      <c r="V202" s="571"/>
      <c r="W202" s="571"/>
      <c r="X202" s="571"/>
      <c r="Y202" s="678"/>
      <c r="Z202" s="678"/>
      <c r="AA202" s="678"/>
      <c r="AB202" s="678"/>
      <c r="AC202" s="571"/>
      <c r="AD202" s="571"/>
      <c r="AE202" s="645"/>
      <c r="AF202" s="645"/>
      <c r="AG202" s="645"/>
      <c r="AH202" s="645"/>
      <c r="AI202" s="645"/>
      <c r="AJ202" s="645"/>
      <c r="AK202" s="645"/>
    </row>
    <row r="203" spans="1:37">
      <c r="A203" s="640"/>
      <c r="B203" s="511" t="s">
        <v>1803</v>
      </c>
      <c r="C203" s="698"/>
      <c r="D203" s="863"/>
      <c r="E203" s="863"/>
      <c r="F203" s="863"/>
      <c r="G203" s="863"/>
      <c r="H203" s="863"/>
      <c r="I203" s="863"/>
      <c r="J203" s="863"/>
      <c r="K203" s="571"/>
      <c r="L203" s="571"/>
      <c r="M203" s="571"/>
      <c r="N203" s="571"/>
      <c r="O203" s="571"/>
      <c r="P203" s="571"/>
      <c r="Q203" s="571"/>
      <c r="R203" s="571"/>
      <c r="S203" s="571"/>
      <c r="T203" s="571"/>
      <c r="U203" s="571"/>
      <c r="V203" s="571"/>
      <c r="W203" s="571"/>
      <c r="X203" s="571"/>
      <c r="Y203" s="678"/>
      <c r="Z203" s="678"/>
      <c r="AA203" s="678"/>
      <c r="AB203" s="678"/>
      <c r="AC203" s="571"/>
      <c r="AD203" s="571"/>
      <c r="AE203" s="645"/>
      <c r="AF203" s="645"/>
      <c r="AG203" s="645"/>
      <c r="AH203" s="645"/>
      <c r="AI203" s="645"/>
      <c r="AJ203" s="645"/>
      <c r="AK203" s="645"/>
    </row>
    <row r="204" spans="1:37">
      <c r="A204" s="890"/>
      <c r="B204" s="913" t="s">
        <v>1774</v>
      </c>
      <c r="C204" s="914"/>
      <c r="D204" s="915"/>
      <c r="E204" s="915"/>
      <c r="F204" s="915"/>
      <c r="G204" s="915"/>
      <c r="H204" s="915"/>
      <c r="I204" s="915"/>
      <c r="J204" s="915"/>
      <c r="K204" s="916"/>
      <c r="L204" s="916"/>
      <c r="M204" s="916"/>
      <c r="N204" s="916"/>
      <c r="O204" s="916"/>
      <c r="P204" s="916"/>
      <c r="Q204" s="916"/>
      <c r="R204" s="916"/>
      <c r="S204" s="779"/>
      <c r="T204" s="779"/>
      <c r="U204" s="779"/>
      <c r="V204" s="779"/>
      <c r="W204" s="779"/>
      <c r="X204" s="779"/>
      <c r="Y204" s="864"/>
      <c r="Z204" s="864"/>
      <c r="AA204" s="864"/>
      <c r="AB204" s="864"/>
      <c r="AC204" s="779"/>
      <c r="AD204" s="779"/>
      <c r="AE204" s="865"/>
      <c r="AF204" s="865"/>
      <c r="AG204" s="865"/>
      <c r="AH204" s="865"/>
      <c r="AI204" s="865"/>
      <c r="AJ204" s="866"/>
      <c r="AK204" s="645"/>
    </row>
    <row r="205" spans="1:37">
      <c r="A205" s="890"/>
      <c r="B205" s="917" t="s">
        <v>1775</v>
      </c>
      <c r="C205" s="918"/>
      <c r="D205" s="919"/>
      <c r="E205" s="919"/>
      <c r="F205" s="919"/>
      <c r="G205" s="919"/>
      <c r="H205" s="919"/>
      <c r="I205" s="919"/>
      <c r="J205" s="919"/>
      <c r="K205" s="920"/>
      <c r="L205" s="920"/>
      <c r="M205" s="920"/>
      <c r="N205" s="920"/>
      <c r="O205" s="920"/>
      <c r="P205" s="920"/>
      <c r="Q205" s="920"/>
      <c r="R205" s="920"/>
      <c r="S205" s="571"/>
      <c r="T205" s="571"/>
      <c r="U205" s="571"/>
      <c r="V205" s="571"/>
      <c r="W205" s="571"/>
      <c r="X205" s="571"/>
      <c r="Y205" s="678"/>
      <c r="Z205" s="678"/>
      <c r="AA205" s="678"/>
      <c r="AB205" s="678"/>
      <c r="AC205" s="571"/>
      <c r="AD205" s="571"/>
      <c r="AE205" s="645"/>
      <c r="AF205" s="645"/>
      <c r="AG205" s="645"/>
      <c r="AH205" s="645"/>
      <c r="AI205" s="645"/>
      <c r="AJ205" s="867"/>
      <c r="AK205" s="645"/>
    </row>
    <row r="206" spans="1:37">
      <c r="A206" s="890"/>
      <c r="B206" s="917" t="s">
        <v>2421</v>
      </c>
      <c r="C206" s="918"/>
      <c r="D206" s="919"/>
      <c r="E206" s="919"/>
      <c r="F206" s="919"/>
      <c r="G206" s="919"/>
      <c r="H206" s="919"/>
      <c r="I206" s="919"/>
      <c r="J206" s="919"/>
      <c r="K206" s="920"/>
      <c r="L206" s="920"/>
      <c r="M206" s="920"/>
      <c r="N206" s="920"/>
      <c r="O206" s="920"/>
      <c r="P206" s="920"/>
      <c r="Q206" s="920"/>
      <c r="R206" s="920"/>
      <c r="S206" s="571"/>
      <c r="T206" s="571"/>
      <c r="U206" s="571"/>
      <c r="V206" s="571"/>
      <c r="W206" s="571"/>
      <c r="X206" s="571"/>
      <c r="Y206" s="678"/>
      <c r="Z206" s="678"/>
      <c r="AA206" s="678"/>
      <c r="AB206" s="678"/>
      <c r="AC206" s="571"/>
      <c r="AD206" s="571"/>
      <c r="AE206" s="645"/>
      <c r="AF206" s="645"/>
      <c r="AG206" s="645"/>
      <c r="AH206" s="645"/>
      <c r="AI206" s="645"/>
      <c r="AJ206" s="867"/>
      <c r="AK206" s="645"/>
    </row>
    <row r="207" spans="1:37">
      <c r="A207" s="890"/>
      <c r="B207" s="917" t="s">
        <v>1776</v>
      </c>
      <c r="C207" s="918"/>
      <c r="D207" s="919"/>
      <c r="E207" s="919"/>
      <c r="F207" s="919"/>
      <c r="G207" s="919"/>
      <c r="H207" s="919"/>
      <c r="I207" s="919"/>
      <c r="J207" s="919"/>
      <c r="K207" s="920"/>
      <c r="L207" s="920"/>
      <c r="M207" s="920"/>
      <c r="N207" s="920"/>
      <c r="O207" s="920"/>
      <c r="P207" s="920"/>
      <c r="Q207" s="920"/>
      <c r="R207" s="920"/>
      <c r="S207" s="571"/>
      <c r="T207" s="571"/>
      <c r="U207" s="571"/>
      <c r="V207" s="571"/>
      <c r="W207" s="571"/>
      <c r="X207" s="571"/>
      <c r="Y207" s="678"/>
      <c r="Z207" s="678"/>
      <c r="AA207" s="678"/>
      <c r="AB207" s="678"/>
      <c r="AC207" s="571"/>
      <c r="AD207" s="571"/>
      <c r="AE207" s="645"/>
      <c r="AF207" s="645"/>
      <c r="AG207" s="645"/>
      <c r="AH207" s="645"/>
      <c r="AI207" s="645"/>
      <c r="AJ207" s="867"/>
      <c r="AK207" s="645"/>
    </row>
    <row r="208" spans="1:37">
      <c r="A208" s="890"/>
      <c r="B208" s="921" t="s">
        <v>1777</v>
      </c>
      <c r="C208" s="918"/>
      <c r="D208" s="919"/>
      <c r="E208" s="919"/>
      <c r="F208" s="919"/>
      <c r="G208" s="919"/>
      <c r="H208" s="919"/>
      <c r="I208" s="919"/>
      <c r="J208" s="919"/>
      <c r="K208" s="920"/>
      <c r="L208" s="920"/>
      <c r="M208" s="920"/>
      <c r="N208" s="920"/>
      <c r="O208" s="920"/>
      <c r="P208" s="920"/>
      <c r="Q208" s="920"/>
      <c r="R208" s="920"/>
      <c r="S208" s="571"/>
      <c r="T208" s="571"/>
      <c r="U208" s="571"/>
      <c r="V208" s="571"/>
      <c r="W208" s="571"/>
      <c r="X208" s="571"/>
      <c r="Y208" s="678"/>
      <c r="Z208" s="678"/>
      <c r="AA208" s="678"/>
      <c r="AB208" s="678"/>
      <c r="AC208" s="571"/>
      <c r="AD208" s="571"/>
      <c r="AE208" s="645"/>
      <c r="AF208" s="645"/>
      <c r="AG208" s="645"/>
      <c r="AH208" s="645"/>
      <c r="AI208" s="645"/>
      <c r="AJ208" s="867"/>
      <c r="AK208" s="645"/>
    </row>
    <row r="209" spans="1:37">
      <c r="A209" s="890"/>
      <c r="B209" s="922" t="s">
        <v>1815</v>
      </c>
      <c r="C209" s="923"/>
      <c r="D209" s="924"/>
      <c r="E209" s="924"/>
      <c r="F209" s="924"/>
      <c r="G209" s="924"/>
      <c r="H209" s="924"/>
      <c r="I209" s="924"/>
      <c r="J209" s="924"/>
      <c r="K209" s="925"/>
      <c r="L209" s="925"/>
      <c r="M209" s="925"/>
      <c r="N209" s="925"/>
      <c r="O209" s="925"/>
      <c r="P209" s="925"/>
      <c r="Q209" s="925"/>
      <c r="R209" s="925"/>
      <c r="S209" s="772"/>
      <c r="T209" s="772"/>
      <c r="U209" s="772"/>
      <c r="V209" s="772"/>
      <c r="W209" s="772"/>
      <c r="X209" s="772"/>
      <c r="Y209" s="868"/>
      <c r="Z209" s="868"/>
      <c r="AA209" s="868"/>
      <c r="AB209" s="868"/>
      <c r="AC209" s="772"/>
      <c r="AD209" s="772"/>
      <c r="AE209" s="869"/>
      <c r="AF209" s="869"/>
      <c r="AG209" s="869"/>
      <c r="AH209" s="869"/>
      <c r="AI209" s="869"/>
      <c r="AJ209" s="870"/>
      <c r="AK209" s="645"/>
    </row>
    <row r="210" spans="1:37">
      <c r="A210" s="640"/>
      <c r="B210" s="640"/>
      <c r="C210" s="698"/>
      <c r="D210" s="863"/>
      <c r="E210" s="863"/>
      <c r="F210" s="863"/>
      <c r="G210" s="863"/>
      <c r="H210" s="863"/>
      <c r="I210" s="863"/>
      <c r="J210" s="863"/>
      <c r="K210" s="571"/>
      <c r="L210" s="571"/>
      <c r="M210" s="571"/>
      <c r="N210" s="571"/>
      <c r="O210" s="571"/>
      <c r="P210" s="571"/>
      <c r="Q210" s="571"/>
      <c r="R210" s="571"/>
      <c r="S210" s="571"/>
      <c r="T210" s="571"/>
      <c r="U210" s="571"/>
      <c r="V210" s="571"/>
      <c r="W210" s="571"/>
      <c r="X210" s="571"/>
      <c r="Y210" s="678"/>
      <c r="Z210" s="678"/>
      <c r="AA210" s="678"/>
      <c r="AB210" s="678"/>
      <c r="AC210" s="571"/>
      <c r="AD210" s="571"/>
      <c r="AE210" s="645"/>
      <c r="AF210" s="645"/>
      <c r="AG210" s="645"/>
      <c r="AH210" s="645"/>
      <c r="AI210" s="645"/>
      <c r="AJ210" s="645"/>
      <c r="AK210" s="645"/>
    </row>
    <row r="211" spans="1:37">
      <c r="A211" s="640"/>
      <c r="B211" s="884"/>
      <c r="C211" s="511"/>
      <c r="D211" s="511"/>
      <c r="I211" s="1930" t="s">
        <v>1784</v>
      </c>
      <c r="J211" s="1930"/>
      <c r="K211" s="1930"/>
      <c r="L211" s="571"/>
      <c r="M211" s="571"/>
      <c r="N211" s="571"/>
      <c r="O211" s="571"/>
      <c r="P211" s="571"/>
      <c r="Q211" s="571"/>
      <c r="R211" s="571"/>
      <c r="S211" s="571"/>
      <c r="T211" s="2112" t="s">
        <v>1778</v>
      </c>
      <c r="U211" s="2112"/>
      <c r="V211" s="2112"/>
      <c r="W211" s="2112"/>
      <c r="X211" s="2112"/>
      <c r="Y211" s="2112"/>
      <c r="Z211" s="885"/>
      <c r="AA211" s="524"/>
      <c r="AB211" s="1925" t="s">
        <v>1779</v>
      </c>
      <c r="AC211" s="1925"/>
      <c r="AD211" s="1925"/>
      <c r="AE211" s="1925"/>
      <c r="AF211" s="1925"/>
      <c r="AG211" s="1925"/>
      <c r="AH211" s="863"/>
      <c r="AI211" s="863"/>
      <c r="AJ211" s="863"/>
      <c r="AK211" s="645"/>
    </row>
    <row r="212" spans="1:37">
      <c r="A212" s="640"/>
      <c r="B212" s="1928" t="s">
        <v>1764</v>
      </c>
      <c r="C212" s="1928"/>
      <c r="D212" s="1928"/>
      <c r="E212" s="1928"/>
      <c r="F212" s="1928"/>
      <c r="G212" s="1928"/>
      <c r="I212" s="1929" t="s">
        <v>1785</v>
      </c>
      <c r="J212" s="1929"/>
      <c r="K212" s="1929"/>
      <c r="L212" s="1045"/>
      <c r="N212" s="1935" t="s">
        <v>1780</v>
      </c>
      <c r="O212" s="1935"/>
      <c r="P212" s="1935"/>
      <c r="Q212" s="1935"/>
      <c r="R212" s="1935"/>
      <c r="T212" s="1935" t="s">
        <v>1781</v>
      </c>
      <c r="U212" s="1935"/>
      <c r="V212" s="1935"/>
      <c r="W212" s="1935"/>
      <c r="X212" s="1935"/>
      <c r="Y212" s="1935"/>
      <c r="Z212" s="886"/>
      <c r="AA212" s="524"/>
      <c r="AB212" s="2087" t="s">
        <v>1782</v>
      </c>
      <c r="AC212" s="2087"/>
      <c r="AD212" s="2087"/>
      <c r="AE212" s="2087"/>
      <c r="AF212" s="2087"/>
      <c r="AG212" s="2087"/>
      <c r="AH212" s="863"/>
      <c r="AI212" s="863"/>
      <c r="AJ212" s="863"/>
      <c r="AK212" s="645"/>
    </row>
    <row r="213" spans="1:37">
      <c r="A213" s="640"/>
      <c r="B213" s="1932" t="s">
        <v>2710</v>
      </c>
      <c r="C213" s="1932"/>
      <c r="D213" s="1932"/>
      <c r="E213" s="1932"/>
      <c r="F213" s="1932"/>
      <c r="G213" s="1932"/>
      <c r="H213" s="888"/>
      <c r="I213" s="1931">
        <v>3</v>
      </c>
      <c r="J213" s="1931"/>
      <c r="K213" s="1931"/>
      <c r="L213" s="1045"/>
      <c r="N213" s="1936">
        <v>521</v>
      </c>
      <c r="O213" s="1936"/>
      <c r="P213" s="1936"/>
      <c r="Q213" s="1936"/>
      <c r="R213" s="1936"/>
      <c r="T213" s="2085">
        <v>1800</v>
      </c>
      <c r="U213" s="2085"/>
      <c r="V213" s="2085"/>
      <c r="W213" s="2085"/>
      <c r="X213" s="2085"/>
      <c r="Y213" s="2085"/>
      <c r="Z213" s="887"/>
      <c r="AA213" s="887"/>
      <c r="AB213" s="1933">
        <f t="shared" ref="AB213:AB222" si="0">MAX(($T213-$N213)*$I213*12,0)</f>
        <v>46044</v>
      </c>
      <c r="AC213" s="1933"/>
      <c r="AD213" s="1933"/>
      <c r="AE213" s="1933"/>
      <c r="AF213" s="1933"/>
      <c r="AG213" s="1933"/>
      <c r="AH213" s="863"/>
      <c r="AI213" s="863"/>
      <c r="AJ213" s="863"/>
      <c r="AK213" s="645"/>
    </row>
    <row r="214" spans="1:37">
      <c r="A214" s="640"/>
      <c r="B214" s="1932" t="s">
        <v>2711</v>
      </c>
      <c r="C214" s="1932"/>
      <c r="D214" s="1932"/>
      <c r="E214" s="1932"/>
      <c r="F214" s="1932"/>
      <c r="G214" s="1932"/>
      <c r="I214" s="1931">
        <v>2</v>
      </c>
      <c r="J214" s="1931"/>
      <c r="K214" s="1931"/>
      <c r="L214" s="1045"/>
      <c r="N214" s="1936">
        <v>624</v>
      </c>
      <c r="O214" s="1936"/>
      <c r="P214" s="1936"/>
      <c r="Q214" s="1936"/>
      <c r="R214" s="1936"/>
      <c r="T214" s="2085">
        <v>2290</v>
      </c>
      <c r="U214" s="2085"/>
      <c r="V214" s="2085"/>
      <c r="W214" s="2085"/>
      <c r="X214" s="2085"/>
      <c r="Y214" s="2085"/>
      <c r="Z214" s="887"/>
      <c r="AA214" s="887"/>
      <c r="AB214" s="1933">
        <f t="shared" si="0"/>
        <v>39984</v>
      </c>
      <c r="AC214" s="1933"/>
      <c r="AD214" s="1933"/>
      <c r="AE214" s="1933"/>
      <c r="AF214" s="1933"/>
      <c r="AG214" s="1933"/>
      <c r="AH214" s="863"/>
      <c r="AI214" s="863"/>
      <c r="AJ214" s="863"/>
      <c r="AK214" s="645"/>
    </row>
    <row r="215" spans="1:37">
      <c r="A215" s="640"/>
      <c r="B215" s="1932" t="s">
        <v>2711</v>
      </c>
      <c r="C215" s="1932"/>
      <c r="D215" s="1932"/>
      <c r="E215" s="1932"/>
      <c r="F215" s="1932"/>
      <c r="G215" s="1932"/>
      <c r="I215" s="1931">
        <v>1</v>
      </c>
      <c r="J215" s="1931"/>
      <c r="K215" s="1931"/>
      <c r="L215" s="1045"/>
      <c r="N215" s="1936">
        <v>624</v>
      </c>
      <c r="O215" s="1936"/>
      <c r="P215" s="1936"/>
      <c r="Q215" s="1936"/>
      <c r="R215" s="1936"/>
      <c r="T215" s="2085">
        <v>2290</v>
      </c>
      <c r="U215" s="2085"/>
      <c r="V215" s="2085"/>
      <c r="W215" s="2085"/>
      <c r="X215" s="2085"/>
      <c r="Y215" s="2085"/>
      <c r="Z215" s="887"/>
      <c r="AA215" s="887"/>
      <c r="AB215" s="1933">
        <f t="shared" si="0"/>
        <v>19992</v>
      </c>
      <c r="AC215" s="1933"/>
      <c r="AD215" s="1933"/>
      <c r="AE215" s="1933"/>
      <c r="AF215" s="1933"/>
      <c r="AG215" s="1933"/>
      <c r="AH215" s="863"/>
      <c r="AI215" s="863"/>
      <c r="AJ215" s="863"/>
      <c r="AK215" s="645"/>
    </row>
    <row r="216" spans="1:37">
      <c r="A216" s="640"/>
      <c r="B216" s="1932" t="s">
        <v>2712</v>
      </c>
      <c r="C216" s="1932"/>
      <c r="D216" s="1932"/>
      <c r="E216" s="1932"/>
      <c r="F216" s="1932"/>
      <c r="G216" s="1932"/>
      <c r="I216" s="1931">
        <v>2</v>
      </c>
      <c r="J216" s="1931"/>
      <c r="K216" s="1931"/>
      <c r="L216" s="1045"/>
      <c r="N216" s="1936">
        <v>720</v>
      </c>
      <c r="O216" s="1936"/>
      <c r="P216" s="1936"/>
      <c r="Q216" s="1936"/>
      <c r="R216" s="1936"/>
      <c r="T216" s="2085">
        <v>3255</v>
      </c>
      <c r="U216" s="2085"/>
      <c r="V216" s="2085"/>
      <c r="W216" s="2085"/>
      <c r="X216" s="2085"/>
      <c r="Y216" s="2085"/>
      <c r="Z216" s="887"/>
      <c r="AA216" s="887"/>
      <c r="AB216" s="1933">
        <f t="shared" si="0"/>
        <v>60840</v>
      </c>
      <c r="AC216" s="1933"/>
      <c r="AD216" s="1933"/>
      <c r="AE216" s="1933"/>
      <c r="AF216" s="1933"/>
      <c r="AG216" s="1933"/>
      <c r="AH216" s="863"/>
      <c r="AI216" s="863"/>
      <c r="AJ216" s="863"/>
      <c r="AK216" s="645"/>
    </row>
    <row r="217" spans="1:37">
      <c r="A217" s="640"/>
      <c r="B217" s="1932" t="s">
        <v>1327</v>
      </c>
      <c r="C217" s="1932"/>
      <c r="D217" s="1932"/>
      <c r="E217" s="1932"/>
      <c r="F217" s="1932"/>
      <c r="G217" s="1932"/>
      <c r="I217" s="1931"/>
      <c r="J217" s="1931"/>
      <c r="K217" s="1931"/>
      <c r="L217" s="1052"/>
      <c r="N217" s="1936"/>
      <c r="O217" s="1936"/>
      <c r="P217" s="1936"/>
      <c r="Q217" s="1936"/>
      <c r="R217" s="1936"/>
      <c r="T217" s="2085"/>
      <c r="U217" s="2085"/>
      <c r="V217" s="2085"/>
      <c r="W217" s="2085"/>
      <c r="X217" s="2085"/>
      <c r="Y217" s="2085"/>
      <c r="Z217" s="887"/>
      <c r="AA217" s="887"/>
      <c r="AB217" s="1933">
        <f t="shared" si="0"/>
        <v>0</v>
      </c>
      <c r="AC217" s="1933"/>
      <c r="AD217" s="1933"/>
      <c r="AE217" s="1933"/>
      <c r="AF217" s="1933"/>
      <c r="AG217" s="1933"/>
      <c r="AH217" s="863"/>
      <c r="AI217" s="863"/>
      <c r="AJ217" s="863"/>
      <c r="AK217" s="645"/>
    </row>
    <row r="218" spans="1:37">
      <c r="A218" s="640"/>
      <c r="B218" s="1932" t="s">
        <v>1327</v>
      </c>
      <c r="C218" s="1932"/>
      <c r="D218" s="1932"/>
      <c r="E218" s="1932"/>
      <c r="F218" s="1932"/>
      <c r="G218" s="1932"/>
      <c r="I218" s="1931"/>
      <c r="J218" s="1931"/>
      <c r="K218" s="1931"/>
      <c r="L218" s="1052"/>
      <c r="N218" s="1936"/>
      <c r="O218" s="1936"/>
      <c r="P218" s="1936"/>
      <c r="Q218" s="1936"/>
      <c r="R218" s="1936"/>
      <c r="T218" s="2085"/>
      <c r="U218" s="2085"/>
      <c r="V218" s="2085"/>
      <c r="W218" s="2085"/>
      <c r="X218" s="2085"/>
      <c r="Y218" s="2085"/>
      <c r="Z218" s="887"/>
      <c r="AA218" s="887"/>
      <c r="AB218" s="1933">
        <f t="shared" si="0"/>
        <v>0</v>
      </c>
      <c r="AC218" s="1933"/>
      <c r="AD218" s="1933"/>
      <c r="AE218" s="1933"/>
      <c r="AF218" s="1933"/>
      <c r="AG218" s="1933"/>
      <c r="AH218" s="863"/>
      <c r="AI218" s="863"/>
      <c r="AJ218" s="863"/>
      <c r="AK218" s="645"/>
    </row>
    <row r="219" spans="1:37">
      <c r="A219" s="640"/>
      <c r="B219" s="1932" t="s">
        <v>1327</v>
      </c>
      <c r="C219" s="1932"/>
      <c r="D219" s="1932"/>
      <c r="E219" s="1932"/>
      <c r="F219" s="1932"/>
      <c r="G219" s="1932"/>
      <c r="I219" s="1931"/>
      <c r="J219" s="1931"/>
      <c r="K219" s="1931"/>
      <c r="L219" s="1052"/>
      <c r="N219" s="1936"/>
      <c r="O219" s="1936"/>
      <c r="P219" s="1936"/>
      <c r="Q219" s="1936"/>
      <c r="R219" s="1936"/>
      <c r="T219" s="2085"/>
      <c r="U219" s="2085"/>
      <c r="V219" s="2085"/>
      <c r="W219" s="2085"/>
      <c r="X219" s="2085"/>
      <c r="Y219" s="2085"/>
      <c r="Z219" s="887"/>
      <c r="AA219" s="887"/>
      <c r="AB219" s="1933">
        <f t="shared" si="0"/>
        <v>0</v>
      </c>
      <c r="AC219" s="1933"/>
      <c r="AD219" s="1933"/>
      <c r="AE219" s="1933"/>
      <c r="AF219" s="1933"/>
      <c r="AG219" s="1933"/>
      <c r="AH219" s="863"/>
      <c r="AI219" s="863"/>
      <c r="AJ219" s="863"/>
      <c r="AK219" s="645"/>
    </row>
    <row r="220" spans="1:37">
      <c r="A220" s="640"/>
      <c r="B220" s="1932" t="s">
        <v>1327</v>
      </c>
      <c r="C220" s="1932"/>
      <c r="D220" s="1932"/>
      <c r="E220" s="1932"/>
      <c r="F220" s="1932"/>
      <c r="G220" s="1932"/>
      <c r="I220" s="1931"/>
      <c r="J220" s="1931"/>
      <c r="K220" s="1931"/>
      <c r="L220" s="1052"/>
      <c r="N220" s="1936"/>
      <c r="O220" s="1936"/>
      <c r="P220" s="1936"/>
      <c r="Q220" s="1936"/>
      <c r="R220" s="1936"/>
      <c r="T220" s="2085"/>
      <c r="U220" s="2085"/>
      <c r="V220" s="2085"/>
      <c r="W220" s="2085"/>
      <c r="X220" s="2085"/>
      <c r="Y220" s="2085"/>
      <c r="Z220" s="887"/>
      <c r="AA220" s="887"/>
      <c r="AB220" s="1933">
        <f t="shared" si="0"/>
        <v>0</v>
      </c>
      <c r="AC220" s="1933"/>
      <c r="AD220" s="1933"/>
      <c r="AE220" s="1933"/>
      <c r="AF220" s="1933"/>
      <c r="AG220" s="1933"/>
      <c r="AH220" s="863"/>
      <c r="AI220" s="863"/>
      <c r="AJ220" s="863"/>
      <c r="AK220" s="645"/>
    </row>
    <row r="221" spans="1:37">
      <c r="A221" s="640"/>
      <c r="B221" s="1932" t="s">
        <v>1327</v>
      </c>
      <c r="C221" s="1932"/>
      <c r="D221" s="1932"/>
      <c r="E221" s="1932"/>
      <c r="F221" s="1932"/>
      <c r="G221" s="1932"/>
      <c r="I221" s="1931"/>
      <c r="J221" s="1931"/>
      <c r="K221" s="1931"/>
      <c r="L221" s="1052"/>
      <c r="N221" s="1936"/>
      <c r="O221" s="1936"/>
      <c r="P221" s="1936"/>
      <c r="Q221" s="1936"/>
      <c r="R221" s="1936"/>
      <c r="T221" s="2085"/>
      <c r="U221" s="2085"/>
      <c r="V221" s="2085"/>
      <c r="W221" s="2085"/>
      <c r="X221" s="2085"/>
      <c r="Y221" s="2085"/>
      <c r="Z221" s="887"/>
      <c r="AA221" s="887"/>
      <c r="AB221" s="1933">
        <f t="shared" si="0"/>
        <v>0</v>
      </c>
      <c r="AC221" s="1933"/>
      <c r="AD221" s="1933"/>
      <c r="AE221" s="1933"/>
      <c r="AF221" s="1933"/>
      <c r="AG221" s="1933"/>
      <c r="AH221" s="863"/>
      <c r="AI221" s="863"/>
      <c r="AJ221" s="863"/>
      <c r="AK221" s="645"/>
    </row>
    <row r="222" spans="1:37">
      <c r="A222" s="640"/>
      <c r="B222" s="1932" t="s">
        <v>1327</v>
      </c>
      <c r="C222" s="1932"/>
      <c r="D222" s="1932"/>
      <c r="E222" s="1932"/>
      <c r="F222" s="1932"/>
      <c r="G222" s="1932"/>
      <c r="I222" s="1934"/>
      <c r="J222" s="1934"/>
      <c r="K222" s="1934"/>
      <c r="L222" s="1052"/>
      <c r="N222" s="1936"/>
      <c r="O222" s="1936"/>
      <c r="P222" s="1936"/>
      <c r="Q222" s="1936"/>
      <c r="R222" s="1936"/>
      <c r="T222" s="2085"/>
      <c r="U222" s="2085"/>
      <c r="V222" s="2085"/>
      <c r="W222" s="2085"/>
      <c r="X222" s="2085"/>
      <c r="Y222" s="2085"/>
      <c r="Z222" s="887"/>
      <c r="AA222" s="887"/>
      <c r="AB222" s="2083">
        <f t="shared" si="0"/>
        <v>0</v>
      </c>
      <c r="AC222" s="2083"/>
      <c r="AD222" s="2083"/>
      <c r="AE222" s="2083"/>
      <c r="AF222" s="2083"/>
      <c r="AG222" s="2083"/>
      <c r="AH222" s="863"/>
      <c r="AI222" s="863"/>
      <c r="AJ222" s="863"/>
      <c r="AK222" s="645"/>
    </row>
    <row r="223" spans="1:37">
      <c r="A223" s="640"/>
      <c r="B223" s="511"/>
      <c r="C223" s="888"/>
      <c r="D223" s="511"/>
      <c r="K223" s="571"/>
      <c r="L223" s="571"/>
      <c r="M223" s="571"/>
      <c r="N223" s="571"/>
      <c r="O223" s="571"/>
      <c r="P223" s="571"/>
      <c r="Q223" s="571"/>
      <c r="R223" s="571"/>
      <c r="S223" s="571"/>
      <c r="T223" s="571"/>
      <c r="U223" s="571"/>
      <c r="V223" s="571"/>
      <c r="W223" s="571"/>
      <c r="X223" s="571"/>
      <c r="Y223" s="889" t="s">
        <v>1783</v>
      </c>
      <c r="AA223" s="889"/>
      <c r="AB223" s="1933">
        <f>SUM(AB213:AB222)</f>
        <v>166860</v>
      </c>
      <c r="AC223" s="1933"/>
      <c r="AD223" s="1933"/>
      <c r="AE223" s="1933"/>
      <c r="AF223" s="1933"/>
      <c r="AG223" s="1933"/>
      <c r="AH223" s="863"/>
      <c r="AI223" s="863"/>
      <c r="AJ223" s="863"/>
      <c r="AK223" s="645"/>
    </row>
    <row r="224" spans="1:37">
      <c r="A224" s="640"/>
      <c r="B224" s="640"/>
      <c r="C224" s="698"/>
      <c r="D224" s="863"/>
      <c r="E224" s="863"/>
      <c r="F224" s="863"/>
      <c r="G224" s="863"/>
      <c r="H224" s="863"/>
      <c r="I224" s="863"/>
      <c r="J224" s="863"/>
      <c r="K224" s="585"/>
      <c r="L224" s="585"/>
      <c r="M224" s="585"/>
      <c r="N224" s="585"/>
      <c r="O224" s="585"/>
      <c r="P224" s="585"/>
      <c r="Q224" s="585"/>
      <c r="R224" s="585"/>
      <c r="S224" s="585"/>
      <c r="T224" s="585"/>
      <c r="U224" s="585"/>
      <c r="V224" s="585"/>
      <c r="W224" s="585"/>
      <c r="X224" s="585"/>
      <c r="Y224" s="678"/>
      <c r="Z224" s="678"/>
      <c r="AA224" s="678"/>
      <c r="AB224" s="678"/>
      <c r="AC224" s="585"/>
      <c r="AD224" s="585"/>
      <c r="AE224" s="645"/>
      <c r="AF224" s="645"/>
      <c r="AG224" s="645"/>
      <c r="AH224" s="645"/>
      <c r="AI224" s="645"/>
      <c r="AJ224" s="645"/>
      <c r="AK224" s="645"/>
    </row>
    <row r="225" spans="1:37">
      <c r="A225" s="1187" t="s">
        <v>1773</v>
      </c>
      <c r="C225" s="698"/>
      <c r="D225" s="863"/>
      <c r="E225" s="863"/>
      <c r="F225" s="863"/>
      <c r="G225" s="863"/>
      <c r="H225" s="863"/>
      <c r="I225" s="863"/>
      <c r="J225" s="863"/>
      <c r="K225" s="571"/>
      <c r="L225" s="571"/>
      <c r="M225" s="571"/>
      <c r="N225" s="571"/>
      <c r="O225" s="571"/>
      <c r="P225" s="571"/>
      <c r="Q225" s="571"/>
      <c r="R225" s="571"/>
      <c r="S225" s="571"/>
      <c r="T225" s="571"/>
      <c r="U225" s="571"/>
      <c r="V225" s="571"/>
      <c r="W225" s="571"/>
      <c r="X225" s="571"/>
      <c r="Y225" s="678"/>
      <c r="Z225" s="678"/>
      <c r="AA225" s="678"/>
      <c r="AB225" s="678"/>
      <c r="AC225" s="571"/>
      <c r="AD225" s="571"/>
      <c r="AE225" s="645"/>
      <c r="AF225" s="645"/>
      <c r="AG225" s="645"/>
      <c r="AH225" s="645"/>
      <c r="AI225" s="645"/>
      <c r="AJ225" s="645"/>
      <c r="AK225" s="645"/>
    </row>
    <row r="226" spans="1:37">
      <c r="A226" s="640"/>
      <c r="B226" s="511" t="s">
        <v>1801</v>
      </c>
      <c r="C226" s="698"/>
      <c r="D226" s="863"/>
      <c r="E226" s="863"/>
      <c r="F226" s="863"/>
      <c r="G226" s="863"/>
      <c r="H226" s="863"/>
      <c r="I226" s="863"/>
      <c r="J226" s="863"/>
      <c r="K226" s="571"/>
      <c r="L226" s="571"/>
      <c r="M226" s="571"/>
      <c r="N226" s="571"/>
      <c r="O226" s="571"/>
      <c r="P226" s="571"/>
      <c r="Q226" s="571"/>
      <c r="R226" s="571"/>
      <c r="S226" s="571"/>
      <c r="T226" s="571"/>
      <c r="U226" s="571"/>
      <c r="V226" s="571"/>
      <c r="W226" s="571"/>
      <c r="X226" s="571"/>
      <c r="Y226" s="678"/>
      <c r="Z226" s="678"/>
      <c r="AA226" s="678"/>
      <c r="AB226" s="678"/>
      <c r="AC226" s="571"/>
      <c r="AD226" s="571"/>
      <c r="AE226" s="645"/>
      <c r="AF226" s="645"/>
      <c r="AG226" s="645"/>
      <c r="AH226" s="645"/>
      <c r="AI226" s="645"/>
      <c r="AJ226" s="645"/>
      <c r="AK226" s="645"/>
    </row>
    <row r="227" spans="1:37">
      <c r="A227" s="640"/>
      <c r="B227" s="511"/>
      <c r="C227" s="698"/>
      <c r="D227" s="863"/>
      <c r="E227" s="863"/>
      <c r="F227" s="863"/>
      <c r="G227" s="863"/>
      <c r="H227" s="863"/>
      <c r="I227" s="863"/>
      <c r="J227" s="863"/>
      <c r="K227" s="571"/>
      <c r="L227" s="571"/>
      <c r="M227" s="571"/>
      <c r="N227" s="571"/>
      <c r="O227" s="571"/>
      <c r="P227" s="571"/>
      <c r="Q227" s="571"/>
      <c r="R227" s="571"/>
      <c r="S227" s="571"/>
      <c r="T227" s="571"/>
      <c r="U227" s="571"/>
      <c r="V227" s="571"/>
      <c r="W227" s="571"/>
      <c r="X227" s="571"/>
      <c r="Y227" s="678"/>
      <c r="Z227" s="678"/>
      <c r="AA227" s="678"/>
      <c r="AB227" s="678"/>
      <c r="AC227" s="571"/>
      <c r="AD227" s="571"/>
      <c r="AE227" s="645"/>
      <c r="AF227" s="645"/>
      <c r="AG227" s="645"/>
      <c r="AH227" s="645"/>
      <c r="AI227" s="645"/>
      <c r="AJ227" s="645"/>
      <c r="AK227" s="645"/>
    </row>
    <row r="228" spans="1:37">
      <c r="A228" s="640"/>
      <c r="B228" s="872" t="s">
        <v>1799</v>
      </c>
      <c r="C228" s="698"/>
      <c r="D228" s="863"/>
      <c r="E228" s="863"/>
      <c r="F228" s="863"/>
      <c r="G228" s="863"/>
      <c r="H228" s="863"/>
      <c r="I228" s="863"/>
      <c r="J228" s="863"/>
      <c r="K228" s="571"/>
      <c r="L228" s="571"/>
      <c r="M228" s="571"/>
      <c r="N228" s="571"/>
      <c r="O228" s="571"/>
      <c r="P228" s="571"/>
      <c r="Q228" s="571"/>
      <c r="R228" s="571"/>
      <c r="S228" s="571"/>
      <c r="T228" s="571"/>
      <c r="U228" s="571"/>
      <c r="V228" s="571"/>
      <c r="W228" s="571"/>
      <c r="X228" s="571"/>
      <c r="Y228" s="678"/>
      <c r="Z228" s="678"/>
      <c r="AA228" s="678"/>
      <c r="AB228" s="678"/>
      <c r="AC228" s="571"/>
      <c r="AD228" s="571"/>
      <c r="AE228" s="645"/>
      <c r="AF228" s="645"/>
      <c r="AG228" s="645"/>
      <c r="AH228" s="645"/>
      <c r="AI228" s="645"/>
      <c r="AJ228" s="645"/>
      <c r="AK228" s="645"/>
    </row>
    <row r="229" spans="1:37">
      <c r="A229" s="640"/>
      <c r="B229" s="872" t="s">
        <v>1793</v>
      </c>
      <c r="C229" s="698"/>
      <c r="D229" s="863"/>
      <c r="E229" s="863"/>
      <c r="F229" s="863"/>
      <c r="G229" s="863"/>
      <c r="H229" s="863"/>
      <c r="I229" s="863"/>
      <c r="J229" s="863"/>
      <c r="K229" s="571"/>
      <c r="L229" s="571"/>
      <c r="M229" s="571"/>
      <c r="N229" s="571"/>
      <c r="O229" s="571"/>
      <c r="P229" s="571"/>
      <c r="Q229" s="571"/>
      <c r="R229" s="571"/>
      <c r="S229" s="571"/>
      <c r="T229" s="571"/>
      <c r="U229" s="571"/>
      <c r="V229" s="571"/>
      <c r="W229" s="571"/>
      <c r="X229" s="571"/>
      <c r="Y229" s="678"/>
      <c r="Z229" s="678"/>
      <c r="AA229" s="678"/>
      <c r="AB229" s="2088"/>
      <c r="AC229" s="2088"/>
      <c r="AD229" s="2088"/>
      <c r="AE229" s="2088"/>
      <c r="AF229" s="2088"/>
      <c r="AG229" s="2088"/>
      <c r="AH229" s="645"/>
      <c r="AI229" s="645"/>
      <c r="AJ229" s="645"/>
      <c r="AK229" s="645"/>
    </row>
    <row r="230" spans="1:37">
      <c r="A230" s="640"/>
      <c r="B230" s="873" t="s">
        <v>1798</v>
      </c>
      <c r="C230" s="651"/>
      <c r="D230" s="871"/>
      <c r="E230" s="863"/>
      <c r="F230" s="863"/>
      <c r="G230" s="863"/>
      <c r="H230" s="863"/>
      <c r="I230" s="863"/>
      <c r="J230" s="863"/>
      <c r="K230" s="571"/>
      <c r="L230" s="571"/>
      <c r="M230" s="571"/>
      <c r="N230" s="571"/>
      <c r="O230" s="571"/>
      <c r="P230" s="571"/>
      <c r="Q230" s="571"/>
      <c r="R230" s="571"/>
      <c r="S230" s="571"/>
      <c r="T230" s="571"/>
      <c r="U230" s="571"/>
      <c r="V230" s="571"/>
      <c r="W230" s="571"/>
      <c r="X230" s="571"/>
      <c r="Y230" s="678"/>
      <c r="Z230" s="678"/>
      <c r="AA230" s="678"/>
      <c r="AB230" s="678"/>
      <c r="AC230" s="571"/>
      <c r="AD230" s="571"/>
      <c r="AE230" s="645"/>
      <c r="AF230" s="645"/>
      <c r="AG230" s="645"/>
      <c r="AH230" s="645"/>
      <c r="AI230" s="645"/>
      <c r="AJ230" s="645"/>
      <c r="AK230" s="645"/>
    </row>
    <row r="231" spans="1:37">
      <c r="A231" s="640"/>
      <c r="B231" s="874" t="s">
        <v>1800</v>
      </c>
      <c r="C231" s="698"/>
      <c r="D231" s="863"/>
      <c r="E231" s="863"/>
      <c r="F231" s="863"/>
      <c r="G231" s="863"/>
      <c r="H231" s="863"/>
      <c r="I231" s="863"/>
      <c r="J231" s="863"/>
      <c r="K231" s="571"/>
      <c r="L231" s="571"/>
      <c r="M231" s="571"/>
      <c r="N231" s="571"/>
      <c r="O231" s="571"/>
      <c r="P231" s="571"/>
      <c r="Q231" s="571"/>
      <c r="R231" s="571"/>
      <c r="S231" s="571"/>
      <c r="T231" s="571"/>
      <c r="U231" s="571"/>
      <c r="V231" s="571"/>
      <c r="W231" s="571"/>
      <c r="X231" s="571"/>
      <c r="Y231" s="678"/>
      <c r="Z231" s="678"/>
      <c r="AA231" s="678"/>
      <c r="AB231" s="678"/>
      <c r="AC231" s="571"/>
      <c r="AD231" s="571"/>
      <c r="AE231" s="645"/>
      <c r="AF231" s="645"/>
      <c r="AG231" s="645"/>
      <c r="AH231" s="645"/>
      <c r="AI231" s="645"/>
      <c r="AJ231" s="645"/>
      <c r="AK231" s="645"/>
    </row>
    <row r="232" spans="1:37">
      <c r="A232" s="640"/>
      <c r="B232" s="874" t="s">
        <v>1794</v>
      </c>
      <c r="C232" s="698"/>
      <c r="D232" s="863"/>
      <c r="E232" s="863"/>
      <c r="F232" s="863"/>
      <c r="G232" s="863"/>
      <c r="H232" s="863"/>
      <c r="I232" s="863"/>
      <c r="J232" s="863"/>
      <c r="K232" s="571"/>
      <c r="L232" s="571"/>
      <c r="M232" s="571"/>
      <c r="N232" s="571"/>
      <c r="O232" s="571"/>
      <c r="P232" s="571"/>
      <c r="Q232" s="571"/>
      <c r="R232" s="571"/>
      <c r="S232" s="571"/>
      <c r="T232" s="571"/>
      <c r="U232" s="571"/>
      <c r="V232" s="571"/>
      <c r="W232" s="571"/>
      <c r="X232" s="571"/>
      <c r="Y232" s="678"/>
      <c r="Z232" s="678"/>
      <c r="AA232" s="678"/>
      <c r="AB232" s="2088"/>
      <c r="AC232" s="2088"/>
      <c r="AD232" s="2088"/>
      <c r="AE232" s="2088"/>
      <c r="AF232" s="2088"/>
      <c r="AG232" s="2088"/>
      <c r="AH232" s="645"/>
      <c r="AI232" s="645"/>
      <c r="AJ232" s="645"/>
      <c r="AK232" s="645"/>
    </row>
    <row r="233" spans="1:37">
      <c r="A233" s="640"/>
      <c r="B233" s="874" t="s">
        <v>1795</v>
      </c>
      <c r="C233" s="698"/>
      <c r="D233" s="863"/>
      <c r="E233" s="863"/>
      <c r="F233" s="863"/>
      <c r="G233" s="863"/>
      <c r="H233" s="863"/>
      <c r="I233" s="863"/>
      <c r="J233" s="863"/>
      <c r="K233" s="571"/>
      <c r="L233" s="571"/>
      <c r="M233" s="571"/>
      <c r="N233" s="571"/>
      <c r="O233" s="571"/>
      <c r="P233" s="571"/>
      <c r="Q233" s="571"/>
      <c r="R233" s="571"/>
      <c r="S233" s="571"/>
      <c r="T233" s="571"/>
      <c r="U233" s="571"/>
      <c r="V233" s="571"/>
      <c r="W233" s="571"/>
      <c r="X233" s="571"/>
      <c r="Y233" s="678"/>
      <c r="Z233" s="678"/>
      <c r="AA233" s="678"/>
      <c r="AB233" s="2111"/>
      <c r="AC233" s="2111"/>
      <c r="AD233" s="2111"/>
      <c r="AE233" s="2111"/>
      <c r="AF233" s="2111"/>
      <c r="AG233" s="2111"/>
      <c r="AH233" s="645"/>
      <c r="AI233" s="645"/>
      <c r="AJ233" s="645"/>
      <c r="AK233" s="645"/>
    </row>
    <row r="234" spans="1:37">
      <c r="A234" s="640"/>
      <c r="B234" s="874" t="s">
        <v>1796</v>
      </c>
      <c r="C234" s="698"/>
      <c r="D234" s="863"/>
      <c r="E234" s="863"/>
      <c r="F234" s="863"/>
      <c r="G234" s="863"/>
      <c r="H234" s="863"/>
      <c r="I234" s="863"/>
      <c r="J234" s="863"/>
      <c r="K234" s="571"/>
      <c r="L234" s="571"/>
      <c r="M234" s="571"/>
      <c r="N234" s="571"/>
      <c r="O234" s="571"/>
      <c r="P234" s="571"/>
      <c r="Q234" s="571"/>
      <c r="R234" s="571"/>
      <c r="S234" s="571"/>
      <c r="T234" s="571"/>
      <c r="U234" s="571"/>
      <c r="V234" s="571"/>
      <c r="W234" s="571"/>
      <c r="X234" s="571"/>
      <c r="Y234" s="678"/>
      <c r="Z234" s="678"/>
      <c r="AA234" s="678"/>
      <c r="AB234" s="2094">
        <f>IFERROR(AB232/AB233,0)</f>
        <v>0</v>
      </c>
      <c r="AC234" s="2094"/>
      <c r="AD234" s="2094"/>
      <c r="AE234" s="2094"/>
      <c r="AF234" s="2094"/>
      <c r="AG234" s="2094"/>
      <c r="AH234" s="645"/>
      <c r="AI234" s="645"/>
      <c r="AJ234" s="645"/>
      <c r="AK234" s="645"/>
    </row>
    <row r="235" spans="1:37">
      <c r="A235" s="640"/>
      <c r="B235" s="511"/>
      <c r="C235" s="698"/>
      <c r="D235" s="863"/>
      <c r="E235" s="863"/>
      <c r="F235" s="863"/>
      <c r="G235" s="863"/>
      <c r="H235" s="863"/>
      <c r="I235" s="863"/>
      <c r="J235" s="863"/>
      <c r="K235" s="571"/>
      <c r="L235" s="571"/>
      <c r="M235" s="571"/>
      <c r="N235" s="571"/>
      <c r="O235" s="571"/>
      <c r="P235" s="571"/>
      <c r="Q235" s="571"/>
      <c r="R235" s="571"/>
      <c r="S235" s="571"/>
      <c r="T235" s="571"/>
      <c r="U235" s="571"/>
      <c r="V235" s="571"/>
      <c r="W235" s="571"/>
      <c r="X235" s="571"/>
      <c r="Y235" s="678"/>
      <c r="Z235" s="678"/>
      <c r="AA235" s="678"/>
      <c r="AB235" s="678"/>
      <c r="AC235" s="571"/>
      <c r="AD235" s="571"/>
      <c r="AE235" s="645"/>
      <c r="AF235" s="645"/>
      <c r="AG235" s="645"/>
      <c r="AH235" s="645"/>
      <c r="AI235" s="645"/>
      <c r="AJ235" s="645"/>
      <c r="AK235" s="645"/>
    </row>
    <row r="236" spans="1:37">
      <c r="A236" s="640"/>
      <c r="B236" s="511" t="s">
        <v>1797</v>
      </c>
      <c r="C236" s="698"/>
      <c r="D236" s="863"/>
      <c r="E236" s="863"/>
      <c r="F236" s="863"/>
      <c r="G236" s="863"/>
      <c r="H236" s="863"/>
      <c r="I236" s="863"/>
      <c r="J236" s="863"/>
      <c r="K236" s="571"/>
      <c r="L236" s="571"/>
      <c r="M236" s="571"/>
      <c r="N236" s="571"/>
      <c r="O236" s="571"/>
      <c r="P236" s="571"/>
      <c r="Q236" s="571"/>
      <c r="R236" s="571"/>
      <c r="S236" s="571"/>
      <c r="T236" s="571"/>
      <c r="U236" s="571"/>
      <c r="V236" s="571"/>
      <c r="W236" s="571"/>
      <c r="X236" s="571"/>
      <c r="Y236" s="678"/>
      <c r="Z236" s="678"/>
      <c r="AA236" s="678"/>
      <c r="AB236" s="2083">
        <f>MAX(AB229,AB234)</f>
        <v>0</v>
      </c>
      <c r="AC236" s="2083"/>
      <c r="AD236" s="2083"/>
      <c r="AE236" s="2083"/>
      <c r="AF236" s="2083"/>
      <c r="AG236" s="2083"/>
      <c r="AH236" s="645"/>
      <c r="AI236" s="645"/>
      <c r="AJ236" s="645"/>
      <c r="AK236" s="645"/>
    </row>
    <row r="237" spans="1:37">
      <c r="A237" s="640"/>
      <c r="B237" s="511"/>
      <c r="C237" s="698"/>
      <c r="D237" s="863"/>
      <c r="E237" s="863"/>
      <c r="F237" s="863"/>
      <c r="G237" s="863"/>
      <c r="H237" s="863"/>
      <c r="I237" s="863"/>
      <c r="J237" s="863"/>
      <c r="K237" s="571"/>
      <c r="L237" s="571"/>
      <c r="M237" s="571"/>
      <c r="N237" s="571"/>
      <c r="O237" s="571"/>
      <c r="P237" s="571"/>
      <c r="Q237" s="571"/>
      <c r="R237" s="571"/>
      <c r="S237" s="571"/>
      <c r="T237" s="571"/>
      <c r="U237" s="571"/>
      <c r="V237" s="571"/>
      <c r="W237" s="571"/>
      <c r="X237" s="571"/>
      <c r="Y237" s="678"/>
      <c r="Z237" s="678"/>
      <c r="AA237" s="678"/>
      <c r="AB237" s="678"/>
      <c r="AC237" s="571"/>
      <c r="AD237" s="571"/>
      <c r="AE237" s="645"/>
      <c r="AF237" s="645"/>
      <c r="AG237" s="645"/>
      <c r="AH237" s="645"/>
      <c r="AI237" s="645"/>
      <c r="AJ237" s="645"/>
      <c r="AK237" s="645"/>
    </row>
    <row r="238" spans="1:37">
      <c r="A238" s="640"/>
      <c r="B238" s="511"/>
      <c r="C238" s="698"/>
      <c r="D238" s="863"/>
      <c r="E238" s="863"/>
      <c r="F238" s="863"/>
      <c r="G238" s="863"/>
      <c r="H238" s="863"/>
      <c r="I238" s="863"/>
      <c r="J238" s="863"/>
      <c r="K238" s="571"/>
      <c r="L238" s="571"/>
      <c r="M238" s="571"/>
      <c r="N238" s="571"/>
      <c r="O238" s="571"/>
      <c r="P238" s="571"/>
      <c r="Q238" s="571"/>
      <c r="R238" s="571"/>
      <c r="S238" s="571"/>
      <c r="T238" s="571"/>
      <c r="U238" s="571"/>
      <c r="V238" s="571"/>
      <c r="W238" s="571"/>
      <c r="X238" s="571"/>
      <c r="Y238" s="678"/>
      <c r="Z238" s="678"/>
      <c r="AA238" s="678"/>
      <c r="AB238" s="678"/>
      <c r="AC238" s="571"/>
      <c r="AD238" s="571"/>
      <c r="AE238" s="645"/>
      <c r="AF238" s="645"/>
      <c r="AG238" s="645"/>
      <c r="AH238" s="645"/>
      <c r="AI238" s="645"/>
      <c r="AJ238" s="645"/>
      <c r="AK238" s="645"/>
    </row>
    <row r="239" spans="1:37">
      <c r="A239" s="640"/>
      <c r="B239" s="511" t="s">
        <v>1786</v>
      </c>
      <c r="C239" s="698"/>
      <c r="D239" s="863"/>
      <c r="E239" s="863"/>
      <c r="F239" s="863"/>
      <c r="G239" s="863"/>
      <c r="H239" s="863"/>
      <c r="I239" s="863"/>
      <c r="J239" s="863"/>
      <c r="K239" s="571"/>
      <c r="L239" s="571"/>
      <c r="M239" s="571"/>
      <c r="N239" s="571"/>
      <c r="O239" s="571"/>
      <c r="P239" s="571"/>
      <c r="Q239" s="571"/>
      <c r="R239" s="571"/>
      <c r="S239" s="571"/>
      <c r="U239" s="875"/>
      <c r="V239" s="875"/>
      <c r="W239" s="875"/>
      <c r="X239" s="875"/>
      <c r="Y239" s="875"/>
      <c r="Z239" s="678"/>
      <c r="AA239" s="678"/>
      <c r="AB239" s="1933">
        <f>AB223+AB236</f>
        <v>166860</v>
      </c>
      <c r="AC239" s="1933"/>
      <c r="AD239" s="1933"/>
      <c r="AE239" s="1933"/>
      <c r="AF239" s="1933"/>
      <c r="AG239" s="1933"/>
      <c r="AH239" s="645"/>
      <c r="AI239" s="645"/>
      <c r="AJ239" s="645"/>
      <c r="AK239" s="645"/>
    </row>
    <row r="240" spans="1:37">
      <c r="A240" s="640"/>
      <c r="B240" s="511" t="s">
        <v>866</v>
      </c>
      <c r="C240" s="698"/>
      <c r="D240" s="863"/>
      <c r="E240" s="863"/>
      <c r="F240" s="863"/>
      <c r="G240" s="863"/>
      <c r="H240" s="863"/>
      <c r="I240" s="863"/>
      <c r="J240" s="863"/>
      <c r="K240" s="571"/>
      <c r="L240" s="571"/>
      <c r="M240" s="571"/>
      <c r="N240" s="571"/>
      <c r="O240" s="571"/>
      <c r="P240" s="571"/>
      <c r="Q240" s="571"/>
      <c r="R240" s="571"/>
      <c r="S240" s="571"/>
      <c r="U240" s="876"/>
      <c r="V240" s="876"/>
      <c r="W240" s="876"/>
      <c r="X240" s="876"/>
      <c r="Y240" s="876"/>
      <c r="Z240" s="678"/>
      <c r="AA240" s="678"/>
      <c r="AB240" s="1963">
        <v>0.05</v>
      </c>
      <c r="AC240" s="1963"/>
      <c r="AD240" s="1963"/>
      <c r="AE240" s="1963"/>
      <c r="AF240" s="1963"/>
      <c r="AG240" s="1963"/>
      <c r="AH240" s="645"/>
      <c r="AI240" s="645"/>
      <c r="AJ240" s="645"/>
      <c r="AK240" s="645"/>
    </row>
    <row r="241" spans="1:37">
      <c r="A241" s="640"/>
      <c r="B241" s="511" t="s">
        <v>1787</v>
      </c>
      <c r="C241" s="698"/>
      <c r="D241" s="863"/>
      <c r="E241" s="863"/>
      <c r="F241" s="863"/>
      <c r="G241" s="863"/>
      <c r="H241" s="863"/>
      <c r="I241" s="863"/>
      <c r="J241" s="863"/>
      <c r="K241" s="571"/>
      <c r="L241" s="571"/>
      <c r="M241" s="571"/>
      <c r="N241" s="571"/>
      <c r="O241" s="571"/>
      <c r="P241" s="571"/>
      <c r="Q241" s="571"/>
      <c r="R241" s="571"/>
      <c r="S241" s="571"/>
      <c r="U241" s="875"/>
      <c r="V241" s="875"/>
      <c r="W241" s="875"/>
      <c r="X241" s="875"/>
      <c r="Y241" s="875"/>
      <c r="Z241" s="678"/>
      <c r="AA241" s="678"/>
      <c r="AB241" s="1964">
        <f>AB239-(AB239*AB240)</f>
        <v>158517</v>
      </c>
      <c r="AC241" s="1964"/>
      <c r="AD241" s="1964"/>
      <c r="AE241" s="1964"/>
      <c r="AF241" s="1964"/>
      <c r="AG241" s="1964"/>
      <c r="AH241" s="645"/>
      <c r="AI241" s="645"/>
      <c r="AJ241" s="645"/>
      <c r="AK241" s="645"/>
    </row>
    <row r="242" spans="1:37">
      <c r="A242" s="640"/>
      <c r="B242" s="511" t="s">
        <v>1788</v>
      </c>
      <c r="C242" s="698"/>
      <c r="D242" s="863"/>
      <c r="E242" s="863"/>
      <c r="F242" s="863"/>
      <c r="G242" s="863"/>
      <c r="H242" s="863"/>
      <c r="I242" s="863"/>
      <c r="J242" s="863"/>
      <c r="K242" s="571"/>
      <c r="L242" s="571"/>
      <c r="M242" s="571"/>
      <c r="N242" s="571"/>
      <c r="O242" s="571"/>
      <c r="P242" s="571"/>
      <c r="Q242" s="571"/>
      <c r="R242" s="571"/>
      <c r="S242" s="571"/>
      <c r="U242" s="571"/>
      <c r="V242" s="571"/>
      <c r="W242" s="571"/>
      <c r="X242" s="571"/>
      <c r="Y242" s="877"/>
      <c r="Z242" s="678"/>
      <c r="AA242" s="678"/>
      <c r="AB242" s="571"/>
      <c r="AC242" s="571"/>
      <c r="AD242" s="571"/>
      <c r="AE242" s="645"/>
      <c r="AF242" s="645"/>
      <c r="AG242" s="645"/>
      <c r="AH242" s="645"/>
      <c r="AI242" s="645"/>
      <c r="AJ242" s="645"/>
      <c r="AK242" s="645"/>
    </row>
    <row r="243" spans="1:37">
      <c r="A243" s="640"/>
      <c r="B243" s="511" t="s">
        <v>1789</v>
      </c>
      <c r="C243" s="698"/>
      <c r="D243" s="863"/>
      <c r="E243" s="863"/>
      <c r="F243" s="863"/>
      <c r="G243" s="863"/>
      <c r="H243" s="863"/>
      <c r="I243" s="863"/>
      <c r="J243" s="863"/>
      <c r="K243" s="571"/>
      <c r="L243" s="571"/>
      <c r="M243" s="571"/>
      <c r="N243" s="571"/>
      <c r="O243" s="571"/>
      <c r="P243" s="571"/>
      <c r="Q243" s="571"/>
      <c r="R243" s="571"/>
      <c r="S243" s="571"/>
      <c r="U243" s="875"/>
      <c r="V243" s="875"/>
      <c r="W243" s="875"/>
      <c r="X243" s="875"/>
      <c r="Y243" s="875"/>
      <c r="Z243" s="678"/>
      <c r="AA243" s="678"/>
      <c r="AB243" s="1933">
        <f>AB241/AB247</f>
        <v>137840.86956521741</v>
      </c>
      <c r="AC243" s="1933"/>
      <c r="AD243" s="1933"/>
      <c r="AE243" s="1933"/>
      <c r="AF243" s="1933"/>
      <c r="AG243" s="1933"/>
      <c r="AH243" s="645"/>
      <c r="AI243" s="645"/>
      <c r="AJ243" s="645"/>
      <c r="AK243" s="645"/>
    </row>
    <row r="244" spans="1:37">
      <c r="A244" s="640"/>
      <c r="B244" s="511"/>
      <c r="C244" s="698"/>
      <c r="D244" s="863"/>
      <c r="E244" s="863"/>
      <c r="F244" s="863"/>
      <c r="G244" s="863"/>
      <c r="H244" s="863"/>
      <c r="I244" s="863"/>
      <c r="J244" s="863"/>
      <c r="K244" s="571"/>
      <c r="L244" s="571"/>
      <c r="M244" s="571"/>
      <c r="N244" s="571"/>
      <c r="O244" s="571"/>
      <c r="P244" s="571"/>
      <c r="Q244" s="571"/>
      <c r="R244" s="571"/>
      <c r="S244" s="571"/>
      <c r="U244" s="571"/>
      <c r="V244" s="571"/>
      <c r="W244" s="571"/>
      <c r="X244" s="571"/>
      <c r="Y244" s="511"/>
      <c r="Z244" s="678"/>
      <c r="AA244" s="678"/>
      <c r="AB244" s="571"/>
      <c r="AC244" s="571"/>
      <c r="AD244" s="571"/>
      <c r="AE244" s="645"/>
      <c r="AF244" s="645"/>
      <c r="AG244" s="645"/>
      <c r="AH244" s="645"/>
      <c r="AI244" s="645"/>
      <c r="AJ244" s="645"/>
      <c r="AK244" s="645"/>
    </row>
    <row r="245" spans="1:37">
      <c r="A245" s="640"/>
      <c r="B245" s="511" t="s">
        <v>1790</v>
      </c>
      <c r="C245" s="698"/>
      <c r="D245" s="863"/>
      <c r="E245" s="863"/>
      <c r="F245" s="863"/>
      <c r="G245" s="863"/>
      <c r="H245" s="863"/>
      <c r="I245" s="863"/>
      <c r="J245" s="863"/>
      <c r="K245" s="571"/>
      <c r="L245" s="571"/>
      <c r="M245" s="571"/>
      <c r="N245" s="571"/>
      <c r="O245" s="571"/>
      <c r="P245" s="571"/>
      <c r="Q245" s="571"/>
      <c r="R245" s="571"/>
      <c r="S245" s="571"/>
      <c r="U245" s="511"/>
      <c r="V245" s="511"/>
      <c r="W245" s="511"/>
      <c r="X245" s="511"/>
      <c r="Y245" s="511"/>
      <c r="Z245" s="678"/>
      <c r="AA245" s="678"/>
      <c r="AB245" s="1925">
        <v>15</v>
      </c>
      <c r="AC245" s="1925"/>
      <c r="AD245" s="1925"/>
      <c r="AE245" s="1925"/>
      <c r="AF245" s="1925"/>
      <c r="AG245" s="1925"/>
      <c r="AH245" s="645"/>
      <c r="AI245" s="645"/>
      <c r="AJ245" s="645"/>
      <c r="AK245" s="645"/>
    </row>
    <row r="246" spans="1:37">
      <c r="A246" s="640"/>
      <c r="B246" s="511" t="s">
        <v>1791</v>
      </c>
      <c r="C246" s="698"/>
      <c r="D246" s="863"/>
      <c r="E246" s="863"/>
      <c r="F246" s="863"/>
      <c r="G246" s="863"/>
      <c r="H246" s="863"/>
      <c r="I246" s="863"/>
      <c r="J246" s="863"/>
      <c r="K246" s="571"/>
      <c r="L246" s="571"/>
      <c r="M246" s="571"/>
      <c r="N246" s="571"/>
      <c r="O246" s="571"/>
      <c r="P246" s="571"/>
      <c r="Q246" s="571"/>
      <c r="R246" s="571"/>
      <c r="S246" s="571"/>
      <c r="U246" s="876"/>
      <c r="V246" s="876"/>
      <c r="W246" s="876"/>
      <c r="X246" s="876"/>
      <c r="Y246" s="876"/>
      <c r="Z246" s="678"/>
      <c r="AA246" s="678"/>
      <c r="AB246" s="1965">
        <v>0.04</v>
      </c>
      <c r="AC246" s="1965"/>
      <c r="AD246" s="1965"/>
      <c r="AE246" s="1965"/>
      <c r="AF246" s="1965"/>
      <c r="AG246" s="1965"/>
      <c r="AH246" s="645"/>
      <c r="AI246" s="645"/>
      <c r="AJ246" s="645"/>
      <c r="AK246" s="645"/>
    </row>
    <row r="247" spans="1:37">
      <c r="A247" s="640"/>
      <c r="B247" s="511" t="s">
        <v>878</v>
      </c>
      <c r="C247" s="698"/>
      <c r="D247" s="863"/>
      <c r="E247" s="863"/>
      <c r="F247" s="863"/>
      <c r="G247" s="863"/>
      <c r="H247" s="863"/>
      <c r="I247" s="863"/>
      <c r="J247" s="863"/>
      <c r="K247" s="571"/>
      <c r="L247" s="571"/>
      <c r="M247" s="571"/>
      <c r="N247" s="571"/>
      <c r="O247" s="571"/>
      <c r="P247" s="571"/>
      <c r="Q247" s="571"/>
      <c r="R247" s="571"/>
      <c r="S247" s="571"/>
      <c r="U247" s="878"/>
      <c r="V247" s="878"/>
      <c r="W247" s="878"/>
      <c r="X247" s="878"/>
      <c r="Y247" s="878"/>
      <c r="Z247" s="678"/>
      <c r="AA247" s="678"/>
      <c r="AB247" s="1937">
        <v>1.1499999999999999</v>
      </c>
      <c r="AC247" s="1937"/>
      <c r="AD247" s="1937"/>
      <c r="AE247" s="1937"/>
      <c r="AF247" s="1937"/>
      <c r="AG247" s="1937"/>
      <c r="AH247" s="645"/>
      <c r="AI247" s="645"/>
      <c r="AJ247" s="645"/>
      <c r="AK247" s="645"/>
    </row>
    <row r="248" spans="1:37">
      <c r="A248" s="640"/>
      <c r="B248" s="511"/>
      <c r="C248" s="698"/>
      <c r="D248" s="863"/>
      <c r="E248" s="863"/>
      <c r="F248" s="863"/>
      <c r="G248" s="863"/>
      <c r="H248" s="863"/>
      <c r="I248" s="863"/>
      <c r="J248" s="863"/>
      <c r="K248" s="571"/>
      <c r="L248" s="571"/>
      <c r="M248" s="571"/>
      <c r="N248" s="571"/>
      <c r="O248" s="571"/>
      <c r="P248" s="571"/>
      <c r="Q248" s="571"/>
      <c r="R248" s="571"/>
      <c r="S248" s="571"/>
      <c r="U248" s="571"/>
      <c r="V248" s="571"/>
      <c r="W248" s="571"/>
      <c r="X248" s="571"/>
      <c r="Y248" s="524"/>
      <c r="Z248" s="678"/>
      <c r="AA248" s="678"/>
      <c r="AB248" s="571"/>
      <c r="AC248" s="571"/>
      <c r="AD248" s="571"/>
      <c r="AE248" s="645"/>
      <c r="AF248" s="645"/>
      <c r="AG248" s="645"/>
      <c r="AH248" s="645"/>
      <c r="AI248" s="645"/>
      <c r="AJ248" s="645"/>
      <c r="AK248" s="645"/>
    </row>
    <row r="249" spans="1:37">
      <c r="A249" s="640"/>
      <c r="B249" s="880" t="s">
        <v>1792</v>
      </c>
      <c r="C249" s="698"/>
      <c r="D249" s="863"/>
      <c r="E249" s="863"/>
      <c r="F249" s="863"/>
      <c r="G249" s="863"/>
      <c r="H249" s="863"/>
      <c r="I249" s="863"/>
      <c r="J249" s="863"/>
      <c r="K249" s="571"/>
      <c r="L249" s="571"/>
      <c r="M249" s="571"/>
      <c r="N249" s="571"/>
      <c r="O249" s="571"/>
      <c r="P249" s="571"/>
      <c r="Q249" s="571"/>
      <c r="R249" s="571"/>
      <c r="S249" s="571"/>
      <c r="U249" s="879"/>
      <c r="V249" s="879"/>
      <c r="W249" s="879"/>
      <c r="X249" s="879"/>
      <c r="Y249" s="879"/>
      <c r="Z249" s="678"/>
      <c r="AA249" s="678"/>
      <c r="AB249" s="1956">
        <f>PV(AB246/12,AB245*12,-AB243/12, ,0)</f>
        <v>1552916.9441252607</v>
      </c>
      <c r="AC249" s="1957"/>
      <c r="AD249" s="1957"/>
      <c r="AE249" s="1957"/>
      <c r="AF249" s="1957"/>
      <c r="AG249" s="1958"/>
      <c r="AH249" s="645"/>
      <c r="AI249" s="645"/>
      <c r="AJ249" s="645"/>
      <c r="AK249" s="645"/>
    </row>
    <row r="250" spans="1:37">
      <c r="A250" s="640"/>
      <c r="B250" s="880"/>
      <c r="C250" s="698"/>
      <c r="D250" s="863"/>
      <c r="E250" s="863"/>
      <c r="F250" s="863"/>
      <c r="G250" s="863"/>
      <c r="H250" s="863"/>
      <c r="I250" s="863"/>
      <c r="J250" s="863"/>
      <c r="K250" s="571"/>
      <c r="L250" s="571"/>
      <c r="M250" s="571"/>
      <c r="N250" s="571"/>
      <c r="O250" s="571"/>
      <c r="P250" s="571"/>
      <c r="Q250" s="571"/>
      <c r="R250" s="571"/>
      <c r="S250" s="571"/>
      <c r="U250" s="879"/>
      <c r="V250" s="879"/>
      <c r="W250" s="879"/>
      <c r="X250" s="879"/>
      <c r="Y250" s="879"/>
      <c r="Z250" s="678"/>
      <c r="AA250" s="678"/>
      <c r="AB250" s="891"/>
      <c r="AC250" s="891"/>
      <c r="AD250" s="891"/>
      <c r="AE250" s="891"/>
      <c r="AF250" s="891"/>
      <c r="AG250" s="891"/>
      <c r="AH250" s="645"/>
      <c r="AI250" s="645"/>
      <c r="AJ250" s="645"/>
      <c r="AK250" s="645"/>
    </row>
    <row r="251" spans="1:37">
      <c r="A251" s="640"/>
      <c r="B251" s="880"/>
      <c r="C251" s="698"/>
      <c r="D251" s="863"/>
      <c r="E251" s="863"/>
      <c r="F251" s="863"/>
      <c r="G251" s="863"/>
      <c r="H251" s="863"/>
      <c r="I251" s="863"/>
      <c r="J251" s="863"/>
      <c r="K251" s="571"/>
      <c r="L251" s="571"/>
      <c r="M251" s="571"/>
      <c r="N251" s="571"/>
      <c r="O251" s="571"/>
      <c r="P251" s="571"/>
      <c r="Q251" s="571"/>
      <c r="R251" s="571"/>
      <c r="S251" s="571"/>
      <c r="U251" s="879"/>
      <c r="V251" s="879"/>
      <c r="W251" s="879"/>
      <c r="X251" s="879"/>
      <c r="Y251" s="879"/>
      <c r="Z251" s="678"/>
      <c r="AA251" s="678"/>
      <c r="AB251" s="891"/>
      <c r="AC251" s="891"/>
      <c r="AD251" s="891"/>
      <c r="AE251" s="891"/>
      <c r="AF251" s="891"/>
      <c r="AG251" s="891"/>
      <c r="AH251" s="645"/>
      <c r="AI251" s="645"/>
      <c r="AJ251" s="645"/>
      <c r="AK251" s="645"/>
    </row>
    <row r="252" spans="1:37">
      <c r="A252" s="640"/>
      <c r="B252" s="883" t="s">
        <v>1768</v>
      </c>
      <c r="C252" s="883"/>
      <c r="D252" s="863"/>
      <c r="E252" s="863"/>
      <c r="F252" s="863"/>
      <c r="G252" s="863"/>
      <c r="H252" s="863"/>
      <c r="I252" s="863"/>
      <c r="J252" s="863"/>
      <c r="K252" s="571"/>
      <c r="L252" s="571"/>
      <c r="M252" s="571"/>
      <c r="N252" s="571"/>
      <c r="O252" s="571"/>
      <c r="P252" s="571"/>
      <c r="Q252" s="571"/>
      <c r="R252" s="571"/>
      <c r="S252" s="571"/>
      <c r="T252" s="571"/>
      <c r="U252" s="571"/>
      <c r="V252" s="571"/>
      <c r="W252" s="571"/>
      <c r="X252" s="571"/>
      <c r="Y252" s="678"/>
      <c r="Z252" s="678"/>
      <c r="AA252" s="678"/>
      <c r="AB252" s="678"/>
      <c r="AC252" s="571"/>
      <c r="AD252" s="571"/>
      <c r="AE252" s="645"/>
      <c r="AF252" s="645"/>
      <c r="AG252" s="645"/>
      <c r="AH252" s="645"/>
      <c r="AI252" s="645"/>
      <c r="AJ252" s="645"/>
      <c r="AK252" s="645"/>
    </row>
    <row r="253" spans="1:37">
      <c r="A253" s="640"/>
      <c r="B253" s="640" t="s">
        <v>1771</v>
      </c>
      <c r="C253" s="698"/>
      <c r="D253" s="863"/>
      <c r="E253" s="863"/>
      <c r="F253" s="863"/>
      <c r="G253" s="863"/>
      <c r="H253" s="863"/>
      <c r="I253" s="863"/>
      <c r="J253" s="863"/>
      <c r="K253" s="571"/>
      <c r="L253" s="571"/>
      <c r="M253" s="571"/>
      <c r="N253" s="571"/>
      <c r="O253" s="571"/>
      <c r="P253" s="571"/>
      <c r="Q253" s="571"/>
      <c r="R253" s="571"/>
      <c r="S253" s="571"/>
      <c r="T253" s="571"/>
      <c r="U253" s="571"/>
      <c r="V253" s="571"/>
      <c r="W253" s="571"/>
      <c r="X253" s="571"/>
      <c r="Y253" s="678"/>
      <c r="Z253" s="678"/>
      <c r="AA253" s="678"/>
      <c r="AB253" s="678"/>
      <c r="AC253" s="571"/>
      <c r="AD253" s="571"/>
      <c r="AE253" s="645"/>
      <c r="AF253" s="645"/>
      <c r="AG253" s="645"/>
      <c r="AH253" s="645"/>
      <c r="AI253" s="645"/>
      <c r="AJ253" s="645"/>
      <c r="AK253" s="645"/>
    </row>
    <row r="254" spans="1:37">
      <c r="A254" s="640"/>
      <c r="B254" s="640" t="s">
        <v>1770</v>
      </c>
      <c r="C254" s="698"/>
      <c r="D254" s="863"/>
      <c r="E254" s="863"/>
      <c r="F254" s="863"/>
      <c r="G254" s="863"/>
      <c r="H254" s="863"/>
      <c r="I254" s="863"/>
      <c r="J254" s="863"/>
      <c r="K254" s="571"/>
      <c r="L254" s="571"/>
      <c r="M254" s="571"/>
      <c r="N254" s="571"/>
      <c r="O254" s="571"/>
      <c r="P254" s="571"/>
      <c r="Q254" s="571"/>
      <c r="R254" s="571"/>
      <c r="S254" s="571"/>
      <c r="T254" s="571"/>
      <c r="U254" s="571"/>
      <c r="V254" s="571"/>
      <c r="W254" s="571"/>
      <c r="X254" s="571"/>
      <c r="Y254" s="678"/>
      <c r="Z254" s="678"/>
      <c r="AA254" s="678"/>
      <c r="AB254" s="678"/>
      <c r="AC254" s="571"/>
      <c r="AD254" s="571"/>
      <c r="AE254" s="645"/>
      <c r="AF254" s="645"/>
      <c r="AG254" s="645"/>
      <c r="AH254" s="645"/>
      <c r="AI254" s="645"/>
      <c r="AJ254" s="645"/>
      <c r="AK254" s="645"/>
    </row>
    <row r="255" spans="1:37">
      <c r="A255" s="640"/>
      <c r="B255" s="640" t="s">
        <v>1769</v>
      </c>
      <c r="C255" s="698"/>
      <c r="D255" s="863"/>
      <c r="E255" s="863"/>
      <c r="F255" s="863"/>
      <c r="G255" s="863"/>
      <c r="H255" s="863"/>
      <c r="I255" s="863"/>
      <c r="J255" s="863"/>
      <c r="K255" s="571"/>
      <c r="L255" s="571"/>
      <c r="M255" s="571"/>
      <c r="N255" s="571"/>
      <c r="O255" s="571"/>
      <c r="P255" s="571"/>
      <c r="Q255" s="571"/>
      <c r="R255" s="571"/>
      <c r="S255" s="571"/>
      <c r="T255" s="571"/>
      <c r="U255" s="571"/>
      <c r="V255" s="571"/>
      <c r="W255" s="571"/>
      <c r="X255" s="571"/>
      <c r="Y255" s="678"/>
      <c r="Z255" s="678"/>
      <c r="AA255" s="678"/>
      <c r="AB255" s="1960">
        <f>IFERROR(('Sources and Uses Budget'!D105/'Sources and Uses Budget'!B105),0)</f>
        <v>0</v>
      </c>
      <c r="AC255" s="1961"/>
      <c r="AD255" s="1961"/>
      <c r="AE255" s="1961"/>
      <c r="AF255" s="1961"/>
      <c r="AG255" s="1962"/>
      <c r="AH255" s="892"/>
      <c r="AI255" s="892"/>
      <c r="AJ255" s="892"/>
      <c r="AK255" s="645"/>
    </row>
    <row r="256" spans="1:37">
      <c r="A256" s="640"/>
      <c r="B256" s="511"/>
      <c r="C256" s="698"/>
      <c r="D256" s="863"/>
      <c r="E256" s="863"/>
      <c r="F256" s="863"/>
      <c r="G256" s="863"/>
      <c r="H256" s="863"/>
      <c r="I256" s="863"/>
      <c r="J256" s="863"/>
      <c r="K256" s="571"/>
      <c r="L256" s="571"/>
      <c r="M256" s="571"/>
      <c r="N256" s="571"/>
      <c r="O256" s="571"/>
      <c r="P256" s="571"/>
      <c r="Q256" s="571"/>
      <c r="R256" s="571"/>
      <c r="S256" s="571"/>
      <c r="T256" s="571"/>
      <c r="U256" s="571"/>
      <c r="V256" s="571"/>
      <c r="W256" s="571"/>
      <c r="X256" s="571"/>
      <c r="Y256" s="678"/>
      <c r="Z256" s="678"/>
      <c r="AA256" s="678"/>
      <c r="AB256" s="678"/>
      <c r="AC256" s="571"/>
      <c r="AD256" s="571"/>
      <c r="AE256" s="645"/>
      <c r="AF256" s="645"/>
      <c r="AG256" s="645"/>
      <c r="AH256" s="645"/>
      <c r="AI256" s="645"/>
      <c r="AJ256" s="645"/>
      <c r="AK256" s="645"/>
    </row>
    <row r="257" spans="1:52">
      <c r="A257" s="657"/>
      <c r="B257" s="482" t="s">
        <v>1545</v>
      </c>
      <c r="C257" s="658"/>
      <c r="D257" s="658"/>
      <c r="E257" s="658"/>
      <c r="F257" s="658"/>
      <c r="H257" s="659"/>
      <c r="I257" s="659"/>
      <c r="J257" s="659"/>
      <c r="K257" s="659"/>
      <c r="L257" s="659"/>
      <c r="M257" s="659"/>
      <c r="N257" s="659"/>
      <c r="O257" s="659"/>
      <c r="P257" s="659"/>
      <c r="Q257" s="659"/>
      <c r="R257" s="659"/>
      <c r="Y257" s="659"/>
      <c r="Z257" s="659"/>
      <c r="AA257" s="659"/>
      <c r="AB257" s="657"/>
      <c r="AC257" s="657"/>
      <c r="AD257" s="657"/>
      <c r="AE257" s="657"/>
      <c r="AG257" s="1950">
        <f>AD200*(1-AB255)</f>
        <v>5052916.9441252612</v>
      </c>
      <c r="AH257" s="1950"/>
      <c r="AI257" s="1950"/>
      <c r="AJ257" s="1950"/>
      <c r="AK257" s="1950"/>
    </row>
    <row r="258" spans="1:52">
      <c r="A258" s="657"/>
      <c r="B258" s="660" t="s">
        <v>1546</v>
      </c>
      <c r="C258" s="661"/>
      <c r="D258" s="659"/>
      <c r="E258" s="659"/>
      <c r="F258" s="661"/>
      <c r="G258" s="661"/>
      <c r="H258" s="661"/>
      <c r="I258" s="661"/>
      <c r="J258" s="661"/>
      <c r="K258" s="661"/>
      <c r="L258" s="661"/>
      <c r="M258" s="659"/>
      <c r="N258" s="661"/>
      <c r="O258" s="661"/>
      <c r="P258" s="661"/>
      <c r="Q258" s="661"/>
      <c r="R258" s="661"/>
      <c r="Y258" s="659"/>
      <c r="Z258" s="659"/>
      <c r="AA258" s="659"/>
      <c r="AB258" s="657"/>
      <c r="AC258" s="657"/>
      <c r="AD258" s="657"/>
      <c r="AE258" s="657"/>
      <c r="AG258" s="1950">
        <f>'Sources and Uses Budget'!C105</f>
        <v>67239893</v>
      </c>
      <c r="AH258" s="1950"/>
      <c r="AI258" s="1950"/>
      <c r="AJ258" s="1950"/>
      <c r="AK258" s="1950"/>
    </row>
    <row r="259" spans="1:52">
      <c r="A259" s="657"/>
      <c r="B259" s="659" t="s">
        <v>13</v>
      </c>
      <c r="C259" s="659"/>
      <c r="D259" s="659"/>
      <c r="E259" s="659"/>
      <c r="F259" s="659"/>
      <c r="G259" s="659"/>
      <c r="H259" s="659"/>
      <c r="I259" s="659"/>
      <c r="J259" s="659"/>
      <c r="K259" s="659"/>
      <c r="L259" s="659"/>
      <c r="M259" s="659"/>
      <c r="N259" s="659"/>
      <c r="O259" s="659"/>
      <c r="P259" s="659"/>
      <c r="Q259" s="659"/>
      <c r="R259" s="659"/>
      <c r="Y259" s="659"/>
      <c r="Z259" s="659"/>
      <c r="AA259" s="659"/>
      <c r="AB259" s="657"/>
      <c r="AC259" s="657"/>
      <c r="AD259" s="657"/>
      <c r="AE259" s="657"/>
      <c r="AG259" s="1951">
        <f>ROUNDDOWN(IF(AND(C281="Yes",AK78=10),((AG257*2)/AG258),AG257/AG258),2)</f>
        <v>0.15</v>
      </c>
      <c r="AH259" s="1951"/>
      <c r="AI259" s="1951"/>
      <c r="AJ259" s="1951"/>
      <c r="AK259" s="1951"/>
    </row>
    <row r="260" spans="1:52">
      <c r="A260" s="657"/>
      <c r="B260" s="1015" t="s">
        <v>2001</v>
      </c>
      <c r="C260" s="659"/>
      <c r="D260" s="659"/>
      <c r="E260" s="659"/>
      <c r="F260" s="659"/>
      <c r="G260" s="659"/>
      <c r="H260" s="659"/>
      <c r="I260" s="659"/>
      <c r="J260" s="659"/>
      <c r="K260" s="659"/>
      <c r="L260" s="659"/>
      <c r="M260" s="659"/>
      <c r="N260" s="659"/>
      <c r="O260" s="659"/>
      <c r="P260" s="659"/>
      <c r="Q260" s="659"/>
      <c r="R260" s="659"/>
      <c r="Y260" s="659"/>
      <c r="Z260" s="659"/>
      <c r="AA260" s="659"/>
      <c r="AB260" s="657"/>
      <c r="AC260" s="657"/>
      <c r="AD260" s="657"/>
      <c r="AE260" s="657"/>
      <c r="AG260" s="1014"/>
      <c r="AH260" s="1014"/>
      <c r="AI260" s="1014"/>
      <c r="AJ260" s="1014"/>
      <c r="AK260" s="1014"/>
    </row>
    <row r="261" spans="1:52">
      <c r="A261" s="662"/>
      <c r="B261" s="662"/>
      <c r="C261" s="662"/>
      <c r="D261" s="662"/>
      <c r="E261" s="662"/>
      <c r="F261" s="662"/>
      <c r="G261" s="662"/>
      <c r="H261" s="662"/>
      <c r="I261" s="662"/>
      <c r="J261" s="662"/>
      <c r="K261" s="662"/>
      <c r="L261" s="662"/>
      <c r="M261" s="662"/>
      <c r="N261" s="662"/>
      <c r="O261" s="662"/>
      <c r="P261" s="662"/>
      <c r="Q261" s="662"/>
      <c r="R261" s="662"/>
      <c r="S261" s="662"/>
      <c r="T261" s="662"/>
      <c r="U261" s="662"/>
      <c r="V261" s="662"/>
      <c r="W261" s="662"/>
      <c r="X261" s="662"/>
      <c r="Y261" s="662"/>
      <c r="Z261" s="662"/>
      <c r="AA261" s="662"/>
      <c r="AB261" s="662"/>
      <c r="AC261" s="662"/>
      <c r="AD261" s="662"/>
      <c r="AE261" s="662"/>
      <c r="AF261" s="662"/>
      <c r="AG261" s="662"/>
      <c r="AH261" s="662"/>
      <c r="AI261" s="662"/>
      <c r="AJ261" s="662"/>
    </row>
    <row r="262" spans="1:52">
      <c r="A262" s="663"/>
      <c r="B262" s="663"/>
      <c r="C262" s="663"/>
      <c r="D262" s="663"/>
      <c r="E262" s="663"/>
      <c r="F262" s="663"/>
      <c r="G262" s="663"/>
      <c r="H262" s="663"/>
      <c r="I262" s="663"/>
      <c r="J262" s="663"/>
      <c r="K262" s="663"/>
      <c r="L262" s="663"/>
      <c r="M262" s="663"/>
      <c r="N262" s="663"/>
      <c r="O262" s="663"/>
      <c r="P262" s="663"/>
      <c r="Q262" s="663"/>
      <c r="R262" s="663"/>
      <c r="S262" s="663"/>
      <c r="T262" s="663"/>
      <c r="U262" s="663"/>
      <c r="V262" s="663"/>
      <c r="W262" s="663"/>
      <c r="X262" s="663"/>
      <c r="Y262" s="663"/>
      <c r="Z262" s="663"/>
      <c r="AA262" s="663"/>
      <c r="AB262" s="663"/>
      <c r="AC262" s="663"/>
      <c r="AD262" s="663"/>
      <c r="AE262" s="663"/>
      <c r="AF262" s="663"/>
      <c r="AG262" s="663"/>
      <c r="AH262" s="664"/>
      <c r="AI262" s="600"/>
      <c r="AJ262" s="600" t="s">
        <v>1547</v>
      </c>
      <c r="AK262" s="1952">
        <f>IFERROR(IF(AG259=0,0,IF((AG259*100)&gt;8,8,(AG259*100))),0)</f>
        <v>8</v>
      </c>
      <c r="AL262" s="1952"/>
      <c r="AM262" s="1953"/>
    </row>
    <row r="263" spans="1:52" ht="13.5" thickBot="1"/>
    <row r="264" spans="1:52" s="585" customFormat="1" ht="12.75" customHeight="1" thickTop="1">
      <c r="A264" s="647"/>
      <c r="B264" s="665"/>
      <c r="C264" s="665"/>
      <c r="D264" s="665"/>
      <c r="E264" s="665"/>
      <c r="F264" s="665"/>
      <c r="G264" s="665"/>
      <c r="H264" s="665"/>
      <c r="I264" s="665"/>
      <c r="J264" s="665"/>
      <c r="K264" s="665"/>
      <c r="L264" s="665"/>
      <c r="M264" s="665"/>
      <c r="N264" s="665"/>
      <c r="O264" s="665"/>
      <c r="P264" s="665"/>
      <c r="Q264" s="665"/>
      <c r="R264" s="665"/>
      <c r="S264" s="665"/>
      <c r="T264" s="665"/>
      <c r="U264" s="665"/>
      <c r="V264" s="665"/>
      <c r="W264" s="665"/>
      <c r="X264" s="665"/>
      <c r="Y264" s="665"/>
      <c r="Z264" s="665"/>
      <c r="AA264" s="665"/>
      <c r="AB264" s="665"/>
      <c r="AC264" s="666"/>
      <c r="AD264" s="665"/>
      <c r="AE264" s="665"/>
      <c r="AF264" s="665"/>
      <c r="AG264" s="665"/>
      <c r="AH264" s="647"/>
      <c r="AI264" s="667"/>
      <c r="AJ264" s="667"/>
      <c r="AK264" s="668"/>
      <c r="AL264" s="668"/>
      <c r="AM264" s="669"/>
      <c r="AN264" s="632"/>
      <c r="AP264" s="571"/>
      <c r="AQ264" s="571"/>
      <c r="AR264" s="571"/>
      <c r="AS264" s="571"/>
      <c r="AT264" s="571"/>
      <c r="AU264" s="571"/>
      <c r="AV264" s="571"/>
      <c r="AW264" s="571"/>
      <c r="AX264" s="571"/>
      <c r="AY264" s="571"/>
      <c r="AZ264" s="571"/>
    </row>
    <row r="265" spans="1:52">
      <c r="A265" s="573" t="s">
        <v>1548</v>
      </c>
      <c r="B265" s="573" t="s">
        <v>1549</v>
      </c>
      <c r="C265" s="574"/>
      <c r="D265" s="585"/>
      <c r="E265" s="585"/>
      <c r="F265" s="585"/>
      <c r="G265" s="585"/>
      <c r="H265" s="585"/>
      <c r="I265" s="585"/>
      <c r="J265" s="585"/>
      <c r="K265" s="585"/>
      <c r="L265" s="585"/>
      <c r="M265" s="585"/>
      <c r="N265" s="585"/>
      <c r="O265" s="585"/>
      <c r="P265" s="585"/>
      <c r="Q265" s="585"/>
      <c r="R265" s="585"/>
      <c r="S265" s="585"/>
      <c r="T265" s="585"/>
      <c r="U265" s="585"/>
      <c r="V265" s="585"/>
      <c r="W265" s="585"/>
      <c r="X265" s="585"/>
      <c r="Y265" s="585"/>
      <c r="Z265" s="585"/>
      <c r="AA265" s="585"/>
      <c r="AB265" s="585"/>
      <c r="AC265" s="585"/>
      <c r="AD265" s="585"/>
      <c r="AE265" s="585"/>
      <c r="AF265" s="585"/>
      <c r="AG265" s="585"/>
      <c r="AH265" s="626" t="s">
        <v>1486</v>
      </c>
      <c r="AI265" s="585"/>
      <c r="AJ265" s="585"/>
      <c r="AK265" s="585"/>
      <c r="AL265" s="585"/>
      <c r="AM265" s="585"/>
      <c r="AO265" s="585"/>
    </row>
    <row r="266" spans="1:52" ht="14.25" customHeight="1">
      <c r="A266" s="626"/>
      <c r="AI266" s="586"/>
      <c r="AJ266" s="585"/>
      <c r="AK266" s="585"/>
      <c r="AL266" s="585"/>
      <c r="AM266" s="585"/>
      <c r="AO266" s="585"/>
    </row>
    <row r="267" spans="1:52" ht="13.7" customHeight="1">
      <c r="A267" s="585"/>
      <c r="B267" s="631"/>
      <c r="C267" s="1944" t="s">
        <v>554</v>
      </c>
      <c r="D267" s="1944"/>
      <c r="E267" s="582"/>
      <c r="F267" s="2097" t="s">
        <v>2422</v>
      </c>
      <c r="G267" s="2098"/>
      <c r="H267" s="2098"/>
      <c r="I267" s="2098"/>
      <c r="J267" s="2098"/>
      <c r="K267" s="2098"/>
      <c r="L267" s="2098"/>
      <c r="M267" s="2098"/>
      <c r="N267" s="2098"/>
      <c r="O267" s="2098"/>
      <c r="P267" s="2098"/>
      <c r="Q267" s="2098"/>
      <c r="R267" s="2098"/>
      <c r="S267" s="2098"/>
      <c r="T267" s="2098"/>
      <c r="U267" s="2098"/>
      <c r="V267" s="2098"/>
      <c r="W267" s="2098"/>
      <c r="X267" s="2098"/>
      <c r="Y267" s="2098"/>
      <c r="Z267" s="2098"/>
      <c r="AA267" s="2098"/>
      <c r="AB267" s="2098"/>
      <c r="AC267" s="2098"/>
      <c r="AD267" s="2099"/>
      <c r="AE267" s="585"/>
      <c r="AF267" s="670"/>
      <c r="AG267" s="1945" t="s">
        <v>1535</v>
      </c>
      <c r="AH267" s="1945"/>
      <c r="AI267" s="1945"/>
      <c r="AJ267" s="1945"/>
      <c r="AK267" s="585"/>
      <c r="AL267" s="585"/>
      <c r="AM267" s="585"/>
      <c r="AO267" s="585"/>
    </row>
    <row r="268" spans="1:52" ht="13.7" customHeight="1">
      <c r="A268" s="585"/>
      <c r="B268" s="631"/>
      <c r="C268" s="671"/>
      <c r="D268" s="585"/>
      <c r="E268" s="582"/>
      <c r="F268" s="2100"/>
      <c r="G268" s="2101"/>
      <c r="H268" s="2101"/>
      <c r="I268" s="2101"/>
      <c r="J268" s="2101"/>
      <c r="K268" s="2101"/>
      <c r="L268" s="2101"/>
      <c r="M268" s="2101"/>
      <c r="N268" s="2101"/>
      <c r="O268" s="2101"/>
      <c r="P268" s="2101"/>
      <c r="Q268" s="2101"/>
      <c r="R268" s="2101"/>
      <c r="S268" s="2101"/>
      <c r="T268" s="2101"/>
      <c r="U268" s="2101"/>
      <c r="V268" s="2101"/>
      <c r="W268" s="2101"/>
      <c r="X268" s="2101"/>
      <c r="Y268" s="2101"/>
      <c r="Z268" s="2101"/>
      <c r="AA268" s="2101"/>
      <c r="AB268" s="2101"/>
      <c r="AC268" s="2101"/>
      <c r="AD268" s="2102"/>
      <c r="AE268" s="585"/>
      <c r="AF268" s="670"/>
      <c r="AG268" s="670"/>
      <c r="AH268" s="670"/>
      <c r="AI268" s="670"/>
      <c r="AJ268" s="585"/>
      <c r="AK268" s="585"/>
      <c r="AL268" s="585"/>
      <c r="AM268" s="585"/>
      <c r="AO268" s="585"/>
    </row>
    <row r="269" spans="1:52">
      <c r="A269" s="585"/>
      <c r="B269" s="631"/>
      <c r="C269" s="671"/>
      <c r="D269" s="585"/>
      <c r="E269" s="582"/>
      <c r="F269" s="2100"/>
      <c r="G269" s="2101"/>
      <c r="H269" s="2101"/>
      <c r="I269" s="2101"/>
      <c r="J269" s="2101"/>
      <c r="K269" s="2101"/>
      <c r="L269" s="2101"/>
      <c r="M269" s="2101"/>
      <c r="N269" s="2101"/>
      <c r="O269" s="2101"/>
      <c r="P269" s="2101"/>
      <c r="Q269" s="2101"/>
      <c r="R269" s="2101"/>
      <c r="S269" s="2101"/>
      <c r="T269" s="2101"/>
      <c r="U269" s="2101"/>
      <c r="V269" s="2101"/>
      <c r="W269" s="2101"/>
      <c r="X269" s="2101"/>
      <c r="Y269" s="2101"/>
      <c r="Z269" s="2101"/>
      <c r="AA269" s="2101"/>
      <c r="AB269" s="2101"/>
      <c r="AC269" s="2101"/>
      <c r="AD269" s="2102"/>
      <c r="AE269" s="585"/>
      <c r="AF269" s="670"/>
      <c r="AG269" s="670"/>
      <c r="AH269" s="670"/>
      <c r="AI269" s="670"/>
      <c r="AJ269" s="585"/>
      <c r="AK269" s="585"/>
      <c r="AL269" s="585"/>
      <c r="AM269" s="585"/>
      <c r="AO269" s="585"/>
      <c r="AP269" s="672"/>
    </row>
    <row r="270" spans="1:52">
      <c r="A270" s="585"/>
      <c r="B270" s="631"/>
      <c r="C270" s="671"/>
      <c r="D270" s="585"/>
      <c r="E270" s="582"/>
      <c r="F270" s="2100"/>
      <c r="G270" s="2101"/>
      <c r="H270" s="2101"/>
      <c r="I270" s="2101"/>
      <c r="J270" s="2101"/>
      <c r="K270" s="2101"/>
      <c r="L270" s="2101"/>
      <c r="M270" s="2101"/>
      <c r="N270" s="2101"/>
      <c r="O270" s="2101"/>
      <c r="P270" s="2101"/>
      <c r="Q270" s="2101"/>
      <c r="R270" s="2101"/>
      <c r="S270" s="2101"/>
      <c r="T270" s="2101"/>
      <c r="U270" s="2101"/>
      <c r="V270" s="2101"/>
      <c r="W270" s="2101"/>
      <c r="X270" s="2101"/>
      <c r="Y270" s="2101"/>
      <c r="Z270" s="2101"/>
      <c r="AA270" s="2101"/>
      <c r="AB270" s="2101"/>
      <c r="AC270" s="2101"/>
      <c r="AD270" s="2102"/>
      <c r="AE270" s="585"/>
      <c r="AF270" s="670"/>
      <c r="AG270" s="670"/>
      <c r="AH270" s="670"/>
      <c r="AI270" s="670"/>
      <c r="AJ270" s="585"/>
      <c r="AK270" s="585"/>
      <c r="AL270" s="585"/>
      <c r="AM270" s="585"/>
      <c r="AO270" s="585"/>
      <c r="AP270" s="672"/>
    </row>
    <row r="271" spans="1:52" ht="13.7" customHeight="1">
      <c r="A271" s="585"/>
      <c r="B271" s="631"/>
      <c r="C271" s="1946"/>
      <c r="D271" s="1946"/>
      <c r="E271" s="582"/>
      <c r="F271" s="2103"/>
      <c r="G271" s="2104"/>
      <c r="H271" s="2104"/>
      <c r="I271" s="2104"/>
      <c r="J271" s="2104"/>
      <c r="K271" s="2104"/>
      <c r="L271" s="2104"/>
      <c r="M271" s="2104"/>
      <c r="N271" s="2104"/>
      <c r="O271" s="2104"/>
      <c r="P271" s="2104"/>
      <c r="Q271" s="2104"/>
      <c r="R271" s="2104"/>
      <c r="S271" s="2104"/>
      <c r="T271" s="2104"/>
      <c r="U271" s="2104"/>
      <c r="V271" s="2104"/>
      <c r="W271" s="2104"/>
      <c r="X271" s="2104"/>
      <c r="Y271" s="2104"/>
      <c r="Z271" s="2104"/>
      <c r="AA271" s="2104"/>
      <c r="AB271" s="2104"/>
      <c r="AC271" s="2104"/>
      <c r="AD271" s="2105"/>
      <c r="AE271" s="585"/>
      <c r="AF271" s="670"/>
      <c r="AG271" s="1945"/>
      <c r="AH271" s="1945"/>
      <c r="AI271" s="1945"/>
      <c r="AJ271" s="1945"/>
      <c r="AK271" s="585"/>
      <c r="AL271" s="585"/>
      <c r="AM271" s="585"/>
    </row>
    <row r="272" spans="1:52" ht="13.7" hidden="1" customHeight="1">
      <c r="A272" s="585"/>
      <c r="C272" s="638"/>
      <c r="D272" s="638"/>
      <c r="E272" s="638"/>
      <c r="F272" s="1060"/>
      <c r="G272" s="1061"/>
      <c r="H272" s="1061"/>
      <c r="I272" s="1061"/>
      <c r="J272" s="1061"/>
      <c r="K272" s="1061"/>
      <c r="L272" s="1061"/>
      <c r="M272" s="1061"/>
      <c r="N272" s="1061"/>
      <c r="O272" s="1061"/>
      <c r="P272" s="1061"/>
      <c r="Q272" s="1061"/>
      <c r="R272" s="1061"/>
      <c r="S272" s="1061"/>
      <c r="T272" s="1061"/>
      <c r="U272" s="1061"/>
      <c r="V272" s="1061"/>
      <c r="W272" s="1061"/>
      <c r="X272" s="1061"/>
      <c r="Y272" s="1061"/>
      <c r="Z272" s="1061"/>
      <c r="AA272" s="1061"/>
      <c r="AB272" s="1061"/>
      <c r="AC272" s="1061"/>
      <c r="AD272" s="1062"/>
      <c r="AE272" s="638"/>
      <c r="AF272" s="638"/>
      <c r="AG272" s="638"/>
      <c r="AH272" s="638"/>
      <c r="AI272" s="670"/>
      <c r="AJ272" s="585"/>
      <c r="AK272" s="585"/>
      <c r="AL272" s="585"/>
      <c r="AM272" s="585"/>
    </row>
    <row r="273" spans="1:49">
      <c r="A273" s="585"/>
      <c r="B273" s="638"/>
      <c r="C273" s="638"/>
      <c r="D273" s="638"/>
      <c r="E273" s="638"/>
      <c r="F273" s="638"/>
      <c r="G273" s="638"/>
      <c r="H273" s="638"/>
      <c r="I273" s="638"/>
      <c r="J273" s="638"/>
      <c r="K273" s="638"/>
      <c r="L273" s="638"/>
      <c r="M273" s="638"/>
      <c r="N273" s="638"/>
      <c r="O273" s="638"/>
      <c r="P273" s="638"/>
      <c r="Q273" s="638"/>
      <c r="R273" s="638"/>
      <c r="S273" s="638"/>
      <c r="T273" s="638"/>
      <c r="U273" s="638"/>
      <c r="V273" s="638"/>
      <c r="W273" s="638"/>
      <c r="X273" s="638"/>
      <c r="Y273" s="638"/>
      <c r="Z273" s="638"/>
      <c r="AA273" s="638"/>
      <c r="AB273" s="638"/>
      <c r="AC273" s="638"/>
      <c r="AD273" s="638"/>
      <c r="AE273" s="638"/>
      <c r="AF273" s="638"/>
      <c r="AG273" s="638"/>
      <c r="AH273" s="638"/>
      <c r="AI273" s="638"/>
      <c r="AJ273" s="638"/>
      <c r="AK273" s="638"/>
      <c r="AL273" s="585"/>
      <c r="AM273" s="585"/>
      <c r="AN273" s="73"/>
    </row>
    <row r="274" spans="1:49">
      <c r="A274" s="641"/>
      <c r="B274" s="599"/>
      <c r="C274" s="599"/>
      <c r="D274" s="599"/>
      <c r="E274" s="599"/>
      <c r="F274" s="599"/>
      <c r="G274" s="599"/>
      <c r="H274" s="599"/>
      <c r="I274" s="599"/>
      <c r="J274" s="599"/>
      <c r="K274" s="599"/>
      <c r="L274" s="599"/>
      <c r="M274" s="599"/>
      <c r="N274" s="599"/>
      <c r="O274" s="599"/>
      <c r="P274" s="599"/>
      <c r="Q274" s="599"/>
      <c r="R274" s="599"/>
      <c r="S274" s="599"/>
      <c r="T274" s="599"/>
      <c r="U274" s="599"/>
      <c r="V274" s="599"/>
      <c r="W274" s="599"/>
      <c r="X274" s="599"/>
      <c r="Y274" s="599"/>
      <c r="Z274" s="599"/>
      <c r="AA274" s="599"/>
      <c r="AB274" s="599"/>
      <c r="AC274" s="599"/>
      <c r="AD274" s="599"/>
      <c r="AE274" s="599"/>
      <c r="AF274" s="599"/>
      <c r="AG274" s="599"/>
      <c r="AH274" s="599"/>
      <c r="AI274" s="600"/>
      <c r="AJ274" s="600" t="s">
        <v>1551</v>
      </c>
      <c r="AK274" s="1952">
        <f>IF($C$267="yes",10,0)</f>
        <v>10</v>
      </c>
      <c r="AL274" s="1952"/>
      <c r="AM274" s="1953"/>
      <c r="AN274" s="73"/>
    </row>
    <row r="275" spans="1:49" ht="13.5" thickBot="1"/>
    <row r="276" spans="1:49" ht="13.5" thickTop="1">
      <c r="A276" s="673"/>
      <c r="B276" s="673"/>
      <c r="C276" s="673"/>
      <c r="D276" s="673"/>
      <c r="E276" s="673"/>
      <c r="F276" s="673"/>
      <c r="G276" s="673"/>
      <c r="H276" s="673"/>
      <c r="I276" s="673"/>
      <c r="J276" s="673"/>
      <c r="K276" s="673"/>
      <c r="L276" s="673"/>
      <c r="M276" s="673"/>
      <c r="N276" s="673"/>
      <c r="O276" s="673"/>
      <c r="P276" s="673"/>
      <c r="Q276" s="673"/>
      <c r="R276" s="673"/>
      <c r="S276" s="673"/>
      <c r="T276" s="673"/>
      <c r="U276" s="673"/>
      <c r="V276" s="673"/>
      <c r="W276" s="673"/>
      <c r="X276" s="673"/>
      <c r="Y276" s="673"/>
      <c r="Z276" s="673"/>
      <c r="AA276" s="673"/>
      <c r="AB276" s="673"/>
      <c r="AC276" s="673"/>
      <c r="AD276" s="673"/>
      <c r="AE276" s="673"/>
      <c r="AF276" s="673"/>
      <c r="AG276" s="673"/>
      <c r="AH276" s="673"/>
      <c r="AI276" s="673"/>
      <c r="AJ276" s="673"/>
      <c r="AK276" s="673"/>
      <c r="AL276" s="673"/>
      <c r="AM276" s="674"/>
    </row>
    <row r="277" spans="1:49">
      <c r="A277" s="573" t="s">
        <v>1552</v>
      </c>
      <c r="B277" s="573" t="s">
        <v>2116</v>
      </c>
      <c r="AH277" s="626" t="s">
        <v>1486</v>
      </c>
    </row>
    <row r="278" spans="1:49" ht="15" customHeight="1">
      <c r="B278" s="574"/>
    </row>
    <row r="279" spans="1:49" ht="15" customHeight="1">
      <c r="B279" s="574" t="s">
        <v>1988</v>
      </c>
    </row>
    <row r="280" spans="1:49">
      <c r="B280" s="585"/>
      <c r="C280" s="675"/>
      <c r="D280" s="585"/>
      <c r="E280" s="585"/>
      <c r="F280" s="585"/>
      <c r="G280" s="585"/>
      <c r="H280" s="585"/>
      <c r="I280" s="585"/>
      <c r="J280" s="585"/>
      <c r="K280" s="585"/>
      <c r="L280" s="585"/>
      <c r="M280" s="585"/>
      <c r="N280" s="585"/>
      <c r="O280" s="585"/>
      <c r="P280" s="585"/>
      <c r="Q280" s="585"/>
      <c r="R280" s="585"/>
      <c r="S280" s="585"/>
      <c r="T280" s="585"/>
      <c r="U280" s="585"/>
      <c r="V280" s="585"/>
      <c r="W280" s="585"/>
      <c r="X280" s="585"/>
      <c r="Y280" s="585"/>
      <c r="Z280" s="585"/>
      <c r="AA280" s="585"/>
      <c r="AB280" s="585"/>
      <c r="AC280" s="585"/>
      <c r="AD280" s="585"/>
      <c r="AG280" s="585"/>
      <c r="AI280" s="585"/>
      <c r="AJ280" s="585"/>
      <c r="AK280" s="585"/>
      <c r="AL280" s="585"/>
      <c r="AM280" s="585"/>
      <c r="AN280" s="73"/>
      <c r="AO280" s="14"/>
      <c r="AP280" s="605"/>
      <c r="AQ280" s="676"/>
      <c r="AR280" s="605"/>
      <c r="AS280" s="605"/>
      <c r="AT280" s="605"/>
      <c r="AU280" s="605"/>
      <c r="AV280" s="32"/>
      <c r="AW280" s="32"/>
    </row>
    <row r="281" spans="1:49" ht="12.75" customHeight="1">
      <c r="A281" s="1646" t="s">
        <v>1554</v>
      </c>
      <c r="B281" s="1646"/>
      <c r="C281" s="1941" t="s">
        <v>554</v>
      </c>
      <c r="D281" s="1944"/>
      <c r="E281" s="582"/>
      <c r="F281" s="1972" t="s">
        <v>1555</v>
      </c>
      <c r="G281" s="1973"/>
      <c r="H281" s="1973"/>
      <c r="I281" s="1973"/>
      <c r="J281" s="1973"/>
      <c r="K281" s="1973"/>
      <c r="L281" s="1973"/>
      <c r="M281" s="1973"/>
      <c r="N281" s="1973"/>
      <c r="O281" s="1973"/>
      <c r="P281" s="1973"/>
      <c r="Q281" s="1973"/>
      <c r="R281" s="1973"/>
      <c r="S281" s="1973"/>
      <c r="T281" s="1973"/>
      <c r="U281" s="1973"/>
      <c r="V281" s="1973"/>
      <c r="W281" s="1973"/>
      <c r="X281" s="1973"/>
      <c r="Y281" s="1973"/>
      <c r="Z281" s="1973"/>
      <c r="AA281" s="1973"/>
      <c r="AB281" s="1973"/>
      <c r="AC281" s="1973"/>
      <c r="AD281" s="1974"/>
      <c r="AE281" s="677"/>
      <c r="AF281" s="585"/>
      <c r="AG281" s="1975" t="s">
        <v>2415</v>
      </c>
      <c r="AH281" s="1975"/>
      <c r="AI281" s="1975"/>
      <c r="AJ281" s="1975"/>
      <c r="AK281" s="1975"/>
      <c r="AL281" s="585"/>
      <c r="AM281" s="585"/>
      <c r="AN281" s="73"/>
      <c r="AO281" s="14"/>
      <c r="AP281" s="30"/>
      <c r="AS281" s="605"/>
      <c r="AT281" s="605"/>
      <c r="AU281" s="605"/>
      <c r="AV281" s="32"/>
      <c r="AW281" s="32"/>
    </row>
    <row r="282" spans="1:49">
      <c r="A282" s="675"/>
      <c r="B282" s="631"/>
      <c r="F282" s="1966"/>
      <c r="G282" s="1967"/>
      <c r="H282" s="1967"/>
      <c r="I282" s="1967"/>
      <c r="J282" s="1967"/>
      <c r="K282" s="1967"/>
      <c r="L282" s="1967"/>
      <c r="M282" s="1967"/>
      <c r="N282" s="1967"/>
      <c r="O282" s="1967"/>
      <c r="P282" s="1967"/>
      <c r="Q282" s="1967"/>
      <c r="R282" s="1967"/>
      <c r="S282" s="1967"/>
      <c r="T282" s="1967"/>
      <c r="U282" s="1967"/>
      <c r="V282" s="1967"/>
      <c r="W282" s="1967"/>
      <c r="X282" s="1967"/>
      <c r="Y282" s="1967"/>
      <c r="Z282" s="1967"/>
      <c r="AA282" s="1967"/>
      <c r="AB282" s="1967"/>
      <c r="AC282" s="1967"/>
      <c r="AD282" s="1968"/>
      <c r="AE282" s="677"/>
      <c r="AF282" s="586"/>
      <c r="AH282" s="586"/>
      <c r="AI282" s="586"/>
      <c r="AJ282" s="585"/>
      <c r="AK282" s="585"/>
      <c r="AL282" s="585"/>
      <c r="AM282" s="585"/>
      <c r="AN282" s="73"/>
      <c r="AO282" s="14"/>
      <c r="AP282" s="585">
        <f>IF($C$281="yes",10,IF(C281="50% Met",9,0))</f>
        <v>10</v>
      </c>
      <c r="AS282" s="605"/>
      <c r="AT282" s="605"/>
      <c r="AU282" s="605"/>
      <c r="AV282" s="32"/>
      <c r="AW282" s="32"/>
    </row>
    <row r="283" spans="1:49" ht="15" customHeight="1">
      <c r="A283" s="675"/>
      <c r="B283" s="631"/>
      <c r="F283" s="1966"/>
      <c r="G283" s="1967"/>
      <c r="H283" s="1967"/>
      <c r="I283" s="1967"/>
      <c r="J283" s="1967"/>
      <c r="K283" s="1967"/>
      <c r="L283" s="1967"/>
      <c r="M283" s="1967"/>
      <c r="N283" s="1967"/>
      <c r="O283" s="1967"/>
      <c r="P283" s="1967"/>
      <c r="Q283" s="1967"/>
      <c r="R283" s="1967"/>
      <c r="S283" s="1967"/>
      <c r="T283" s="1967"/>
      <c r="U283" s="1967"/>
      <c r="V283" s="1967"/>
      <c r="W283" s="1967"/>
      <c r="X283" s="1967"/>
      <c r="Y283" s="1967"/>
      <c r="Z283" s="1967"/>
      <c r="AA283" s="1967"/>
      <c r="AB283" s="1967"/>
      <c r="AC283" s="1967"/>
      <c r="AD283" s="1968"/>
      <c r="AE283" s="677"/>
      <c r="AF283" s="586"/>
      <c r="AH283" s="586"/>
      <c r="AI283" s="586"/>
      <c r="AJ283" s="585"/>
      <c r="AK283" s="585"/>
      <c r="AL283" s="585"/>
      <c r="AM283" s="585"/>
      <c r="AN283" s="73"/>
      <c r="AO283" s="14"/>
      <c r="AP283" s="585">
        <f>IF($C$291="yes",9,0)</f>
        <v>0</v>
      </c>
      <c r="AS283" s="605"/>
      <c r="AT283" s="605"/>
      <c r="AU283" s="605"/>
      <c r="AV283" s="32"/>
      <c r="AW283" s="32"/>
    </row>
    <row r="284" spans="1:49" ht="12.75" customHeight="1">
      <c r="A284" s="675"/>
      <c r="B284" s="631"/>
      <c r="F284" s="1966" t="s">
        <v>2423</v>
      </c>
      <c r="G284" s="1967"/>
      <c r="H284" s="1967"/>
      <c r="I284" s="1967"/>
      <c r="J284" s="1967"/>
      <c r="K284" s="1967"/>
      <c r="L284" s="1967"/>
      <c r="M284" s="1967"/>
      <c r="N284" s="1967"/>
      <c r="O284" s="1967"/>
      <c r="P284" s="1967"/>
      <c r="Q284" s="1967"/>
      <c r="R284" s="1967"/>
      <c r="S284" s="1967"/>
      <c r="T284" s="1967"/>
      <c r="U284" s="1967"/>
      <c r="V284" s="1967"/>
      <c r="W284" s="1967"/>
      <c r="X284" s="1967"/>
      <c r="Y284" s="1967"/>
      <c r="Z284" s="1967"/>
      <c r="AA284" s="1967"/>
      <c r="AB284" s="1967"/>
      <c r="AC284" s="1967"/>
      <c r="AD284" s="1968"/>
      <c r="AE284" s="677"/>
      <c r="AF284" s="586"/>
      <c r="AH284" s="586"/>
      <c r="AI284" s="586"/>
      <c r="AJ284" s="585"/>
      <c r="AK284" s="585"/>
      <c r="AL284" s="585"/>
      <c r="AM284" s="585"/>
      <c r="AN284" s="73"/>
      <c r="AO284" s="14"/>
      <c r="AP284" s="646">
        <f>MAX(AP282,AP283)</f>
        <v>10</v>
      </c>
      <c r="AQ284" s="609" t="s">
        <v>1488</v>
      </c>
      <c r="AS284" s="605"/>
      <c r="AT284" s="605"/>
      <c r="AU284" s="605"/>
      <c r="AV284" s="32"/>
      <c r="AW284" s="32"/>
    </row>
    <row r="285" spans="1:49">
      <c r="A285" s="675"/>
      <c r="B285" s="631"/>
      <c r="F285" s="1966"/>
      <c r="G285" s="1967"/>
      <c r="H285" s="1967"/>
      <c r="I285" s="1967"/>
      <c r="J285" s="1967"/>
      <c r="K285" s="1967"/>
      <c r="L285" s="1967"/>
      <c r="M285" s="1967"/>
      <c r="N285" s="1967"/>
      <c r="O285" s="1967"/>
      <c r="P285" s="1967"/>
      <c r="Q285" s="1967"/>
      <c r="R285" s="1967"/>
      <c r="S285" s="1967"/>
      <c r="T285" s="1967"/>
      <c r="U285" s="1967"/>
      <c r="V285" s="1967"/>
      <c r="W285" s="1967"/>
      <c r="X285" s="1967"/>
      <c r="Y285" s="1967"/>
      <c r="Z285" s="1967"/>
      <c r="AA285" s="1967"/>
      <c r="AB285" s="1967"/>
      <c r="AC285" s="1967"/>
      <c r="AD285" s="1968"/>
      <c r="AE285" s="677"/>
      <c r="AF285" s="586"/>
      <c r="AH285" s="586"/>
      <c r="AI285" s="586"/>
      <c r="AJ285" s="585"/>
      <c r="AK285" s="585"/>
      <c r="AL285" s="585"/>
      <c r="AM285" s="585"/>
      <c r="AN285" s="73"/>
      <c r="AO285" s="14"/>
      <c r="AP285" s="585"/>
      <c r="AS285" s="605"/>
      <c r="AT285" s="605"/>
      <c r="AU285" s="605"/>
      <c r="AV285" s="32"/>
      <c r="AW285" s="32"/>
    </row>
    <row r="286" spans="1:49" ht="12.75" customHeight="1">
      <c r="A286" s="585"/>
      <c r="B286" s="586"/>
      <c r="C286" s="585"/>
      <c r="D286" s="586"/>
      <c r="E286" s="585"/>
      <c r="F286" s="1966" t="s">
        <v>1556</v>
      </c>
      <c r="G286" s="1967"/>
      <c r="H286" s="1967"/>
      <c r="I286" s="1967"/>
      <c r="J286" s="1967"/>
      <c r="K286" s="1967"/>
      <c r="L286" s="1967"/>
      <c r="M286" s="1967"/>
      <c r="N286" s="1967"/>
      <c r="O286" s="1967"/>
      <c r="P286" s="1967"/>
      <c r="Q286" s="1967"/>
      <c r="R286" s="1967"/>
      <c r="S286" s="1967"/>
      <c r="T286" s="1967"/>
      <c r="U286" s="1967"/>
      <c r="V286" s="1967"/>
      <c r="W286" s="1967"/>
      <c r="X286" s="1967"/>
      <c r="Y286" s="1967"/>
      <c r="Z286" s="1967"/>
      <c r="AA286" s="1967"/>
      <c r="AB286" s="1967"/>
      <c r="AC286" s="1967"/>
      <c r="AD286" s="1968"/>
      <c r="AE286" s="677"/>
      <c r="AF286" s="586"/>
      <c r="AG286" s="586"/>
      <c r="AH286" s="586"/>
      <c r="AI286" s="586"/>
      <c r="AJ286" s="585"/>
      <c r="AK286" s="585"/>
      <c r="AL286" s="585"/>
      <c r="AM286" s="585"/>
      <c r="AN286" s="73"/>
      <c r="AO286" s="14"/>
      <c r="AS286" s="605"/>
      <c r="AT286" s="605"/>
      <c r="AU286" s="605"/>
      <c r="AV286" s="32"/>
      <c r="AW286" s="32"/>
    </row>
    <row r="287" spans="1:49" ht="15" customHeight="1">
      <c r="A287" s="585"/>
      <c r="B287" s="586"/>
      <c r="C287" s="586"/>
      <c r="D287" s="586"/>
      <c r="E287" s="586"/>
      <c r="F287" s="1966"/>
      <c r="G287" s="1967"/>
      <c r="H287" s="1967"/>
      <c r="I287" s="1967"/>
      <c r="J287" s="1967"/>
      <c r="K287" s="1967"/>
      <c r="L287" s="1967"/>
      <c r="M287" s="1967"/>
      <c r="N287" s="1967"/>
      <c r="O287" s="1967"/>
      <c r="P287" s="1967"/>
      <c r="Q287" s="1967"/>
      <c r="R287" s="1967"/>
      <c r="S287" s="1967"/>
      <c r="T287" s="1967"/>
      <c r="U287" s="1967"/>
      <c r="V287" s="1967"/>
      <c r="W287" s="1967"/>
      <c r="X287" s="1967"/>
      <c r="Y287" s="1967"/>
      <c r="Z287" s="1967"/>
      <c r="AA287" s="1967"/>
      <c r="AB287" s="1967"/>
      <c r="AC287" s="1967"/>
      <c r="AD287" s="1968"/>
      <c r="AE287" s="677"/>
      <c r="AF287" s="586"/>
      <c r="AG287" s="586"/>
      <c r="AH287" s="586"/>
      <c r="AI287" s="586"/>
      <c r="AJ287" s="585"/>
      <c r="AK287" s="585"/>
      <c r="AL287" s="585"/>
      <c r="AM287" s="585"/>
      <c r="AN287" s="73"/>
      <c r="AO287" s="14"/>
      <c r="AS287" s="605"/>
      <c r="AT287" s="605"/>
      <c r="AU287" s="605"/>
      <c r="AV287" s="32"/>
      <c r="AW287" s="32"/>
    </row>
    <row r="288" spans="1:49" ht="12.75" customHeight="1">
      <c r="A288" s="585"/>
      <c r="B288" s="586"/>
      <c r="C288" s="586"/>
      <c r="D288" s="586"/>
      <c r="E288" s="586"/>
      <c r="F288" s="1966" t="s">
        <v>1557</v>
      </c>
      <c r="G288" s="1967"/>
      <c r="H288" s="1967"/>
      <c r="I288" s="1967"/>
      <c r="J288" s="1967"/>
      <c r="K288" s="1967"/>
      <c r="L288" s="1967"/>
      <c r="M288" s="1967"/>
      <c r="N288" s="1967"/>
      <c r="O288" s="1967"/>
      <c r="P288" s="1967"/>
      <c r="Q288" s="1967"/>
      <c r="R288" s="1967"/>
      <c r="S288" s="1967"/>
      <c r="T288" s="1967"/>
      <c r="U288" s="1967"/>
      <c r="V288" s="1967"/>
      <c r="W288" s="1967"/>
      <c r="X288" s="1967"/>
      <c r="Y288" s="1967"/>
      <c r="Z288" s="1967"/>
      <c r="AA288" s="1967"/>
      <c r="AB288" s="1967"/>
      <c r="AC288" s="1967"/>
      <c r="AD288" s="1968"/>
      <c r="AE288" s="678"/>
      <c r="AF288" s="586"/>
      <c r="AG288" s="586"/>
      <c r="AH288" s="586"/>
      <c r="AI288" s="586"/>
      <c r="AJ288" s="585"/>
      <c r="AK288" s="585"/>
      <c r="AL288" s="585"/>
      <c r="AM288" s="585"/>
      <c r="AN288" s="73"/>
      <c r="AO288" s="14"/>
      <c r="AP288" s="585"/>
      <c r="AS288" s="605"/>
      <c r="AT288" s="605"/>
      <c r="AU288" s="605"/>
      <c r="AV288" s="32"/>
      <c r="AW288" s="32"/>
    </row>
    <row r="289" spans="1:49">
      <c r="A289" s="585"/>
      <c r="B289" s="586"/>
      <c r="C289" s="586"/>
      <c r="D289" s="586"/>
      <c r="E289" s="586"/>
      <c r="F289" s="1969"/>
      <c r="G289" s="1970"/>
      <c r="H289" s="1970"/>
      <c r="I289" s="1970"/>
      <c r="J289" s="1970"/>
      <c r="K289" s="1970"/>
      <c r="L289" s="1970"/>
      <c r="M289" s="1970"/>
      <c r="N289" s="1970"/>
      <c r="O289" s="1970"/>
      <c r="P289" s="1970"/>
      <c r="Q289" s="1970"/>
      <c r="R289" s="1970"/>
      <c r="S289" s="1970"/>
      <c r="T289" s="1970"/>
      <c r="U289" s="1970"/>
      <c r="V289" s="1970"/>
      <c r="W289" s="1970"/>
      <c r="X289" s="1970"/>
      <c r="Y289" s="1970"/>
      <c r="Z289" s="1970"/>
      <c r="AA289" s="1970"/>
      <c r="AB289" s="1970"/>
      <c r="AC289" s="1970"/>
      <c r="AD289" s="1971"/>
      <c r="AE289" s="678"/>
      <c r="AF289" s="586"/>
      <c r="AG289" s="586"/>
      <c r="AH289" s="586"/>
      <c r="AI289" s="586"/>
      <c r="AJ289" s="585"/>
      <c r="AK289" s="585"/>
      <c r="AL289" s="585"/>
      <c r="AM289" s="585"/>
      <c r="AN289" s="73"/>
      <c r="AO289" s="14"/>
      <c r="AP289" s="585"/>
      <c r="AS289" s="605"/>
      <c r="AT289" s="605"/>
      <c r="AU289" s="605"/>
      <c r="AV289" s="32"/>
      <c r="AW289" s="32"/>
    </row>
    <row r="290" spans="1:49">
      <c r="A290" s="585"/>
      <c r="B290" s="586"/>
      <c r="C290" s="586"/>
      <c r="D290" s="586"/>
      <c r="E290" s="586"/>
      <c r="F290" s="678"/>
      <c r="G290" s="678"/>
      <c r="H290" s="678"/>
      <c r="I290" s="678"/>
      <c r="J290" s="678"/>
      <c r="K290" s="678"/>
      <c r="L290" s="678"/>
      <c r="M290" s="678"/>
      <c r="N290" s="678"/>
      <c r="O290" s="678"/>
      <c r="P290" s="678"/>
      <c r="Q290" s="678"/>
      <c r="R290" s="678"/>
      <c r="S290" s="678"/>
      <c r="T290" s="678"/>
      <c r="U290" s="678"/>
      <c r="V290" s="678"/>
      <c r="W290" s="678"/>
      <c r="X290" s="678"/>
      <c r="Y290" s="678"/>
      <c r="Z290" s="678"/>
      <c r="AA290" s="678"/>
      <c r="AB290" s="678"/>
      <c r="AC290" s="678"/>
      <c r="AD290" s="678"/>
      <c r="AE290" s="586"/>
      <c r="AF290" s="586"/>
      <c r="AG290" s="586"/>
      <c r="AH290" s="586"/>
      <c r="AI290" s="586"/>
      <c r="AJ290" s="585"/>
      <c r="AK290" s="585"/>
      <c r="AL290" s="585"/>
      <c r="AM290" s="585"/>
      <c r="AN290" s="73"/>
      <c r="AO290" s="14"/>
      <c r="AS290" s="605"/>
      <c r="AT290" s="605"/>
      <c r="AU290" s="605"/>
      <c r="AV290" s="32"/>
      <c r="AW290" s="32"/>
    </row>
    <row r="291" spans="1:49" ht="15" customHeight="1">
      <c r="A291" s="1646" t="s">
        <v>1558</v>
      </c>
      <c r="B291" s="1646"/>
      <c r="C291" s="1944" t="s">
        <v>600</v>
      </c>
      <c r="D291" s="1944"/>
      <c r="E291" s="582"/>
      <c r="F291" s="679" t="s">
        <v>2416</v>
      </c>
      <c r="G291" s="680"/>
      <c r="H291" s="680"/>
      <c r="I291" s="680"/>
      <c r="J291" s="680"/>
      <c r="K291" s="680"/>
      <c r="L291" s="680"/>
      <c r="M291" s="680"/>
      <c r="N291" s="680"/>
      <c r="O291" s="680"/>
      <c r="P291" s="680"/>
      <c r="Q291" s="680"/>
      <c r="R291" s="680"/>
      <c r="S291" s="680"/>
      <c r="T291" s="680"/>
      <c r="U291" s="680"/>
      <c r="V291" s="680"/>
      <c r="W291" s="680"/>
      <c r="X291" s="680"/>
      <c r="Y291" s="680"/>
      <c r="Z291" s="680"/>
      <c r="AA291" s="680"/>
      <c r="AB291" s="680"/>
      <c r="AC291" s="680"/>
      <c r="AD291" s="681"/>
      <c r="AE291" s="586"/>
      <c r="AF291" s="586"/>
      <c r="AG291" s="574" t="s">
        <v>1560</v>
      </c>
      <c r="AH291" s="586"/>
      <c r="AI291" s="586"/>
      <c r="AJ291" s="585"/>
      <c r="AK291" s="585"/>
      <c r="AL291" s="585"/>
      <c r="AM291" s="585"/>
      <c r="AN291" s="682"/>
      <c r="AO291" s="14"/>
    </row>
    <row r="292" spans="1:49">
      <c r="A292" s="585"/>
      <c r="B292" s="586"/>
      <c r="C292" s="585"/>
      <c r="D292" s="586"/>
      <c r="E292" s="585"/>
      <c r="F292" s="1879" t="s">
        <v>2417</v>
      </c>
      <c r="G292" s="1880"/>
      <c r="H292" s="1880"/>
      <c r="I292" s="1880"/>
      <c r="J292" s="1880"/>
      <c r="K292" s="1880"/>
      <c r="L292" s="1880"/>
      <c r="M292" s="1880"/>
      <c r="N292" s="1880"/>
      <c r="O292" s="1880"/>
      <c r="P292" s="1880"/>
      <c r="Q292" s="1880"/>
      <c r="R292" s="1880"/>
      <c r="S292" s="1880"/>
      <c r="T292" s="1880"/>
      <c r="U292" s="1880"/>
      <c r="V292" s="1880"/>
      <c r="W292" s="1880"/>
      <c r="X292" s="1880"/>
      <c r="Y292" s="1880"/>
      <c r="Z292" s="1880"/>
      <c r="AA292" s="1880"/>
      <c r="AB292" s="1880"/>
      <c r="AC292" s="1880"/>
      <c r="AD292" s="1881"/>
      <c r="AE292" s="586"/>
      <c r="AF292" s="586"/>
      <c r="AG292" s="586"/>
      <c r="AH292" s="586"/>
      <c r="AI292" s="586"/>
      <c r="AJ292" s="585"/>
      <c r="AK292" s="585"/>
      <c r="AL292" s="585"/>
      <c r="AM292" s="585"/>
      <c r="AR292" s="683"/>
    </row>
    <row r="293" spans="1:49" ht="15" customHeight="1">
      <c r="A293" s="585"/>
      <c r="B293" s="586"/>
      <c r="C293" s="585"/>
      <c r="D293" s="586"/>
      <c r="E293" s="585"/>
      <c r="F293" s="1879"/>
      <c r="G293" s="1880"/>
      <c r="H293" s="1880"/>
      <c r="I293" s="1880"/>
      <c r="J293" s="1880"/>
      <c r="K293" s="1880"/>
      <c r="L293" s="1880"/>
      <c r="M293" s="1880"/>
      <c r="N293" s="1880"/>
      <c r="O293" s="1880"/>
      <c r="P293" s="1880"/>
      <c r="Q293" s="1880"/>
      <c r="R293" s="1880"/>
      <c r="S293" s="1880"/>
      <c r="T293" s="1880"/>
      <c r="U293" s="1880"/>
      <c r="V293" s="1880"/>
      <c r="W293" s="1880"/>
      <c r="X293" s="1880"/>
      <c r="Y293" s="1880"/>
      <c r="Z293" s="1880"/>
      <c r="AA293" s="1880"/>
      <c r="AB293" s="1880"/>
      <c r="AC293" s="1880"/>
      <c r="AD293" s="1881"/>
      <c r="AE293" s="586"/>
      <c r="AF293" s="586"/>
      <c r="AG293" s="586"/>
      <c r="AH293" s="586"/>
      <c r="AI293" s="586"/>
      <c r="AJ293" s="585"/>
      <c r="AK293" s="585"/>
      <c r="AL293" s="585"/>
      <c r="AM293" s="585"/>
      <c r="AR293" s="683"/>
    </row>
    <row r="294" spans="1:49">
      <c r="A294" s="585"/>
      <c r="B294" s="586"/>
      <c r="C294" s="585"/>
      <c r="D294" s="586"/>
      <c r="E294" s="585"/>
      <c r="F294" s="1879"/>
      <c r="G294" s="1880"/>
      <c r="H294" s="1880"/>
      <c r="I294" s="1880"/>
      <c r="J294" s="1880"/>
      <c r="K294" s="1880"/>
      <c r="L294" s="1880"/>
      <c r="M294" s="1880"/>
      <c r="N294" s="1880"/>
      <c r="O294" s="1880"/>
      <c r="P294" s="1880"/>
      <c r="Q294" s="1880"/>
      <c r="R294" s="1880"/>
      <c r="S294" s="1880"/>
      <c r="T294" s="1880"/>
      <c r="U294" s="1880"/>
      <c r="V294" s="1880"/>
      <c r="W294" s="1880"/>
      <c r="X294" s="1880"/>
      <c r="Y294" s="1880"/>
      <c r="Z294" s="1880"/>
      <c r="AA294" s="1880"/>
      <c r="AB294" s="1880"/>
      <c r="AC294" s="1880"/>
      <c r="AD294" s="1881"/>
      <c r="AE294" s="586"/>
      <c r="AF294" s="586"/>
      <c r="AG294" s="586"/>
      <c r="AH294" s="586"/>
      <c r="AI294" s="586"/>
      <c r="AJ294" s="585"/>
      <c r="AK294" s="585"/>
      <c r="AL294" s="585"/>
      <c r="AM294" s="585"/>
      <c r="AP294" s="646"/>
      <c r="AQ294" s="609"/>
      <c r="AR294" s="683"/>
    </row>
    <row r="295" spans="1:49" ht="15" customHeight="1">
      <c r="A295" s="585"/>
      <c r="B295" s="586"/>
      <c r="C295" s="585"/>
      <c r="D295" s="586"/>
      <c r="E295" s="585"/>
      <c r="F295" s="1876"/>
      <c r="G295" s="1877"/>
      <c r="H295" s="1877"/>
      <c r="I295" s="1877"/>
      <c r="J295" s="1877"/>
      <c r="K295" s="1877"/>
      <c r="L295" s="1877"/>
      <c r="M295" s="1877"/>
      <c r="N295" s="1877"/>
      <c r="O295" s="1877"/>
      <c r="P295" s="1877"/>
      <c r="Q295" s="1877"/>
      <c r="R295" s="1877"/>
      <c r="S295" s="1877"/>
      <c r="T295" s="1877"/>
      <c r="U295" s="1877"/>
      <c r="V295" s="1877"/>
      <c r="W295" s="1877"/>
      <c r="X295" s="1877"/>
      <c r="Y295" s="1877"/>
      <c r="Z295" s="1877"/>
      <c r="AA295" s="1877"/>
      <c r="AB295" s="1877"/>
      <c r="AC295" s="1877"/>
      <c r="AD295" s="1878"/>
      <c r="AE295" s="586"/>
      <c r="AF295" s="586"/>
      <c r="AG295" s="586"/>
      <c r="AH295" s="586"/>
      <c r="AI295" s="586"/>
      <c r="AJ295" s="585"/>
      <c r="AK295" s="585"/>
      <c r="AL295" s="585"/>
      <c r="AM295" s="585"/>
      <c r="AP295" s="646"/>
      <c r="AQ295" s="609"/>
      <c r="AR295" s="683"/>
    </row>
    <row r="296" spans="1:49">
      <c r="A296" s="585"/>
      <c r="B296" s="586"/>
      <c r="C296" s="586"/>
      <c r="D296" s="586"/>
      <c r="E296" s="586"/>
      <c r="F296" s="586"/>
      <c r="G296" s="586"/>
      <c r="H296" s="586"/>
      <c r="I296" s="586"/>
      <c r="J296" s="586"/>
      <c r="K296" s="586"/>
      <c r="L296" s="586"/>
      <c r="M296" s="586"/>
      <c r="N296" s="586"/>
      <c r="O296" s="586"/>
      <c r="P296" s="586"/>
      <c r="Q296" s="586"/>
      <c r="R296" s="586"/>
      <c r="S296" s="586"/>
      <c r="T296" s="586"/>
      <c r="U296" s="586"/>
      <c r="V296" s="586"/>
      <c r="W296" s="586"/>
      <c r="X296" s="586"/>
      <c r="Y296" s="586"/>
      <c r="Z296" s="586"/>
      <c r="AA296" s="586"/>
      <c r="AB296" s="586"/>
      <c r="AC296" s="586"/>
      <c r="AD296" s="586"/>
      <c r="AE296" s="586"/>
      <c r="AF296" s="586"/>
      <c r="AG296" s="586"/>
      <c r="AH296" s="586"/>
      <c r="AI296" s="586"/>
      <c r="AJ296" s="585"/>
      <c r="AK296" s="585"/>
      <c r="AL296" s="585"/>
      <c r="AM296" s="585"/>
      <c r="AP296" s="646"/>
      <c r="AQ296" s="609"/>
      <c r="AR296" s="683"/>
    </row>
    <row r="297" spans="1:49" hidden="1">
      <c r="A297" s="585"/>
      <c r="B297" s="586"/>
      <c r="C297" s="586"/>
      <c r="D297" s="586"/>
      <c r="E297" s="586"/>
      <c r="F297" s="586"/>
      <c r="G297" s="586"/>
      <c r="H297" s="586"/>
      <c r="I297" s="586"/>
      <c r="J297" s="586"/>
      <c r="K297" s="586"/>
      <c r="L297" s="586"/>
      <c r="M297" s="586"/>
      <c r="N297" s="586"/>
      <c r="O297" s="586"/>
      <c r="P297" s="586"/>
      <c r="Q297" s="586"/>
      <c r="R297" s="586"/>
      <c r="S297" s="586"/>
      <c r="T297" s="586"/>
      <c r="U297" s="586"/>
      <c r="V297" s="586"/>
      <c r="W297" s="586"/>
      <c r="X297" s="586"/>
      <c r="Y297" s="586"/>
      <c r="Z297" s="586"/>
      <c r="AA297" s="586"/>
      <c r="AB297" s="586"/>
      <c r="AC297" s="586"/>
      <c r="AD297" s="586"/>
      <c r="AE297" s="586"/>
      <c r="AF297" s="586"/>
      <c r="AG297" s="586"/>
      <c r="AH297" s="586"/>
      <c r="AI297" s="586"/>
      <c r="AJ297" s="585"/>
      <c r="AK297" s="585"/>
      <c r="AL297" s="585"/>
      <c r="AM297" s="585"/>
      <c r="AP297" s="646"/>
      <c r="AQ297" s="609"/>
      <c r="AR297" s="683"/>
    </row>
    <row r="298" spans="1:49" hidden="1">
      <c r="A298" s="585"/>
      <c r="B298" s="586"/>
      <c r="C298" s="586"/>
      <c r="D298" s="586"/>
      <c r="E298" s="586"/>
      <c r="F298" s="586"/>
      <c r="G298" s="586"/>
      <c r="H298" s="586"/>
      <c r="I298" s="586"/>
      <c r="J298" s="586"/>
      <c r="K298" s="586"/>
      <c r="L298" s="586"/>
      <c r="M298" s="586"/>
      <c r="N298" s="586"/>
      <c r="O298" s="586"/>
      <c r="P298" s="586"/>
      <c r="Q298" s="586"/>
      <c r="R298" s="586"/>
      <c r="S298" s="586"/>
      <c r="T298" s="586"/>
      <c r="U298" s="586"/>
      <c r="V298" s="586"/>
      <c r="W298" s="586"/>
      <c r="X298" s="586"/>
      <c r="Y298" s="586"/>
      <c r="Z298" s="586"/>
      <c r="AA298" s="586"/>
      <c r="AB298" s="586"/>
      <c r="AC298" s="586"/>
      <c r="AD298" s="586"/>
      <c r="AE298" s="586"/>
      <c r="AF298" s="586"/>
      <c r="AG298" s="586"/>
      <c r="AH298" s="586"/>
      <c r="AI298" s="586"/>
      <c r="AJ298" s="585"/>
      <c r="AK298" s="585"/>
      <c r="AL298" s="585"/>
      <c r="AM298" s="585"/>
      <c r="AN298" s="73"/>
      <c r="AO298" s="14"/>
    </row>
    <row r="299" spans="1:49" hidden="1">
      <c r="A299" s="1646" t="s">
        <v>1561</v>
      </c>
      <c r="B299" s="1646"/>
      <c r="C299" s="1944" t="s">
        <v>600</v>
      </c>
      <c r="D299" s="1944"/>
      <c r="E299" s="582"/>
      <c r="F299" s="679" t="s">
        <v>1559</v>
      </c>
      <c r="G299" s="684"/>
      <c r="H299" s="684"/>
      <c r="I299" s="684"/>
      <c r="J299" s="684"/>
      <c r="K299" s="684"/>
      <c r="L299" s="684"/>
      <c r="M299" s="684"/>
      <c r="N299" s="684"/>
      <c r="O299" s="684"/>
      <c r="P299" s="684"/>
      <c r="Q299" s="684"/>
      <c r="R299" s="684"/>
      <c r="S299" s="684"/>
      <c r="T299" s="684"/>
      <c r="U299" s="684"/>
      <c r="V299" s="684"/>
      <c r="W299" s="684"/>
      <c r="X299" s="684"/>
      <c r="Y299" s="684"/>
      <c r="Z299" s="684"/>
      <c r="AA299" s="684"/>
      <c r="AB299" s="684"/>
      <c r="AC299" s="684"/>
      <c r="AD299" s="685"/>
      <c r="AE299" s="586"/>
      <c r="AF299" s="586"/>
      <c r="AG299" s="574" t="s">
        <v>1560</v>
      </c>
      <c r="AH299" s="586"/>
      <c r="AI299" s="586"/>
      <c r="AJ299" s="585"/>
      <c r="AK299" s="585"/>
      <c r="AL299" s="585"/>
      <c r="AM299" s="585"/>
      <c r="AN299" s="73"/>
      <c r="AO299" s="14"/>
    </row>
    <row r="300" spans="1:49" hidden="1">
      <c r="A300" s="89"/>
      <c r="B300" s="89"/>
      <c r="C300" s="765"/>
      <c r="D300" s="765"/>
      <c r="E300" s="582"/>
      <c r="F300" s="1966" t="s">
        <v>2424</v>
      </c>
      <c r="G300" s="1967"/>
      <c r="H300" s="1967"/>
      <c r="I300" s="1967"/>
      <c r="J300" s="1967"/>
      <c r="K300" s="1967"/>
      <c r="L300" s="1967"/>
      <c r="M300" s="1967"/>
      <c r="N300" s="1967"/>
      <c r="O300" s="1967"/>
      <c r="P300" s="1967"/>
      <c r="Q300" s="1967"/>
      <c r="R300" s="1967"/>
      <c r="S300" s="1967"/>
      <c r="T300" s="1967"/>
      <c r="U300" s="1967"/>
      <c r="V300" s="1967"/>
      <c r="W300" s="1967"/>
      <c r="X300" s="1967"/>
      <c r="Y300" s="1967"/>
      <c r="Z300" s="1967"/>
      <c r="AA300" s="1967"/>
      <c r="AB300" s="1967"/>
      <c r="AC300" s="1967"/>
      <c r="AD300" s="1968"/>
      <c r="AE300" s="586"/>
      <c r="AF300" s="586"/>
      <c r="AG300" s="574"/>
      <c r="AH300" s="586"/>
      <c r="AI300" s="586"/>
      <c r="AJ300" s="585"/>
      <c r="AK300" s="585"/>
      <c r="AL300" s="585"/>
      <c r="AM300" s="585"/>
      <c r="AN300" s="73"/>
      <c r="AO300" s="14"/>
      <c r="AP300" s="592" t="s">
        <v>1327</v>
      </c>
    </row>
    <row r="301" spans="1:49" hidden="1">
      <c r="F301" s="1966"/>
      <c r="G301" s="1967"/>
      <c r="H301" s="1967"/>
      <c r="I301" s="1967"/>
      <c r="J301" s="1967"/>
      <c r="K301" s="1967"/>
      <c r="L301" s="1967"/>
      <c r="M301" s="1967"/>
      <c r="N301" s="1967"/>
      <c r="O301" s="1967"/>
      <c r="P301" s="1967"/>
      <c r="Q301" s="1967"/>
      <c r="R301" s="1967"/>
      <c r="S301" s="1967"/>
      <c r="T301" s="1967"/>
      <c r="U301" s="1967"/>
      <c r="V301" s="1967"/>
      <c r="W301" s="1967"/>
      <c r="X301" s="1967"/>
      <c r="Y301" s="1967"/>
      <c r="Z301" s="1967"/>
      <c r="AA301" s="1967"/>
      <c r="AB301" s="1967"/>
      <c r="AC301" s="1967"/>
      <c r="AD301" s="1968"/>
      <c r="AE301" s="586"/>
      <c r="AF301" s="586"/>
      <c r="AH301" s="586"/>
      <c r="AI301" s="586"/>
      <c r="AJ301" s="585"/>
      <c r="AK301" s="585"/>
      <c r="AL301" s="585"/>
      <c r="AM301" s="585"/>
      <c r="AN301" s="73"/>
      <c r="AO301" s="14"/>
      <c r="AP301" s="592" t="s">
        <v>1990</v>
      </c>
    </row>
    <row r="302" spans="1:49" hidden="1">
      <c r="A302" s="585"/>
      <c r="B302" s="586"/>
      <c r="C302" s="765"/>
      <c r="D302" s="765"/>
      <c r="E302" s="582"/>
      <c r="F302" s="687" t="s">
        <v>1562</v>
      </c>
      <c r="G302" s="698"/>
      <c r="H302" s="698"/>
      <c r="I302" s="698"/>
      <c r="J302" s="698"/>
      <c r="K302" s="698"/>
      <c r="L302" s="698"/>
      <c r="M302" s="698"/>
      <c r="N302" s="698"/>
      <c r="O302" s="698"/>
      <c r="P302" s="698"/>
      <c r="Q302" s="698"/>
      <c r="R302" s="698"/>
      <c r="S302" s="698"/>
      <c r="T302" s="698"/>
      <c r="U302" s="698"/>
      <c r="V302" s="698"/>
      <c r="W302" s="698"/>
      <c r="X302" s="698"/>
      <c r="Y302" s="698"/>
      <c r="Z302" s="698"/>
      <c r="AA302" s="698"/>
      <c r="AB302" s="698"/>
      <c r="AC302" s="698"/>
      <c r="AD302" s="1057"/>
      <c r="AE302" s="586"/>
      <c r="AF302" s="586"/>
      <c r="AG302" s="574"/>
      <c r="AH302" s="586"/>
      <c r="AI302" s="586"/>
      <c r="AJ302" s="585"/>
      <c r="AK302" s="585"/>
      <c r="AL302" s="585"/>
      <c r="AM302" s="585"/>
      <c r="AN302" s="73"/>
      <c r="AO302" s="14"/>
      <c r="AP302" s="592" t="s">
        <v>1992</v>
      </c>
    </row>
    <row r="303" spans="1:49" hidden="1">
      <c r="A303" s="585"/>
      <c r="B303" s="586"/>
      <c r="C303" s="765"/>
      <c r="D303" s="765"/>
      <c r="E303" s="582"/>
      <c r="F303" s="687"/>
      <c r="G303" s="698"/>
      <c r="H303" s="698"/>
      <c r="I303" s="698"/>
      <c r="J303" s="698"/>
      <c r="K303" s="698"/>
      <c r="L303" s="698"/>
      <c r="M303" s="698"/>
      <c r="N303" s="698"/>
      <c r="O303" s="698"/>
      <c r="P303" s="698"/>
      <c r="Q303" s="698"/>
      <c r="R303" s="698"/>
      <c r="S303" s="698"/>
      <c r="T303" s="698"/>
      <c r="U303" s="698"/>
      <c r="V303" s="698"/>
      <c r="W303" s="698"/>
      <c r="X303" s="698"/>
      <c r="Y303" s="698"/>
      <c r="Z303" s="698"/>
      <c r="AA303" s="698"/>
      <c r="AB303" s="698"/>
      <c r="AC303" s="698"/>
      <c r="AD303" s="1057"/>
      <c r="AE303" s="586"/>
      <c r="AF303" s="586"/>
      <c r="AG303" s="574"/>
      <c r="AH303" s="586"/>
      <c r="AI303" s="586"/>
      <c r="AJ303" s="585"/>
      <c r="AK303" s="585"/>
      <c r="AL303" s="585"/>
      <c r="AM303" s="585"/>
      <c r="AN303" s="73"/>
      <c r="AO303" s="14"/>
      <c r="AP303" s="592" t="s">
        <v>2118</v>
      </c>
    </row>
    <row r="304" spans="1:49" ht="12.75" hidden="1" customHeight="1">
      <c r="A304" s="585"/>
      <c r="B304" s="586"/>
      <c r="C304" s="765"/>
      <c r="D304" s="765"/>
      <c r="E304" s="582"/>
      <c r="F304" s="687"/>
      <c r="G304" s="677"/>
      <c r="H304" s="677"/>
      <c r="I304" s="677"/>
      <c r="J304" s="677"/>
      <c r="K304" s="677"/>
      <c r="L304" s="677"/>
      <c r="M304" s="677"/>
      <c r="N304" s="677"/>
      <c r="O304" s="677"/>
      <c r="P304" s="677"/>
      <c r="Q304" s="677"/>
      <c r="R304" s="677"/>
      <c r="S304" s="677"/>
      <c r="T304" s="677"/>
      <c r="U304" s="677"/>
      <c r="V304" s="677"/>
      <c r="W304" s="677"/>
      <c r="X304" s="677"/>
      <c r="Y304" s="677"/>
      <c r="Z304" s="677"/>
      <c r="AA304" s="677"/>
      <c r="AB304" s="677"/>
      <c r="AC304" s="677"/>
      <c r="AD304" s="688"/>
      <c r="AE304" s="586"/>
      <c r="AF304" s="586"/>
      <c r="AG304" s="574"/>
      <c r="AH304" s="586"/>
      <c r="AI304" s="586"/>
      <c r="AJ304" s="585"/>
      <c r="AK304" s="585"/>
      <c r="AL304" s="585"/>
      <c r="AM304" s="585"/>
      <c r="AN304" s="73"/>
      <c r="AO304" s="14"/>
      <c r="AP304" s="30"/>
    </row>
    <row r="305" spans="1:42" ht="12.75" hidden="1" customHeight="1">
      <c r="A305" s="585"/>
      <c r="B305" s="586"/>
      <c r="C305" s="765"/>
      <c r="D305" s="765"/>
      <c r="E305" s="582"/>
      <c r="F305" s="1976" t="s">
        <v>1327</v>
      </c>
      <c r="G305" s="1977"/>
      <c r="H305" s="1977"/>
      <c r="I305" s="1977"/>
      <c r="J305" s="1977"/>
      <c r="K305" s="1977"/>
      <c r="L305" s="1977"/>
      <c r="M305" s="1977"/>
      <c r="N305" s="1977"/>
      <c r="O305" s="1977"/>
      <c r="P305" s="1977"/>
      <c r="Q305" s="1977"/>
      <c r="R305" s="1977"/>
      <c r="S305" s="1977"/>
      <c r="T305" s="1977"/>
      <c r="U305" s="1977"/>
      <c r="V305" s="1977"/>
      <c r="W305" s="1977"/>
      <c r="X305" s="1977"/>
      <c r="Y305" s="1977"/>
      <c r="Z305" s="1977"/>
      <c r="AA305" s="1977"/>
      <c r="AB305" s="1977"/>
      <c r="AC305" s="1977"/>
      <c r="AD305" s="1978"/>
      <c r="AE305" s="677"/>
      <c r="AF305" s="677"/>
      <c r="AG305" s="677"/>
      <c r="AH305" s="677"/>
      <c r="AI305" s="677"/>
      <c r="AJ305" s="677"/>
      <c r="AK305" s="677"/>
      <c r="AL305" s="585"/>
      <c r="AM305" s="585"/>
      <c r="AN305" s="73"/>
      <c r="AO305" s="14"/>
      <c r="AP305" s="30"/>
    </row>
    <row r="306" spans="1:42" hidden="1">
      <c r="A306" s="585"/>
      <c r="B306" s="586"/>
      <c r="C306" s="765"/>
      <c r="D306" s="765"/>
      <c r="E306" s="582"/>
      <c r="F306" s="1976"/>
      <c r="G306" s="1977"/>
      <c r="H306" s="1977"/>
      <c r="I306" s="1977"/>
      <c r="J306" s="1977"/>
      <c r="K306" s="1977"/>
      <c r="L306" s="1977"/>
      <c r="M306" s="1977"/>
      <c r="N306" s="1977"/>
      <c r="O306" s="1977"/>
      <c r="P306" s="1977"/>
      <c r="Q306" s="1977"/>
      <c r="R306" s="1977"/>
      <c r="S306" s="1977"/>
      <c r="T306" s="1977"/>
      <c r="U306" s="1977"/>
      <c r="V306" s="1977"/>
      <c r="W306" s="1977"/>
      <c r="X306" s="1977"/>
      <c r="Y306" s="1977"/>
      <c r="Z306" s="1977"/>
      <c r="AA306" s="1977"/>
      <c r="AB306" s="1977"/>
      <c r="AC306" s="1977"/>
      <c r="AD306" s="1978"/>
      <c r="AE306" s="586"/>
      <c r="AF306" s="586"/>
      <c r="AG306" s="574"/>
      <c r="AH306" s="586"/>
      <c r="AI306" s="586"/>
      <c r="AJ306" s="585"/>
      <c r="AK306" s="585"/>
      <c r="AL306" s="585"/>
      <c r="AM306" s="585"/>
      <c r="AN306" s="73"/>
      <c r="AO306" s="14"/>
      <c r="AP306" s="30"/>
    </row>
    <row r="307" spans="1:42" hidden="1">
      <c r="A307" s="585"/>
      <c r="B307" s="586"/>
      <c r="C307" s="765"/>
      <c r="D307" s="765"/>
      <c r="E307" s="582"/>
      <c r="F307" s="1976"/>
      <c r="G307" s="1977"/>
      <c r="H307" s="1977"/>
      <c r="I307" s="1977"/>
      <c r="J307" s="1977"/>
      <c r="K307" s="1977"/>
      <c r="L307" s="1977"/>
      <c r="M307" s="1977"/>
      <c r="N307" s="1977"/>
      <c r="O307" s="1977"/>
      <c r="P307" s="1977"/>
      <c r="Q307" s="1977"/>
      <c r="R307" s="1977"/>
      <c r="S307" s="1977"/>
      <c r="T307" s="1977"/>
      <c r="U307" s="1977"/>
      <c r="V307" s="1977"/>
      <c r="W307" s="1977"/>
      <c r="X307" s="1977"/>
      <c r="Y307" s="1977"/>
      <c r="Z307" s="1977"/>
      <c r="AA307" s="1977"/>
      <c r="AB307" s="1977"/>
      <c r="AC307" s="1977"/>
      <c r="AD307" s="1978"/>
      <c r="AE307" s="586"/>
      <c r="AF307" s="586"/>
      <c r="AG307" s="574"/>
      <c r="AH307" s="586"/>
      <c r="AI307" s="586"/>
      <c r="AJ307" s="585"/>
      <c r="AK307" s="585"/>
      <c r="AL307" s="585"/>
      <c r="AM307" s="585"/>
      <c r="AN307" s="73"/>
      <c r="AO307" s="14"/>
      <c r="AP307" s="30"/>
    </row>
    <row r="308" spans="1:42" hidden="1">
      <c r="A308" s="585"/>
      <c r="B308" s="586"/>
      <c r="C308" s="765"/>
      <c r="D308" s="765"/>
      <c r="E308" s="582"/>
      <c r="F308" s="1976"/>
      <c r="G308" s="1977"/>
      <c r="H308" s="1977"/>
      <c r="I308" s="1977"/>
      <c r="J308" s="1977"/>
      <c r="K308" s="1977"/>
      <c r="L308" s="1977"/>
      <c r="M308" s="1977"/>
      <c r="N308" s="1977"/>
      <c r="O308" s="1977"/>
      <c r="P308" s="1977"/>
      <c r="Q308" s="1977"/>
      <c r="R308" s="1977"/>
      <c r="S308" s="1977"/>
      <c r="T308" s="1977"/>
      <c r="U308" s="1977"/>
      <c r="V308" s="1977"/>
      <c r="W308" s="1977"/>
      <c r="X308" s="1977"/>
      <c r="Y308" s="1977"/>
      <c r="Z308" s="1977"/>
      <c r="AA308" s="1977"/>
      <c r="AB308" s="1977"/>
      <c r="AC308" s="1977"/>
      <c r="AD308" s="1978"/>
      <c r="AE308" s="586"/>
      <c r="AF308" s="586"/>
      <c r="AG308" s="574"/>
      <c r="AH308" s="586"/>
      <c r="AI308" s="586"/>
      <c r="AJ308" s="585"/>
      <c r="AK308" s="585"/>
      <c r="AL308" s="585"/>
      <c r="AM308" s="585"/>
      <c r="AN308" s="73"/>
      <c r="AO308" s="14"/>
      <c r="AP308" s="30"/>
    </row>
    <row r="309" spans="1:42" hidden="1">
      <c r="A309" s="585"/>
      <c r="B309" s="586"/>
      <c r="C309" s="765"/>
      <c r="D309" s="765"/>
      <c r="E309" s="582"/>
      <c r="F309" s="1979"/>
      <c r="G309" s="1980"/>
      <c r="H309" s="1980"/>
      <c r="I309" s="1980"/>
      <c r="J309" s="1980"/>
      <c r="K309" s="1980"/>
      <c r="L309" s="1980"/>
      <c r="M309" s="1980"/>
      <c r="N309" s="1980"/>
      <c r="O309" s="1980"/>
      <c r="P309" s="1980"/>
      <c r="Q309" s="1980"/>
      <c r="R309" s="1980"/>
      <c r="S309" s="1980"/>
      <c r="T309" s="1980"/>
      <c r="U309" s="1980"/>
      <c r="V309" s="1980"/>
      <c r="W309" s="1980"/>
      <c r="X309" s="1980"/>
      <c r="Y309" s="1980"/>
      <c r="Z309" s="1980"/>
      <c r="AA309" s="1980"/>
      <c r="AB309" s="1980"/>
      <c r="AC309" s="1980"/>
      <c r="AD309" s="1981"/>
      <c r="AE309" s="586"/>
      <c r="AF309" s="586"/>
      <c r="AG309" s="574"/>
      <c r="AH309" s="586"/>
      <c r="AI309" s="586"/>
      <c r="AJ309" s="585"/>
      <c r="AK309" s="585"/>
      <c r="AL309" s="585"/>
      <c r="AM309" s="585"/>
      <c r="AN309" s="73"/>
      <c r="AO309" s="14"/>
      <c r="AP309" s="30"/>
    </row>
    <row r="310" spans="1:42" hidden="1">
      <c r="A310" s="585"/>
      <c r="B310" s="586"/>
      <c r="C310" s="765"/>
      <c r="D310" s="765"/>
      <c r="E310" s="582"/>
      <c r="F310" s="1012"/>
      <c r="G310" s="677"/>
      <c r="H310" s="677"/>
      <c r="I310" s="677"/>
      <c r="J310" s="677"/>
      <c r="K310" s="677"/>
      <c r="L310" s="677"/>
      <c r="M310" s="677"/>
      <c r="N310" s="677"/>
      <c r="O310" s="677"/>
      <c r="P310" s="677"/>
      <c r="Q310" s="677"/>
      <c r="R310" s="677"/>
      <c r="S310" s="677"/>
      <c r="T310" s="677"/>
      <c r="U310" s="677"/>
      <c r="V310" s="677"/>
      <c r="W310" s="677"/>
      <c r="X310" s="677"/>
      <c r="Y310" s="677"/>
      <c r="Z310" s="677"/>
      <c r="AA310" s="677"/>
      <c r="AB310" s="677"/>
      <c r="AC310" s="677"/>
      <c r="AD310" s="688"/>
      <c r="AE310" s="586"/>
      <c r="AF310" s="586"/>
      <c r="AG310" s="574"/>
      <c r="AH310" s="586"/>
      <c r="AI310" s="586"/>
      <c r="AJ310" s="585"/>
      <c r="AK310" s="585"/>
      <c r="AL310" s="585"/>
      <c r="AM310" s="585"/>
      <c r="AN310" s="73"/>
      <c r="AO310" s="14"/>
      <c r="AP310" s="30"/>
    </row>
    <row r="311" spans="1:42" hidden="1">
      <c r="A311" s="585"/>
      <c r="B311" s="586"/>
      <c r="C311" s="765"/>
      <c r="D311" s="765"/>
      <c r="E311" s="582"/>
      <c r="F311" s="689" t="s">
        <v>1991</v>
      </c>
      <c r="G311" s="586"/>
      <c r="H311" s="586"/>
      <c r="I311" s="586"/>
      <c r="J311" s="586"/>
      <c r="K311" s="586"/>
      <c r="L311" s="586"/>
      <c r="M311" s="586"/>
      <c r="N311" s="586"/>
      <c r="O311" s="586"/>
      <c r="P311" s="586"/>
      <c r="Q311" s="586"/>
      <c r="R311" s="586"/>
      <c r="S311" s="586"/>
      <c r="T311" s="586"/>
      <c r="U311" s="586"/>
      <c r="V311" s="586"/>
      <c r="W311" s="586"/>
      <c r="X311" s="586"/>
      <c r="Y311" s="586"/>
      <c r="Z311" s="586"/>
      <c r="AA311" s="586"/>
      <c r="AB311" s="586"/>
      <c r="AC311" s="586"/>
      <c r="AD311" s="690"/>
      <c r="AE311" s="586"/>
      <c r="AF311" s="586"/>
      <c r="AG311" s="574"/>
      <c r="AH311" s="586"/>
      <c r="AI311" s="586"/>
      <c r="AJ311" s="585"/>
      <c r="AK311" s="585"/>
      <c r="AL311" s="585"/>
      <c r="AM311" s="585"/>
      <c r="AN311" s="73"/>
      <c r="AO311" s="14"/>
      <c r="AP311" s="30"/>
    </row>
    <row r="312" spans="1:42" hidden="1">
      <c r="A312" s="585"/>
      <c r="B312" s="586"/>
      <c r="C312" s="765"/>
      <c r="D312" s="765"/>
      <c r="E312" s="582"/>
      <c r="F312" s="689"/>
      <c r="G312" s="586"/>
      <c r="H312" s="586"/>
      <c r="I312" s="586"/>
      <c r="J312" s="586"/>
      <c r="K312" s="586"/>
      <c r="L312" s="586"/>
      <c r="M312" s="586"/>
      <c r="N312" s="586"/>
      <c r="O312" s="586"/>
      <c r="P312" s="586"/>
      <c r="Q312" s="586"/>
      <c r="R312" s="586"/>
      <c r="S312" s="586"/>
      <c r="T312" s="586"/>
      <c r="U312" s="586"/>
      <c r="V312" s="586"/>
      <c r="W312" s="586"/>
      <c r="X312" s="586"/>
      <c r="Y312" s="586"/>
      <c r="Z312" s="586"/>
      <c r="AA312" s="586"/>
      <c r="AB312" s="586"/>
      <c r="AC312" s="586"/>
      <c r="AD312" s="690"/>
      <c r="AE312" s="586"/>
      <c r="AF312" s="586"/>
      <c r="AG312" s="574"/>
      <c r="AH312" s="586"/>
      <c r="AI312" s="586"/>
      <c r="AJ312" s="585"/>
      <c r="AK312" s="585"/>
      <c r="AL312" s="585"/>
      <c r="AM312" s="585"/>
      <c r="AN312" s="73"/>
      <c r="AO312" s="14"/>
      <c r="AP312" s="592" t="s">
        <v>1327</v>
      </c>
    </row>
    <row r="313" spans="1:42" ht="12.75" hidden="1" customHeight="1">
      <c r="A313" s="585"/>
      <c r="B313" s="586"/>
      <c r="C313" s="765"/>
      <c r="D313" s="765"/>
      <c r="E313" s="582"/>
      <c r="F313" s="691"/>
      <c r="G313" s="610" t="s">
        <v>697</v>
      </c>
      <c r="H313" s="610"/>
      <c r="I313" s="1982" t="s">
        <v>1327</v>
      </c>
      <c r="J313" s="1982"/>
      <c r="K313" s="1982"/>
      <c r="L313" s="1982"/>
      <c r="M313" s="1982"/>
      <c r="N313" s="1982"/>
      <c r="O313" s="1982"/>
      <c r="P313" s="1982"/>
      <c r="Q313" s="1982"/>
      <c r="R313" s="1982"/>
      <c r="S313" s="1982"/>
      <c r="T313" s="1982"/>
      <c r="U313" s="1982"/>
      <c r="V313" s="1982"/>
      <c r="W313" s="1982"/>
      <c r="X313" s="1982"/>
      <c r="Y313" s="1982"/>
      <c r="Z313" s="1982"/>
      <c r="AA313" s="1982"/>
      <c r="AB313" s="1982"/>
      <c r="AC313" s="1982"/>
      <c r="AD313" s="1983"/>
      <c r="AE313" s="586"/>
      <c r="AF313" s="586"/>
      <c r="AG313" s="574"/>
      <c r="AH313" s="586"/>
      <c r="AI313" s="586"/>
      <c r="AJ313" s="585"/>
      <c r="AK313" s="585"/>
      <c r="AL313" s="585"/>
      <c r="AM313" s="585"/>
      <c r="AN313" s="73"/>
      <c r="AO313" s="14"/>
      <c r="AP313" s="592" t="s">
        <v>1817</v>
      </c>
    </row>
    <row r="314" spans="1:42" hidden="1">
      <c r="A314" s="585"/>
      <c r="B314" s="586"/>
      <c r="C314" s="765"/>
      <c r="D314" s="765"/>
      <c r="E314" s="582"/>
      <c r="F314" s="691"/>
      <c r="G314" s="610"/>
      <c r="H314" s="610"/>
      <c r="I314" s="1982"/>
      <c r="J314" s="1982"/>
      <c r="K314" s="1982"/>
      <c r="L314" s="1982"/>
      <c r="M314" s="1982"/>
      <c r="N314" s="1982"/>
      <c r="O314" s="1982"/>
      <c r="P314" s="1982"/>
      <c r="Q314" s="1982"/>
      <c r="R314" s="1982"/>
      <c r="S314" s="1982"/>
      <c r="T314" s="1982"/>
      <c r="U314" s="1982"/>
      <c r="V314" s="1982"/>
      <c r="W314" s="1982"/>
      <c r="X314" s="1982"/>
      <c r="Y314" s="1982"/>
      <c r="Z314" s="1982"/>
      <c r="AA314" s="1982"/>
      <c r="AB314" s="1982"/>
      <c r="AC314" s="1982"/>
      <c r="AD314" s="1983"/>
      <c r="AE314" s="586"/>
      <c r="AF314" s="586"/>
      <c r="AG314" s="574"/>
      <c r="AH314" s="586"/>
      <c r="AI314" s="586"/>
      <c r="AJ314" s="585"/>
      <c r="AK314" s="585"/>
      <c r="AL314" s="585"/>
      <c r="AM314" s="585"/>
      <c r="AN314" s="73"/>
      <c r="AO314" s="14"/>
      <c r="AP314" s="592" t="s">
        <v>1993</v>
      </c>
    </row>
    <row r="315" spans="1:42" hidden="1">
      <c r="A315" s="585"/>
      <c r="B315" s="586"/>
      <c r="C315" s="686"/>
      <c r="D315" s="686"/>
      <c r="E315" s="582"/>
      <c r="F315" s="691"/>
      <c r="G315" s="610"/>
      <c r="H315" s="610"/>
      <c r="I315" s="1982"/>
      <c r="J315" s="1982"/>
      <c r="K315" s="1982"/>
      <c r="L315" s="1982"/>
      <c r="M315" s="1982"/>
      <c r="N315" s="1982"/>
      <c r="O315" s="1982"/>
      <c r="P315" s="1982"/>
      <c r="Q315" s="1982"/>
      <c r="R315" s="1982"/>
      <c r="S315" s="1982"/>
      <c r="T315" s="1982"/>
      <c r="U315" s="1982"/>
      <c r="V315" s="1982"/>
      <c r="W315" s="1982"/>
      <c r="X315" s="1982"/>
      <c r="Y315" s="1982"/>
      <c r="Z315" s="1982"/>
      <c r="AA315" s="1982"/>
      <c r="AB315" s="1982"/>
      <c r="AC315" s="1982"/>
      <c r="AD315" s="1983"/>
      <c r="AE315" s="586"/>
      <c r="AF315" s="586"/>
      <c r="AG315" s="574"/>
      <c r="AH315" s="586"/>
      <c r="AI315" s="586"/>
      <c r="AJ315" s="585"/>
      <c r="AK315" s="585"/>
      <c r="AL315" s="585"/>
      <c r="AM315" s="585"/>
      <c r="AN315" s="73"/>
      <c r="AO315" s="14"/>
      <c r="AP315" s="592" t="s">
        <v>1995</v>
      </c>
    </row>
    <row r="316" spans="1:42" hidden="1">
      <c r="A316" s="585"/>
      <c r="B316" s="586"/>
      <c r="C316" s="686"/>
      <c r="D316" s="686"/>
      <c r="E316" s="582"/>
      <c r="F316" s="689"/>
      <c r="G316" s="586"/>
      <c r="H316" s="586"/>
      <c r="I316" s="1984"/>
      <c r="J316" s="1984"/>
      <c r="K316" s="1984"/>
      <c r="L316" s="1984"/>
      <c r="M316" s="1984"/>
      <c r="N316" s="1984"/>
      <c r="O316" s="1984"/>
      <c r="P316" s="1984"/>
      <c r="Q316" s="1984"/>
      <c r="R316" s="1984"/>
      <c r="S316" s="1984"/>
      <c r="T316" s="1984"/>
      <c r="U316" s="1984"/>
      <c r="V316" s="1984"/>
      <c r="W316" s="1984"/>
      <c r="X316" s="1984"/>
      <c r="Y316" s="1984"/>
      <c r="Z316" s="1984"/>
      <c r="AA316" s="1984"/>
      <c r="AB316" s="1984"/>
      <c r="AC316" s="1984"/>
      <c r="AD316" s="1985"/>
      <c r="AE316" s="586"/>
      <c r="AF316" s="586"/>
      <c r="AG316" s="574"/>
      <c r="AH316" s="586"/>
      <c r="AI316" s="586"/>
      <c r="AJ316" s="585"/>
      <c r="AK316" s="585"/>
      <c r="AL316" s="585"/>
      <c r="AM316" s="585"/>
      <c r="AN316" s="73"/>
      <c r="AO316" s="14"/>
      <c r="AP316" s="592" t="s">
        <v>1994</v>
      </c>
    </row>
    <row r="317" spans="1:42" hidden="1">
      <c r="A317" s="585"/>
      <c r="B317" s="586"/>
      <c r="C317" s="686"/>
      <c r="D317" s="686"/>
      <c r="E317" s="582"/>
      <c r="F317" s="689"/>
      <c r="G317" s="586"/>
      <c r="H317" s="586"/>
      <c r="I317" s="586"/>
      <c r="J317" s="586"/>
      <c r="K317" s="586"/>
      <c r="L317" s="586"/>
      <c r="M317" s="586"/>
      <c r="N317" s="586"/>
      <c r="O317" s="586"/>
      <c r="P317" s="586"/>
      <c r="Q317" s="586"/>
      <c r="R317" s="586"/>
      <c r="S317" s="586"/>
      <c r="T317" s="586"/>
      <c r="U317" s="586"/>
      <c r="V317" s="586"/>
      <c r="W317" s="586"/>
      <c r="X317" s="586"/>
      <c r="Y317" s="586"/>
      <c r="Z317" s="586"/>
      <c r="AA317" s="586"/>
      <c r="AB317" s="586"/>
      <c r="AC317" s="586"/>
      <c r="AD317" s="690"/>
      <c r="AE317" s="586"/>
      <c r="AF317" s="586"/>
      <c r="AG317" s="574"/>
      <c r="AH317" s="586"/>
      <c r="AI317" s="586"/>
      <c r="AJ317" s="585"/>
      <c r="AK317" s="585"/>
      <c r="AL317" s="585"/>
      <c r="AM317" s="585"/>
      <c r="AN317" s="73"/>
      <c r="AO317" s="14"/>
      <c r="AP317" s="30"/>
    </row>
    <row r="318" spans="1:42" hidden="1">
      <c r="A318" s="585"/>
      <c r="B318" s="586"/>
      <c r="C318" s="686"/>
      <c r="D318" s="686"/>
      <c r="E318" s="582"/>
      <c r="F318" s="689"/>
      <c r="G318" s="586" t="s">
        <v>518</v>
      </c>
      <c r="H318" s="586"/>
      <c r="I318" s="1982" t="s">
        <v>1327</v>
      </c>
      <c r="J318" s="1982"/>
      <c r="K318" s="1982"/>
      <c r="L318" s="1982"/>
      <c r="M318" s="1982"/>
      <c r="N318" s="1982"/>
      <c r="O318" s="1982"/>
      <c r="P318" s="1982"/>
      <c r="Q318" s="1982"/>
      <c r="R318" s="1982"/>
      <c r="S318" s="1982"/>
      <c r="T318" s="1982"/>
      <c r="U318" s="1982"/>
      <c r="V318" s="1982"/>
      <c r="W318" s="1982"/>
      <c r="X318" s="1982"/>
      <c r="Y318" s="1982"/>
      <c r="Z318" s="1982"/>
      <c r="AA318" s="1982"/>
      <c r="AB318" s="1982"/>
      <c r="AC318" s="1982"/>
      <c r="AD318" s="1983"/>
      <c r="AE318" s="586"/>
      <c r="AF318" s="586"/>
      <c r="AG318" s="574"/>
      <c r="AH318" s="586"/>
      <c r="AI318" s="586"/>
      <c r="AJ318" s="585"/>
      <c r="AK318" s="585"/>
      <c r="AL318" s="585"/>
      <c r="AM318" s="585"/>
      <c r="AN318" s="73"/>
      <c r="AO318" s="14"/>
    </row>
    <row r="319" spans="1:42" hidden="1">
      <c r="A319" s="585"/>
      <c r="B319" s="586"/>
      <c r="C319" s="686"/>
      <c r="D319" s="686"/>
      <c r="E319" s="582"/>
      <c r="F319" s="689"/>
      <c r="G319" s="586"/>
      <c r="H319" s="586"/>
      <c r="I319" s="1982"/>
      <c r="J319" s="1982"/>
      <c r="K319" s="1982"/>
      <c r="L319" s="1982"/>
      <c r="M319" s="1982"/>
      <c r="N319" s="1982"/>
      <c r="O319" s="1982"/>
      <c r="P319" s="1982"/>
      <c r="Q319" s="1982"/>
      <c r="R319" s="1982"/>
      <c r="S319" s="1982"/>
      <c r="T319" s="1982"/>
      <c r="U319" s="1982"/>
      <c r="V319" s="1982"/>
      <c r="W319" s="1982"/>
      <c r="X319" s="1982"/>
      <c r="Y319" s="1982"/>
      <c r="Z319" s="1982"/>
      <c r="AA319" s="1982"/>
      <c r="AB319" s="1982"/>
      <c r="AC319" s="1982"/>
      <c r="AD319" s="1983"/>
      <c r="AE319" s="586"/>
      <c r="AF319" s="586"/>
      <c r="AG319" s="574"/>
      <c r="AH319" s="586"/>
      <c r="AI319" s="586"/>
      <c r="AJ319" s="585"/>
      <c r="AK319" s="585"/>
      <c r="AL319" s="585"/>
      <c r="AM319" s="585"/>
      <c r="AN319" s="73"/>
      <c r="AO319" s="14"/>
      <c r="AP319" s="592" t="s">
        <v>1327</v>
      </c>
    </row>
    <row r="320" spans="1:42" hidden="1">
      <c r="A320" s="585"/>
      <c r="B320" s="586"/>
      <c r="C320" s="686"/>
      <c r="D320" s="686"/>
      <c r="E320" s="582"/>
      <c r="F320" s="692"/>
      <c r="G320" s="693"/>
      <c r="H320" s="693"/>
      <c r="I320" s="1984"/>
      <c r="J320" s="1984"/>
      <c r="K320" s="1984"/>
      <c r="L320" s="1984"/>
      <c r="M320" s="1984"/>
      <c r="N320" s="1984"/>
      <c r="O320" s="1984"/>
      <c r="P320" s="1984"/>
      <c r="Q320" s="1984"/>
      <c r="R320" s="1984"/>
      <c r="S320" s="1984"/>
      <c r="T320" s="1984"/>
      <c r="U320" s="1984"/>
      <c r="V320" s="1984"/>
      <c r="W320" s="1984"/>
      <c r="X320" s="1984"/>
      <c r="Y320" s="1984"/>
      <c r="Z320" s="1984"/>
      <c r="AA320" s="1984"/>
      <c r="AB320" s="1984"/>
      <c r="AC320" s="1984"/>
      <c r="AD320" s="1985"/>
      <c r="AE320" s="586"/>
      <c r="AF320" s="586"/>
      <c r="AG320" s="574"/>
      <c r="AH320" s="586"/>
      <c r="AI320" s="586"/>
      <c r="AJ320" s="585"/>
      <c r="AK320" s="585"/>
      <c r="AL320" s="585"/>
      <c r="AM320" s="585"/>
      <c r="AN320" s="73"/>
      <c r="AO320" s="14"/>
      <c r="AP320" s="592" t="s">
        <v>1563</v>
      </c>
    </row>
    <row r="321" spans="1:44" hidden="1">
      <c r="A321" s="585"/>
      <c r="B321" s="586"/>
      <c r="C321" s="585"/>
      <c r="D321" s="586"/>
      <c r="E321" s="585"/>
      <c r="F321" s="651"/>
      <c r="G321" s="586"/>
      <c r="H321" s="586"/>
      <c r="I321" s="586"/>
      <c r="J321" s="586"/>
      <c r="K321" s="586"/>
      <c r="L321" s="586"/>
      <c r="M321" s="586"/>
      <c r="N321" s="586"/>
      <c r="O321" s="586"/>
      <c r="P321" s="586"/>
      <c r="Q321" s="586"/>
      <c r="R321" s="586"/>
      <c r="S321" s="586"/>
      <c r="T321" s="586"/>
      <c r="U321" s="586"/>
      <c r="V321" s="586"/>
      <c r="W321" s="586"/>
      <c r="X321" s="586"/>
      <c r="Y321" s="586"/>
      <c r="Z321" s="586"/>
      <c r="AA321" s="586"/>
      <c r="AB321" s="586"/>
      <c r="AC321" s="586"/>
      <c r="AD321" s="586"/>
      <c r="AE321" s="586"/>
      <c r="AF321" s="586"/>
      <c r="AG321" s="586"/>
      <c r="AH321" s="586"/>
      <c r="AI321" s="586"/>
      <c r="AJ321" s="585"/>
      <c r="AK321" s="585"/>
      <c r="AL321" s="585"/>
      <c r="AM321" s="585"/>
      <c r="AN321" s="73"/>
      <c r="AO321" s="14"/>
      <c r="AP321" s="592" t="s">
        <v>1818</v>
      </c>
    </row>
    <row r="322" spans="1:44" ht="12.75" hidden="1" customHeight="1">
      <c r="A322" s="1646" t="s">
        <v>1564</v>
      </c>
      <c r="B322" s="1646"/>
      <c r="C322" s="1944" t="s">
        <v>600</v>
      </c>
      <c r="D322" s="1944"/>
      <c r="E322" s="582"/>
      <c r="F322" s="1873" t="s">
        <v>2425</v>
      </c>
      <c r="G322" s="1874"/>
      <c r="H322" s="1874"/>
      <c r="I322" s="1874"/>
      <c r="J322" s="1874"/>
      <c r="K322" s="1874"/>
      <c r="L322" s="1874"/>
      <c r="M322" s="1874"/>
      <c r="N322" s="1874"/>
      <c r="O322" s="1874"/>
      <c r="P322" s="1874"/>
      <c r="Q322" s="1874"/>
      <c r="R322" s="1874"/>
      <c r="S322" s="1874"/>
      <c r="T322" s="1874"/>
      <c r="U322" s="1874"/>
      <c r="V322" s="1874"/>
      <c r="W322" s="1874"/>
      <c r="X322" s="1874"/>
      <c r="Y322" s="1874"/>
      <c r="Z322" s="1874"/>
      <c r="AA322" s="1874"/>
      <c r="AB322" s="1874"/>
      <c r="AC322" s="1874"/>
      <c r="AD322" s="1875"/>
      <c r="AE322" s="586"/>
      <c r="AF322" s="586"/>
      <c r="AG322" s="574" t="s">
        <v>1560</v>
      </c>
      <c r="AH322" s="586"/>
      <c r="AI322" s="586"/>
      <c r="AJ322" s="585"/>
      <c r="AK322" s="585"/>
      <c r="AL322" s="585"/>
      <c r="AM322" s="585"/>
      <c r="AN322" s="73"/>
      <c r="AO322" s="14"/>
    </row>
    <row r="323" spans="1:44" ht="15" hidden="1" customHeight="1">
      <c r="A323" s="585"/>
      <c r="B323" s="586"/>
      <c r="C323" s="586"/>
      <c r="D323" s="586"/>
      <c r="E323" s="586"/>
      <c r="F323" s="1879"/>
      <c r="G323" s="1880"/>
      <c r="H323" s="1880"/>
      <c r="I323" s="1880"/>
      <c r="J323" s="1880"/>
      <c r="K323" s="1880"/>
      <c r="L323" s="1880"/>
      <c r="M323" s="1880"/>
      <c r="N323" s="1880"/>
      <c r="O323" s="1880"/>
      <c r="P323" s="1880"/>
      <c r="Q323" s="1880"/>
      <c r="R323" s="1880"/>
      <c r="S323" s="1880"/>
      <c r="T323" s="1880"/>
      <c r="U323" s="1880"/>
      <c r="V323" s="1880"/>
      <c r="W323" s="1880"/>
      <c r="X323" s="1880"/>
      <c r="Y323" s="1880"/>
      <c r="Z323" s="1880"/>
      <c r="AA323" s="1880"/>
      <c r="AB323" s="1880"/>
      <c r="AC323" s="1880"/>
      <c r="AD323" s="1881"/>
      <c r="AE323" s="586"/>
      <c r="AF323" s="586"/>
      <c r="AG323" s="586"/>
      <c r="AH323" s="586"/>
      <c r="AI323" s="586"/>
      <c r="AJ323" s="585"/>
      <c r="AK323" s="585"/>
      <c r="AL323" s="585"/>
      <c r="AM323" s="585"/>
      <c r="AN323" s="73"/>
      <c r="AO323" s="14"/>
    </row>
    <row r="324" spans="1:44" ht="15" hidden="1" customHeight="1">
      <c r="A324" s="585"/>
      <c r="B324" s="586"/>
      <c r="C324" s="586"/>
      <c r="D324" s="586"/>
      <c r="E324" s="586"/>
      <c r="F324" s="1879"/>
      <c r="G324" s="1880"/>
      <c r="H324" s="1880"/>
      <c r="I324" s="1880"/>
      <c r="J324" s="1880"/>
      <c r="K324" s="1880"/>
      <c r="L324" s="1880"/>
      <c r="M324" s="1880"/>
      <c r="N324" s="1880"/>
      <c r="O324" s="1880"/>
      <c r="P324" s="1880"/>
      <c r="Q324" s="1880"/>
      <c r="R324" s="1880"/>
      <c r="S324" s="1880"/>
      <c r="T324" s="1880"/>
      <c r="U324" s="1880"/>
      <c r="V324" s="1880"/>
      <c r="W324" s="1880"/>
      <c r="X324" s="1880"/>
      <c r="Y324" s="1880"/>
      <c r="Z324" s="1880"/>
      <c r="AA324" s="1880"/>
      <c r="AB324" s="1880"/>
      <c r="AC324" s="1880"/>
      <c r="AD324" s="1881"/>
      <c r="AE324" s="586"/>
      <c r="AF324" s="586"/>
      <c r="AG324" s="586"/>
      <c r="AH324" s="586"/>
      <c r="AI324" s="586"/>
      <c r="AJ324" s="585"/>
      <c r="AK324" s="585"/>
      <c r="AL324" s="585"/>
      <c r="AM324" s="694"/>
      <c r="AN324" s="14"/>
      <c r="AO324" s="14"/>
    </row>
    <row r="325" spans="1:44" hidden="1">
      <c r="A325" s="585"/>
      <c r="B325" s="586"/>
      <c r="C325" s="585"/>
      <c r="D325" s="586"/>
      <c r="E325" s="585"/>
      <c r="F325" s="695" t="s">
        <v>1565</v>
      </c>
      <c r="G325" s="696"/>
      <c r="H325" s="696"/>
      <c r="I325" s="696"/>
      <c r="J325" s="696"/>
      <c r="K325" s="696"/>
      <c r="L325" s="696"/>
      <c r="M325" s="696"/>
      <c r="N325" s="696"/>
      <c r="O325" s="696"/>
      <c r="P325" s="696"/>
      <c r="Q325" s="696"/>
      <c r="R325" s="696"/>
      <c r="S325" s="696"/>
      <c r="T325" s="696"/>
      <c r="U325" s="696"/>
      <c r="V325" s="696"/>
      <c r="W325" s="696"/>
      <c r="X325" s="696"/>
      <c r="Y325" s="696"/>
      <c r="Z325" s="696"/>
      <c r="AA325" s="696"/>
      <c r="AB325" s="696"/>
      <c r="AC325" s="696"/>
      <c r="AD325" s="697"/>
      <c r="AE325" s="586"/>
      <c r="AF325" s="586"/>
      <c r="AG325" s="586"/>
      <c r="AH325" s="586"/>
      <c r="AI325" s="586"/>
      <c r="AJ325" s="585"/>
      <c r="AK325" s="585"/>
      <c r="AL325" s="585"/>
      <c r="AM325" s="694"/>
      <c r="AN325" s="30"/>
    </row>
    <row r="326" spans="1:44" hidden="1">
      <c r="A326" s="585"/>
      <c r="B326" s="586"/>
      <c r="C326" s="585"/>
      <c r="D326" s="586"/>
      <c r="E326" s="585"/>
      <c r="F326" s="698"/>
      <c r="G326" s="698"/>
      <c r="H326" s="698"/>
      <c r="I326" s="698"/>
      <c r="J326" s="698"/>
      <c r="K326" s="698"/>
      <c r="L326" s="698"/>
      <c r="M326" s="698"/>
      <c r="N326" s="698"/>
      <c r="O326" s="698"/>
      <c r="P326" s="698"/>
      <c r="Q326" s="698"/>
      <c r="R326" s="698"/>
      <c r="S326" s="698"/>
      <c r="T326" s="698"/>
      <c r="U326" s="698"/>
      <c r="V326" s="698"/>
      <c r="W326" s="698"/>
      <c r="X326" s="698"/>
      <c r="Y326" s="698"/>
      <c r="Z326" s="698"/>
      <c r="AA326" s="698"/>
      <c r="AB326" s="698"/>
      <c r="AC326" s="698"/>
      <c r="AD326" s="698"/>
      <c r="AE326" s="586"/>
      <c r="AF326" s="586"/>
      <c r="AG326" s="586"/>
      <c r="AH326" s="586"/>
      <c r="AI326" s="586"/>
      <c r="AJ326" s="585"/>
      <c r="AK326" s="585"/>
      <c r="AL326" s="585"/>
      <c r="AM326" s="694"/>
      <c r="AN326" s="30"/>
    </row>
    <row r="327" spans="1:44">
      <c r="A327" s="641"/>
      <c r="B327" s="699"/>
      <c r="C327" s="699"/>
      <c r="D327" s="699"/>
      <c r="E327" s="699"/>
      <c r="F327" s="699"/>
      <c r="G327" s="699"/>
      <c r="H327" s="699"/>
      <c r="I327" s="699"/>
      <c r="J327" s="699"/>
      <c r="K327" s="699"/>
      <c r="L327" s="699"/>
      <c r="M327" s="699"/>
      <c r="N327" s="699"/>
      <c r="O327" s="699"/>
      <c r="P327" s="699"/>
      <c r="Q327" s="699"/>
      <c r="R327" s="699"/>
      <c r="S327" s="699"/>
      <c r="T327" s="699"/>
      <c r="U327" s="699"/>
      <c r="V327" s="699"/>
      <c r="W327" s="699"/>
      <c r="X327" s="699"/>
      <c r="Y327" s="699"/>
      <c r="Z327" s="699"/>
      <c r="AA327" s="699"/>
      <c r="AB327" s="699"/>
      <c r="AC327" s="700"/>
      <c r="AD327" s="699"/>
      <c r="AE327" s="599"/>
      <c r="AF327" s="599"/>
      <c r="AG327" s="599"/>
      <c r="AH327" s="599"/>
      <c r="AI327" s="600"/>
      <c r="AJ327" s="600" t="s">
        <v>1624</v>
      </c>
      <c r="AK327" s="1947">
        <f>IF(NOT(OR(Application!M354="Yes",Application!M355="Yes")),0,AP284)</f>
        <v>10</v>
      </c>
      <c r="AL327" s="1948"/>
      <c r="AM327" s="1949"/>
      <c r="AN327" s="30"/>
    </row>
    <row r="328" spans="1:44" s="585" customFormat="1" ht="12.75" customHeight="1" thickBot="1">
      <c r="A328" s="656"/>
      <c r="B328" s="656"/>
      <c r="C328" s="656"/>
      <c r="D328" s="656"/>
      <c r="E328" s="656"/>
      <c r="F328" s="656"/>
      <c r="G328" s="656"/>
      <c r="H328" s="656"/>
      <c r="I328" s="656"/>
      <c r="J328" s="656"/>
      <c r="K328" s="656"/>
      <c r="L328" s="656"/>
      <c r="M328" s="656"/>
      <c r="N328" s="656"/>
      <c r="O328" s="656"/>
      <c r="P328" s="656"/>
      <c r="Q328" s="656"/>
      <c r="R328" s="656"/>
      <c r="S328" s="656"/>
      <c r="T328" s="656"/>
      <c r="U328" s="656"/>
      <c r="V328" s="656"/>
      <c r="W328" s="656"/>
      <c r="X328" s="656"/>
      <c r="Y328" s="656"/>
      <c r="Z328" s="656"/>
      <c r="AA328" s="656"/>
      <c r="AB328" s="656"/>
      <c r="AC328" s="656"/>
      <c r="AD328" s="656"/>
      <c r="AE328" s="656"/>
      <c r="AF328" s="656"/>
      <c r="AG328" s="656"/>
      <c r="AH328" s="656"/>
      <c r="AI328" s="656"/>
      <c r="AJ328" s="656"/>
      <c r="AK328" s="656"/>
      <c r="AL328" s="656"/>
      <c r="AM328" s="656"/>
      <c r="AN328" s="632"/>
    </row>
    <row r="329" spans="1:44" s="58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2"/>
    </row>
    <row r="330" spans="1:44" s="585" customFormat="1" ht="12.75" customHeight="1">
      <c r="A330" s="574" t="s">
        <v>1625</v>
      </c>
      <c r="B330" s="574" t="s">
        <v>873</v>
      </c>
      <c r="C330" s="571"/>
      <c r="AC330" s="574"/>
      <c r="AE330" s="1882" t="s">
        <v>1486</v>
      </c>
      <c r="AF330" s="1882"/>
      <c r="AG330" s="1882"/>
      <c r="AH330" s="1882"/>
      <c r="AI330" s="1882"/>
      <c r="AJ330" s="1882"/>
      <c r="AK330" s="1882"/>
      <c r="AL330" s="574"/>
      <c r="AM330" s="574"/>
      <c r="AN330" s="627"/>
    </row>
    <row r="331" spans="1:44" s="585" customFormat="1" ht="12.75" customHeight="1">
      <c r="A331" s="574"/>
      <c r="B331" s="574"/>
      <c r="C331" s="571"/>
      <c r="AC331" s="574"/>
      <c r="AE331" s="578"/>
      <c r="AF331" s="578"/>
      <c r="AG331" s="578"/>
      <c r="AH331" s="578"/>
      <c r="AI331" s="578"/>
      <c r="AJ331" s="578"/>
      <c r="AK331" s="578"/>
      <c r="AL331" s="574"/>
      <c r="AM331" s="574"/>
      <c r="AN331" s="627"/>
    </row>
    <row r="332" spans="1:44" s="585" customFormat="1" ht="12.75" customHeight="1">
      <c r="A332" s="638"/>
      <c r="B332" s="646"/>
      <c r="C332" s="1986" t="s">
        <v>1626</v>
      </c>
      <c r="D332" s="1986"/>
      <c r="E332" s="1986"/>
      <c r="F332" s="1986"/>
      <c r="G332" s="1986"/>
      <c r="H332" s="1986"/>
      <c r="I332" s="1986"/>
      <c r="J332" s="1986"/>
      <c r="K332" s="1986"/>
      <c r="L332" s="1986"/>
      <c r="M332" s="1986"/>
      <c r="N332" s="1986"/>
      <c r="O332" s="1986"/>
      <c r="P332" s="1986"/>
      <c r="Q332" s="1986"/>
      <c r="R332" s="1986"/>
      <c r="S332" s="1986"/>
      <c r="T332" s="1986"/>
      <c r="U332" s="1986"/>
      <c r="V332" s="1986"/>
      <c r="W332" s="1986"/>
      <c r="X332" s="1986"/>
      <c r="Y332" s="1986"/>
      <c r="Z332" s="1986"/>
      <c r="AA332" s="1986"/>
      <c r="AB332" s="1986"/>
      <c r="AC332" s="1986"/>
      <c r="AD332" s="1986"/>
      <c r="AE332" s="1986"/>
      <c r="AF332" s="1986"/>
      <c r="AG332" s="1986"/>
      <c r="AH332" s="1986"/>
      <c r="AI332" s="1986"/>
      <c r="AJ332" s="1986"/>
      <c r="AK332" s="638"/>
      <c r="AL332" s="638"/>
      <c r="AM332" s="638"/>
      <c r="AN332" s="632"/>
    </row>
    <row r="333" spans="1:44" s="585" customFormat="1" ht="12.75" customHeight="1">
      <c r="A333" s="638"/>
      <c r="B333" s="646"/>
      <c r="C333" s="1986"/>
      <c r="D333" s="1986"/>
      <c r="E333" s="1986"/>
      <c r="F333" s="1986"/>
      <c r="G333" s="1986"/>
      <c r="H333" s="1986"/>
      <c r="I333" s="1986"/>
      <c r="J333" s="1986"/>
      <c r="K333" s="1986"/>
      <c r="L333" s="1986"/>
      <c r="M333" s="1986"/>
      <c r="N333" s="1986"/>
      <c r="O333" s="1986"/>
      <c r="P333" s="1986"/>
      <c r="Q333" s="1986"/>
      <c r="R333" s="1986"/>
      <c r="S333" s="1986"/>
      <c r="T333" s="1986"/>
      <c r="U333" s="1986"/>
      <c r="V333" s="1986"/>
      <c r="W333" s="1986"/>
      <c r="X333" s="1986"/>
      <c r="Y333" s="1986"/>
      <c r="Z333" s="1986"/>
      <c r="AA333" s="1986"/>
      <c r="AB333" s="1986"/>
      <c r="AC333" s="1986"/>
      <c r="AD333" s="1986"/>
      <c r="AE333" s="1986"/>
      <c r="AF333" s="1986"/>
      <c r="AG333" s="1986"/>
      <c r="AH333" s="1986"/>
      <c r="AI333" s="1986"/>
      <c r="AJ333" s="1986"/>
      <c r="AK333" s="638"/>
      <c r="AL333" s="638"/>
      <c r="AM333" s="638"/>
      <c r="AN333" s="632"/>
    </row>
    <row r="334" spans="1:44" s="585" customFormat="1" ht="12.75" customHeight="1">
      <c r="A334" s="638"/>
      <c r="B334" s="646"/>
      <c r="C334" s="1986"/>
      <c r="D334" s="1986"/>
      <c r="E334" s="1986"/>
      <c r="F334" s="1986"/>
      <c r="G334" s="1986"/>
      <c r="H334" s="1986"/>
      <c r="I334" s="1986"/>
      <c r="J334" s="1986"/>
      <c r="K334" s="1986"/>
      <c r="L334" s="1986"/>
      <c r="M334" s="1986"/>
      <c r="N334" s="1986"/>
      <c r="O334" s="1986"/>
      <c r="P334" s="1986"/>
      <c r="Q334" s="1986"/>
      <c r="R334" s="1986"/>
      <c r="S334" s="1986"/>
      <c r="T334" s="1986"/>
      <c r="U334" s="1986"/>
      <c r="V334" s="1986"/>
      <c r="W334" s="1986"/>
      <c r="X334" s="1986"/>
      <c r="Y334" s="1986"/>
      <c r="Z334" s="1986"/>
      <c r="AA334" s="1986"/>
      <c r="AB334" s="1986"/>
      <c r="AC334" s="1986"/>
      <c r="AD334" s="1986"/>
      <c r="AE334" s="1986"/>
      <c r="AF334" s="1986"/>
      <c r="AG334" s="1986"/>
      <c r="AH334" s="1986"/>
      <c r="AI334" s="1986"/>
      <c r="AJ334" s="1986"/>
      <c r="AK334" s="638"/>
      <c r="AL334" s="638"/>
      <c r="AM334" s="638"/>
      <c r="AN334" s="632"/>
      <c r="AQ334" s="605"/>
    </row>
    <row r="335" spans="1:44" s="585" customFormat="1" ht="12.75" customHeight="1">
      <c r="A335" s="638"/>
      <c r="B335" s="646"/>
      <c r="C335" s="1986"/>
      <c r="D335" s="1986"/>
      <c r="E335" s="1986"/>
      <c r="F335" s="1986"/>
      <c r="G335" s="1986"/>
      <c r="H335" s="1986"/>
      <c r="I335" s="1986"/>
      <c r="J335" s="1986"/>
      <c r="K335" s="1986"/>
      <c r="L335" s="1986"/>
      <c r="M335" s="1986"/>
      <c r="N335" s="1986"/>
      <c r="O335" s="1986"/>
      <c r="P335" s="1986"/>
      <c r="Q335" s="1986"/>
      <c r="R335" s="1986"/>
      <c r="S335" s="1986"/>
      <c r="T335" s="1986"/>
      <c r="U335" s="1986"/>
      <c r="V335" s="1986"/>
      <c r="W335" s="1986"/>
      <c r="X335" s="1986"/>
      <c r="Y335" s="1986"/>
      <c r="Z335" s="1986"/>
      <c r="AA335" s="1986"/>
      <c r="AB335" s="1986"/>
      <c r="AC335" s="1986"/>
      <c r="AD335" s="1986"/>
      <c r="AE335" s="1986"/>
      <c r="AF335" s="1986"/>
      <c r="AG335" s="1986"/>
      <c r="AH335" s="1986"/>
      <c r="AI335" s="1986"/>
      <c r="AJ335" s="1986"/>
      <c r="AK335" s="638"/>
      <c r="AL335" s="638"/>
      <c r="AM335" s="638"/>
      <c r="AN335" s="632"/>
      <c r="AQ335" s="605"/>
    </row>
    <row r="336" spans="1:44" s="585" customFormat="1" ht="12.4" customHeight="1">
      <c r="A336" s="638"/>
      <c r="B336" s="646"/>
      <c r="C336" s="1986"/>
      <c r="D336" s="1986"/>
      <c r="E336" s="1986"/>
      <c r="F336" s="1986"/>
      <c r="G336" s="1986"/>
      <c r="H336" s="1986"/>
      <c r="I336" s="1986"/>
      <c r="J336" s="1986"/>
      <c r="K336" s="1986"/>
      <c r="L336" s="1986"/>
      <c r="M336" s="1986"/>
      <c r="N336" s="1986"/>
      <c r="O336" s="1986"/>
      <c r="P336" s="1986"/>
      <c r="Q336" s="1986"/>
      <c r="R336" s="1986"/>
      <c r="S336" s="1986"/>
      <c r="T336" s="1986"/>
      <c r="U336" s="1986"/>
      <c r="V336" s="1986"/>
      <c r="W336" s="1986"/>
      <c r="X336" s="1986"/>
      <c r="Y336" s="1986"/>
      <c r="Z336" s="1986"/>
      <c r="AA336" s="1986"/>
      <c r="AB336" s="1986"/>
      <c r="AC336" s="1986"/>
      <c r="AD336" s="1986"/>
      <c r="AE336" s="1986"/>
      <c r="AF336" s="1986"/>
      <c r="AG336" s="1986"/>
      <c r="AH336" s="1986"/>
      <c r="AI336" s="1986"/>
      <c r="AJ336" s="1986"/>
      <c r="AK336" s="638"/>
      <c r="AL336" s="638"/>
      <c r="AM336" s="638"/>
      <c r="AN336" s="632"/>
      <c r="AQ336" s="605"/>
      <c r="AR336" s="605"/>
    </row>
    <row r="337" spans="1:46" s="585" customFormat="1" ht="45.75" customHeight="1">
      <c r="A337" s="638"/>
      <c r="B337" s="646"/>
      <c r="C337" s="1986" t="s">
        <v>2516</v>
      </c>
      <c r="D337" s="1986"/>
      <c r="E337" s="1986"/>
      <c r="F337" s="1986"/>
      <c r="G337" s="1986"/>
      <c r="H337" s="1986"/>
      <c r="I337" s="1986"/>
      <c r="J337" s="1986"/>
      <c r="K337" s="1986"/>
      <c r="L337" s="1986"/>
      <c r="M337" s="1986"/>
      <c r="N337" s="1986"/>
      <c r="O337" s="1986"/>
      <c r="P337" s="1986"/>
      <c r="Q337" s="1986"/>
      <c r="R337" s="1986"/>
      <c r="S337" s="1986"/>
      <c r="T337" s="1986"/>
      <c r="U337" s="1986"/>
      <c r="V337" s="1986"/>
      <c r="W337" s="1986"/>
      <c r="X337" s="1986"/>
      <c r="Y337" s="1986"/>
      <c r="Z337" s="1986"/>
      <c r="AA337" s="1986"/>
      <c r="AB337" s="1986"/>
      <c r="AC337" s="1986"/>
      <c r="AD337" s="1986"/>
      <c r="AE337" s="1986"/>
      <c r="AF337" s="1986"/>
      <c r="AG337" s="1986"/>
      <c r="AH337" s="1986"/>
      <c r="AI337" s="1986"/>
      <c r="AJ337" s="1986"/>
      <c r="AK337" s="638"/>
      <c r="AL337" s="638"/>
      <c r="AM337" s="638"/>
      <c r="AN337" s="632"/>
      <c r="AQ337" s="605"/>
      <c r="AR337" s="605"/>
    </row>
    <row r="338" spans="1:46" s="585" customFormat="1" ht="12.4" customHeight="1">
      <c r="A338" s="638"/>
      <c r="B338" s="646"/>
      <c r="C338" s="728"/>
      <c r="D338" s="728"/>
      <c r="E338" s="728"/>
      <c r="F338" s="728"/>
      <c r="G338" s="728"/>
      <c r="H338" s="728"/>
      <c r="I338" s="728"/>
      <c r="J338" s="728"/>
      <c r="K338" s="728"/>
      <c r="L338" s="728"/>
      <c r="M338" s="728"/>
      <c r="N338" s="728"/>
      <c r="O338" s="728"/>
      <c r="P338" s="728"/>
      <c r="Q338" s="728"/>
      <c r="R338" s="728"/>
      <c r="S338" s="728"/>
      <c r="T338" s="728"/>
      <c r="U338" s="728"/>
      <c r="V338" s="728"/>
      <c r="W338" s="728"/>
      <c r="X338" s="728"/>
      <c r="Y338" s="728"/>
      <c r="Z338" s="728"/>
      <c r="AA338" s="728"/>
      <c r="AB338" s="728"/>
      <c r="AC338" s="728"/>
      <c r="AD338" s="728"/>
      <c r="AE338" s="728"/>
      <c r="AF338" s="728"/>
      <c r="AG338" s="728"/>
      <c r="AH338" s="728"/>
      <c r="AI338" s="728"/>
      <c r="AJ338" s="728"/>
      <c r="AK338" s="638"/>
      <c r="AL338" s="638"/>
      <c r="AM338" s="638"/>
      <c r="AN338" s="632"/>
      <c r="AQ338" s="605"/>
      <c r="AR338" s="605"/>
    </row>
    <row r="339" spans="1:46" s="585" customFormat="1" ht="12.75" customHeight="1">
      <c r="A339" s="638"/>
      <c r="B339" s="646"/>
      <c r="C339" s="1986" t="s">
        <v>2127</v>
      </c>
      <c r="D339" s="1986"/>
      <c r="E339" s="1986"/>
      <c r="F339" s="1986"/>
      <c r="G339" s="1986"/>
      <c r="H339" s="1986"/>
      <c r="I339" s="1986"/>
      <c r="J339" s="1986"/>
      <c r="K339" s="1986"/>
      <c r="L339" s="1986"/>
      <c r="M339" s="1986"/>
      <c r="N339" s="1986"/>
      <c r="O339" s="1986"/>
      <c r="P339" s="1986"/>
      <c r="Q339" s="1986"/>
      <c r="R339" s="1986"/>
      <c r="S339" s="1986"/>
      <c r="T339" s="1986"/>
      <c r="U339" s="1986"/>
      <c r="V339" s="1986"/>
      <c r="W339" s="1986"/>
      <c r="X339" s="1986"/>
      <c r="Y339" s="1986"/>
      <c r="Z339" s="1986"/>
      <c r="AA339" s="1986"/>
      <c r="AB339" s="1986"/>
      <c r="AC339" s="1986"/>
      <c r="AD339" s="1986"/>
      <c r="AE339" s="1986"/>
      <c r="AF339" s="1986"/>
      <c r="AG339" s="1986"/>
      <c r="AH339" s="1986"/>
      <c r="AI339" s="1986"/>
      <c r="AJ339" s="1986"/>
      <c r="AK339" s="638"/>
      <c r="AL339" s="638"/>
      <c r="AM339" s="638"/>
      <c r="AN339" s="632"/>
      <c r="AQ339" s="605"/>
      <c r="AR339" s="605"/>
    </row>
    <row r="340" spans="1:46" s="585" customFormat="1" ht="30" customHeight="1">
      <c r="A340" s="638"/>
      <c r="B340" s="646"/>
      <c r="C340" s="1986"/>
      <c r="D340" s="1986"/>
      <c r="E340" s="1986"/>
      <c r="F340" s="1986"/>
      <c r="G340" s="1986"/>
      <c r="H340" s="1986"/>
      <c r="I340" s="1986"/>
      <c r="J340" s="1986"/>
      <c r="K340" s="1986"/>
      <c r="L340" s="1986"/>
      <c r="M340" s="1986"/>
      <c r="N340" s="1986"/>
      <c r="O340" s="1986"/>
      <c r="P340" s="1986"/>
      <c r="Q340" s="1986"/>
      <c r="R340" s="1986"/>
      <c r="S340" s="1986"/>
      <c r="T340" s="1986"/>
      <c r="U340" s="1986"/>
      <c r="V340" s="1986"/>
      <c r="W340" s="1986"/>
      <c r="X340" s="1986"/>
      <c r="Y340" s="1986"/>
      <c r="Z340" s="1986"/>
      <c r="AA340" s="1986"/>
      <c r="AB340" s="1986"/>
      <c r="AC340" s="1986"/>
      <c r="AD340" s="1986"/>
      <c r="AE340" s="1986"/>
      <c r="AF340" s="1986"/>
      <c r="AG340" s="1986"/>
      <c r="AH340" s="1986"/>
      <c r="AI340" s="1986"/>
      <c r="AJ340" s="1986"/>
      <c r="AK340" s="638"/>
      <c r="AL340" s="638"/>
      <c r="AM340" s="638"/>
      <c r="AN340" s="632"/>
      <c r="AR340" s="605"/>
    </row>
    <row r="341" spans="1:46" s="585" customFormat="1" ht="12.75" customHeight="1">
      <c r="A341" s="638"/>
      <c r="B341" s="646"/>
      <c r="C341" s="1986"/>
      <c r="D341" s="1986"/>
      <c r="E341" s="1986"/>
      <c r="F341" s="1986"/>
      <c r="G341" s="1986"/>
      <c r="H341" s="1986"/>
      <c r="I341" s="1986"/>
      <c r="J341" s="1986"/>
      <c r="K341" s="1986"/>
      <c r="L341" s="1986"/>
      <c r="M341" s="1986"/>
      <c r="N341" s="1986"/>
      <c r="O341" s="1986"/>
      <c r="P341" s="1986"/>
      <c r="Q341" s="1986"/>
      <c r="R341" s="1986"/>
      <c r="S341" s="1986"/>
      <c r="T341" s="1986"/>
      <c r="U341" s="1986"/>
      <c r="V341" s="1986"/>
      <c r="W341" s="1986"/>
      <c r="X341" s="1986"/>
      <c r="Y341" s="1986"/>
      <c r="Z341" s="1986"/>
      <c r="AA341" s="1986"/>
      <c r="AB341" s="1986"/>
      <c r="AC341" s="1986"/>
      <c r="AD341" s="1986"/>
      <c r="AE341" s="1986"/>
      <c r="AF341" s="1986"/>
      <c r="AG341" s="1986"/>
      <c r="AH341" s="1986"/>
      <c r="AI341" s="1986"/>
      <c r="AJ341" s="1986"/>
      <c r="AK341" s="638"/>
      <c r="AL341" s="638"/>
      <c r="AM341" s="638"/>
      <c r="AN341" s="632"/>
      <c r="AR341" s="605"/>
    </row>
    <row r="342" spans="1:46" s="585" customFormat="1" ht="12.75" customHeight="1">
      <c r="A342" s="638"/>
      <c r="B342" s="646"/>
      <c r="C342" s="1986" t="s">
        <v>1627</v>
      </c>
      <c r="D342" s="1986"/>
      <c r="E342" s="1986"/>
      <c r="F342" s="1986"/>
      <c r="G342" s="1986"/>
      <c r="H342" s="1986"/>
      <c r="I342" s="1986"/>
      <c r="J342" s="1986"/>
      <c r="K342" s="1986"/>
      <c r="L342" s="1986"/>
      <c r="M342" s="1986"/>
      <c r="N342" s="1986"/>
      <c r="O342" s="1986"/>
      <c r="P342" s="1986"/>
      <c r="Q342" s="1986"/>
      <c r="R342" s="1986"/>
      <c r="S342" s="1986"/>
      <c r="T342" s="1986"/>
      <c r="U342" s="1986"/>
      <c r="V342" s="1986"/>
      <c r="W342" s="1986"/>
      <c r="X342" s="1986"/>
      <c r="Y342" s="1986"/>
      <c r="Z342" s="1986"/>
      <c r="AA342" s="1986"/>
      <c r="AB342" s="1986"/>
      <c r="AC342" s="1986"/>
      <c r="AD342" s="1986"/>
      <c r="AE342" s="1986"/>
      <c r="AF342" s="1986"/>
      <c r="AG342" s="1986"/>
      <c r="AH342" s="1986"/>
      <c r="AI342" s="1986"/>
      <c r="AJ342" s="1986"/>
      <c r="AK342" s="638"/>
      <c r="AL342" s="638"/>
      <c r="AM342" s="638"/>
      <c r="AN342" s="632"/>
      <c r="AQ342" s="605"/>
      <c r="AR342" s="605"/>
    </row>
    <row r="343" spans="1:46" s="585" customFormat="1" ht="12.75" customHeight="1">
      <c r="A343" s="638"/>
      <c r="B343" s="646"/>
      <c r="C343" s="1986"/>
      <c r="D343" s="1986"/>
      <c r="E343" s="1986"/>
      <c r="F343" s="1986"/>
      <c r="G343" s="1986"/>
      <c r="H343" s="1986"/>
      <c r="I343" s="1986"/>
      <c r="J343" s="1986"/>
      <c r="K343" s="1986"/>
      <c r="L343" s="1986"/>
      <c r="M343" s="1986"/>
      <c r="N343" s="1986"/>
      <c r="O343" s="1986"/>
      <c r="P343" s="1986"/>
      <c r="Q343" s="1986"/>
      <c r="R343" s="1986"/>
      <c r="S343" s="1986"/>
      <c r="T343" s="1986"/>
      <c r="U343" s="1986"/>
      <c r="V343" s="1986"/>
      <c r="W343" s="1986"/>
      <c r="X343" s="1986"/>
      <c r="Y343" s="1986"/>
      <c r="Z343" s="1986"/>
      <c r="AA343" s="1986"/>
      <c r="AB343" s="1986"/>
      <c r="AC343" s="1986"/>
      <c r="AD343" s="1986"/>
      <c r="AE343" s="1986"/>
      <c r="AF343" s="1986"/>
      <c r="AG343" s="1986"/>
      <c r="AH343" s="1986"/>
      <c r="AI343" s="1986"/>
      <c r="AJ343" s="1986"/>
      <c r="AK343" s="638"/>
      <c r="AL343" s="638"/>
      <c r="AM343" s="638"/>
      <c r="AN343" s="632"/>
      <c r="AQ343" s="605"/>
      <c r="AR343" s="605"/>
    </row>
    <row r="344" spans="1:46" s="585" customFormat="1" ht="13.15" customHeight="1">
      <c r="A344" s="638"/>
      <c r="B344" s="646"/>
      <c r="C344" s="1986"/>
      <c r="D344" s="1986"/>
      <c r="E344" s="1986"/>
      <c r="F344" s="1986"/>
      <c r="G344" s="1986"/>
      <c r="H344" s="1986"/>
      <c r="I344" s="1986"/>
      <c r="J344" s="1986"/>
      <c r="K344" s="1986"/>
      <c r="L344" s="1986"/>
      <c r="M344" s="1986"/>
      <c r="N344" s="1986"/>
      <c r="O344" s="1986"/>
      <c r="P344" s="1986"/>
      <c r="Q344" s="1986"/>
      <c r="R344" s="1986"/>
      <c r="S344" s="1986"/>
      <c r="T344" s="1986"/>
      <c r="U344" s="1986"/>
      <c r="V344" s="1986"/>
      <c r="W344" s="1986"/>
      <c r="X344" s="1986"/>
      <c r="Y344" s="1986"/>
      <c r="Z344" s="1986"/>
      <c r="AA344" s="1986"/>
      <c r="AB344" s="1986"/>
      <c r="AC344" s="1986"/>
      <c r="AD344" s="1986"/>
      <c r="AE344" s="1986"/>
      <c r="AF344" s="1986"/>
      <c r="AG344" s="1986"/>
      <c r="AH344" s="1986"/>
      <c r="AI344" s="1986"/>
      <c r="AJ344" s="1986"/>
      <c r="AK344" s="638"/>
      <c r="AL344" s="638"/>
      <c r="AM344" s="638"/>
      <c r="AN344" s="632"/>
      <c r="AQ344" s="605"/>
      <c r="AR344" s="605"/>
    </row>
    <row r="345" spans="1:46" s="585" customFormat="1" ht="12.75" customHeight="1">
      <c r="A345" s="638"/>
      <c r="B345" s="646"/>
      <c r="C345" s="1986"/>
      <c r="D345" s="1986"/>
      <c r="E345" s="1986"/>
      <c r="F345" s="1986"/>
      <c r="G345" s="1986"/>
      <c r="H345" s="1986"/>
      <c r="I345" s="1986"/>
      <c r="J345" s="1986"/>
      <c r="K345" s="1986"/>
      <c r="L345" s="1986"/>
      <c r="M345" s="1986"/>
      <c r="N345" s="1986"/>
      <c r="O345" s="1986"/>
      <c r="P345" s="1986"/>
      <c r="Q345" s="1986"/>
      <c r="R345" s="1986"/>
      <c r="S345" s="1986"/>
      <c r="T345" s="1986"/>
      <c r="U345" s="1986"/>
      <c r="V345" s="1986"/>
      <c r="W345" s="1986"/>
      <c r="X345" s="1986"/>
      <c r="Y345" s="1986"/>
      <c r="Z345" s="1986"/>
      <c r="AA345" s="1986"/>
      <c r="AB345" s="1986"/>
      <c r="AC345" s="1986"/>
      <c r="AD345" s="1986"/>
      <c r="AE345" s="1986"/>
      <c r="AF345" s="1986"/>
      <c r="AG345" s="1986"/>
      <c r="AH345" s="1986"/>
      <c r="AI345" s="1986"/>
      <c r="AJ345" s="1986"/>
      <c r="AK345" s="638"/>
      <c r="AL345" s="638"/>
      <c r="AM345" s="638"/>
      <c r="AN345" s="632"/>
      <c r="AO345" s="729"/>
      <c r="AP345" s="729"/>
      <c r="AQ345" s="605"/>
    </row>
    <row r="346" spans="1:46" s="585" customFormat="1" ht="11.85" customHeight="1">
      <c r="A346" s="638"/>
      <c r="B346" s="646"/>
      <c r="C346" s="1986"/>
      <c r="D346" s="1986"/>
      <c r="E346" s="1986"/>
      <c r="F346" s="1986"/>
      <c r="G346" s="1986"/>
      <c r="H346" s="1986"/>
      <c r="I346" s="1986"/>
      <c r="J346" s="1986"/>
      <c r="K346" s="1986"/>
      <c r="L346" s="1986"/>
      <c r="M346" s="1986"/>
      <c r="N346" s="1986"/>
      <c r="O346" s="1986"/>
      <c r="P346" s="1986"/>
      <c r="Q346" s="1986"/>
      <c r="R346" s="1986"/>
      <c r="S346" s="1986"/>
      <c r="T346" s="1986"/>
      <c r="U346" s="1986"/>
      <c r="V346" s="1986"/>
      <c r="W346" s="1986"/>
      <c r="X346" s="1986"/>
      <c r="Y346" s="1986"/>
      <c r="Z346" s="1986"/>
      <c r="AA346" s="1986"/>
      <c r="AB346" s="1986"/>
      <c r="AC346" s="1986"/>
      <c r="AD346" s="1986"/>
      <c r="AE346" s="1986"/>
      <c r="AF346" s="1986"/>
      <c r="AG346" s="1986"/>
      <c r="AH346" s="1986"/>
      <c r="AI346" s="1986"/>
      <c r="AJ346" s="1986"/>
      <c r="AK346" s="638"/>
      <c r="AL346" s="638"/>
      <c r="AM346" s="638"/>
      <c r="AN346" s="632"/>
      <c r="AO346" s="730" t="s">
        <v>113</v>
      </c>
      <c r="AP346" s="731">
        <f>IF(C370="Yes",5,0)</f>
        <v>0</v>
      </c>
      <c r="AS346" s="574" t="s">
        <v>1628</v>
      </c>
    </row>
    <row r="347" spans="1:46" s="585" customFormat="1" ht="12.75" customHeight="1">
      <c r="A347" s="638"/>
      <c r="B347" s="646"/>
      <c r="C347" s="1986"/>
      <c r="D347" s="1986"/>
      <c r="E347" s="1986"/>
      <c r="F347" s="1986"/>
      <c r="G347" s="1986"/>
      <c r="H347" s="1986"/>
      <c r="I347" s="1986"/>
      <c r="J347" s="1986"/>
      <c r="K347" s="1986"/>
      <c r="L347" s="1986"/>
      <c r="M347" s="1986"/>
      <c r="N347" s="1986"/>
      <c r="O347" s="1986"/>
      <c r="P347" s="1986"/>
      <c r="Q347" s="1986"/>
      <c r="R347" s="1986"/>
      <c r="S347" s="1986"/>
      <c r="T347" s="1986"/>
      <c r="U347" s="1986"/>
      <c r="V347" s="1986"/>
      <c r="W347" s="1986"/>
      <c r="X347" s="1986"/>
      <c r="Y347" s="1986"/>
      <c r="Z347" s="1986"/>
      <c r="AA347" s="1986"/>
      <c r="AB347" s="1986"/>
      <c r="AC347" s="1986"/>
      <c r="AD347" s="1986"/>
      <c r="AE347" s="1986"/>
      <c r="AF347" s="1986"/>
      <c r="AG347" s="1986"/>
      <c r="AH347" s="1986"/>
      <c r="AI347" s="1986"/>
      <c r="AJ347" s="1986"/>
      <c r="AK347" s="638"/>
      <c r="AL347" s="638"/>
      <c r="AM347" s="638"/>
      <c r="AN347" s="632"/>
      <c r="AO347" s="730" t="s">
        <v>114</v>
      </c>
      <c r="AP347" s="731">
        <f>IF(C378="Yes",5,0)</f>
        <v>0</v>
      </c>
      <c r="AS347" s="2003">
        <f>IF(Application!D210="Non-Targeted",(SUM(AQ355+AQ364)),AS351)</f>
        <v>10</v>
      </c>
      <c r="AT347" s="2003"/>
    </row>
    <row r="348" spans="1:46" s="585" customFormat="1" ht="12.75" customHeight="1">
      <c r="A348" s="638"/>
      <c r="B348" s="646"/>
      <c r="C348" s="1986"/>
      <c r="D348" s="1986"/>
      <c r="E348" s="1986"/>
      <c r="F348" s="1986"/>
      <c r="G348" s="1986"/>
      <c r="H348" s="1986"/>
      <c r="I348" s="1986"/>
      <c r="J348" s="1986"/>
      <c r="K348" s="1986"/>
      <c r="L348" s="1986"/>
      <c r="M348" s="1986"/>
      <c r="N348" s="1986"/>
      <c r="O348" s="1986"/>
      <c r="P348" s="1986"/>
      <c r="Q348" s="1986"/>
      <c r="R348" s="1986"/>
      <c r="S348" s="1986"/>
      <c r="T348" s="1986"/>
      <c r="U348" s="1986"/>
      <c r="V348" s="1986"/>
      <c r="W348" s="1986"/>
      <c r="X348" s="1986"/>
      <c r="Y348" s="1986"/>
      <c r="Z348" s="1986"/>
      <c r="AA348" s="1986"/>
      <c r="AB348" s="1986"/>
      <c r="AC348" s="1986"/>
      <c r="AD348" s="1986"/>
      <c r="AE348" s="1986"/>
      <c r="AF348" s="1986"/>
      <c r="AG348" s="1986"/>
      <c r="AH348" s="1986"/>
      <c r="AI348" s="1986"/>
      <c r="AJ348" s="1986"/>
      <c r="AK348" s="638"/>
      <c r="AL348" s="638"/>
      <c r="AM348" s="638"/>
      <c r="AN348" s="632"/>
      <c r="AO348" s="730" t="s">
        <v>120</v>
      </c>
      <c r="AP348" s="731">
        <f>IF(C386="Yes",7,0)</f>
        <v>7</v>
      </c>
      <c r="AS348" s="574" t="s">
        <v>1629</v>
      </c>
    </row>
    <row r="349" spans="1:46" s="585" customFormat="1" ht="12.75" customHeight="1">
      <c r="A349" s="638"/>
      <c r="B349" s="646"/>
      <c r="C349" s="1986"/>
      <c r="D349" s="1986"/>
      <c r="E349" s="1986"/>
      <c r="F349" s="1986"/>
      <c r="G349" s="1986"/>
      <c r="H349" s="1986"/>
      <c r="I349" s="1986"/>
      <c r="J349" s="1986"/>
      <c r="K349" s="1986"/>
      <c r="L349" s="1986"/>
      <c r="M349" s="1986"/>
      <c r="N349" s="1986"/>
      <c r="O349" s="1986"/>
      <c r="P349" s="1986"/>
      <c r="Q349" s="1986"/>
      <c r="R349" s="1986"/>
      <c r="S349" s="1986"/>
      <c r="T349" s="1986"/>
      <c r="U349" s="1986"/>
      <c r="V349" s="1986"/>
      <c r="W349" s="1986"/>
      <c r="X349" s="1986"/>
      <c r="Y349" s="1986"/>
      <c r="Z349" s="1986"/>
      <c r="AA349" s="1986"/>
      <c r="AB349" s="1986"/>
      <c r="AC349" s="1986"/>
      <c r="AD349" s="1986"/>
      <c r="AE349" s="1986"/>
      <c r="AF349" s="1986"/>
      <c r="AG349" s="1986"/>
      <c r="AH349" s="1986"/>
      <c r="AI349" s="1986"/>
      <c r="AJ349" s="1986"/>
      <c r="AK349" s="638"/>
      <c r="AL349" s="638"/>
      <c r="AM349" s="638"/>
      <c r="AN349" s="632"/>
      <c r="AO349" s="632"/>
      <c r="AP349" s="731">
        <f>IF(C388="Yes",5,0)</f>
        <v>0</v>
      </c>
      <c r="AS349" s="2003">
        <f>IF(AND(AQ355&gt;0,AQ364&gt;0),(AQ355+AQ364)/2,0)</f>
        <v>0</v>
      </c>
      <c r="AT349" s="2003"/>
    </row>
    <row r="350" spans="1:46" s="585" customFormat="1" ht="12.75" customHeight="1">
      <c r="A350" s="638"/>
      <c r="B350" s="646"/>
      <c r="C350" s="1986"/>
      <c r="D350" s="1986"/>
      <c r="E350" s="1986"/>
      <c r="F350" s="1986"/>
      <c r="G350" s="1986"/>
      <c r="H350" s="1986"/>
      <c r="I350" s="1986"/>
      <c r="J350" s="1986"/>
      <c r="K350" s="1986"/>
      <c r="L350" s="1986"/>
      <c r="M350" s="1986"/>
      <c r="N350" s="1986"/>
      <c r="O350" s="1986"/>
      <c r="P350" s="1986"/>
      <c r="Q350" s="1986"/>
      <c r="R350" s="1986"/>
      <c r="S350" s="1986"/>
      <c r="T350" s="1986"/>
      <c r="U350" s="1986"/>
      <c r="V350" s="1986"/>
      <c r="W350" s="1986"/>
      <c r="X350" s="1986"/>
      <c r="Y350" s="1986"/>
      <c r="Z350" s="1986"/>
      <c r="AA350" s="1986"/>
      <c r="AB350" s="1986"/>
      <c r="AC350" s="1986"/>
      <c r="AD350" s="1986"/>
      <c r="AE350" s="1986"/>
      <c r="AF350" s="1986"/>
      <c r="AG350" s="1986"/>
      <c r="AH350" s="1986"/>
      <c r="AI350" s="1986"/>
      <c r="AJ350" s="1986"/>
      <c r="AK350" s="638"/>
      <c r="AL350" s="638"/>
      <c r="AM350" s="638"/>
      <c r="AN350" s="632"/>
      <c r="AO350" s="730" t="s">
        <v>590</v>
      </c>
      <c r="AP350" s="731">
        <f>IF(C396="Yes",5,0)</f>
        <v>0</v>
      </c>
      <c r="AS350" s="574" t="s">
        <v>2144</v>
      </c>
    </row>
    <row r="351" spans="1:46" s="585" customFormat="1" ht="12.75" customHeight="1">
      <c r="A351" s="638"/>
      <c r="B351" s="646"/>
      <c r="C351" s="2004" t="s">
        <v>1630</v>
      </c>
      <c r="D351" s="2004"/>
      <c r="E351" s="2004"/>
      <c r="F351" s="2004"/>
      <c r="G351" s="2004"/>
      <c r="H351" s="2004"/>
      <c r="I351" s="2004"/>
      <c r="J351" s="2004"/>
      <c r="K351" s="2004"/>
      <c r="L351" s="2004"/>
      <c r="M351" s="2004"/>
      <c r="N351" s="2004"/>
      <c r="O351" s="2004"/>
      <c r="P351" s="2004"/>
      <c r="Q351" s="2004"/>
      <c r="R351" s="2004"/>
      <c r="S351" s="2004"/>
      <c r="T351" s="2004"/>
      <c r="U351" s="2004"/>
      <c r="V351" s="2004"/>
      <c r="W351" s="2004"/>
      <c r="X351" s="2004"/>
      <c r="Y351" s="2004"/>
      <c r="Z351" s="2004"/>
      <c r="AA351" s="2004"/>
      <c r="AB351" s="2004"/>
      <c r="AC351" s="2004"/>
      <c r="AD351" s="2004"/>
      <c r="AE351" s="2004"/>
      <c r="AF351" s="2004"/>
      <c r="AG351" s="2004"/>
      <c r="AH351" s="2004"/>
      <c r="AI351" s="2004"/>
      <c r="AJ351" s="2004"/>
      <c r="AK351" s="638"/>
      <c r="AL351" s="638"/>
      <c r="AM351" s="638"/>
      <c r="AN351" s="632"/>
      <c r="AO351" s="632"/>
      <c r="AP351" s="731">
        <f>IF(C398="Yes",3,0)</f>
        <v>3</v>
      </c>
      <c r="AS351" s="2003">
        <f>IF(AQ355=0,AQ364,AQ355)</f>
        <v>10</v>
      </c>
      <c r="AT351" s="2003"/>
    </row>
    <row r="352" spans="1:46" s="585" customFormat="1" ht="12.75" customHeight="1">
      <c r="A352" s="638"/>
      <c r="B352" s="646"/>
      <c r="C352" s="2004"/>
      <c r="D352" s="2004"/>
      <c r="E352" s="2004"/>
      <c r="F352" s="2004"/>
      <c r="G352" s="2004"/>
      <c r="H352" s="2004"/>
      <c r="I352" s="2004"/>
      <c r="J352" s="2004"/>
      <c r="K352" s="2004"/>
      <c r="L352" s="2004"/>
      <c r="M352" s="2004"/>
      <c r="N352" s="2004"/>
      <c r="O352" s="2004"/>
      <c r="P352" s="2004"/>
      <c r="Q352" s="2004"/>
      <c r="R352" s="2004"/>
      <c r="S352" s="2004"/>
      <c r="T352" s="2004"/>
      <c r="U352" s="2004"/>
      <c r="V352" s="2004"/>
      <c r="W352" s="2004"/>
      <c r="X352" s="2004"/>
      <c r="Y352" s="2004"/>
      <c r="Z352" s="2004"/>
      <c r="AA352" s="2004"/>
      <c r="AB352" s="2004"/>
      <c r="AC352" s="2004"/>
      <c r="AD352" s="2004"/>
      <c r="AE352" s="2004"/>
      <c r="AF352" s="2004"/>
      <c r="AG352" s="2004"/>
      <c r="AH352" s="2004"/>
      <c r="AI352" s="2004"/>
      <c r="AJ352" s="2004"/>
      <c r="AK352" s="638"/>
      <c r="AL352" s="638"/>
      <c r="AM352" s="638"/>
      <c r="AN352" s="632"/>
      <c r="AO352" s="730" t="s">
        <v>787</v>
      </c>
      <c r="AP352" s="731">
        <f>IF(C401="Yes",5,0)</f>
        <v>0</v>
      </c>
    </row>
    <row r="353" spans="1:81" s="585" customFormat="1" ht="12.75" customHeight="1">
      <c r="A353" s="638"/>
      <c r="B353" s="646"/>
      <c r="C353" s="2004"/>
      <c r="D353" s="2004"/>
      <c r="E353" s="2004"/>
      <c r="F353" s="2004"/>
      <c r="G353" s="2004"/>
      <c r="H353" s="2004"/>
      <c r="I353" s="2004"/>
      <c r="J353" s="2004"/>
      <c r="K353" s="2004"/>
      <c r="L353" s="2004"/>
      <c r="M353" s="2004"/>
      <c r="N353" s="2004"/>
      <c r="O353" s="2004"/>
      <c r="P353" s="2004"/>
      <c r="Q353" s="2004"/>
      <c r="R353" s="2004"/>
      <c r="S353" s="2004"/>
      <c r="T353" s="2004"/>
      <c r="U353" s="2004"/>
      <c r="V353" s="2004"/>
      <c r="W353" s="2004"/>
      <c r="X353" s="2004"/>
      <c r="Y353" s="2004"/>
      <c r="Z353" s="2004"/>
      <c r="AA353" s="2004"/>
      <c r="AB353" s="2004"/>
      <c r="AC353" s="2004"/>
      <c r="AD353" s="2004"/>
      <c r="AE353" s="2004"/>
      <c r="AF353" s="2004"/>
      <c r="AG353" s="2004"/>
      <c r="AH353" s="2004"/>
      <c r="AI353" s="2004"/>
      <c r="AJ353" s="2004"/>
      <c r="AK353" s="638"/>
      <c r="AL353" s="638"/>
      <c r="AM353" s="638"/>
      <c r="AN353" s="632"/>
      <c r="AO353" s="730" t="s">
        <v>593</v>
      </c>
      <c r="AP353" s="731">
        <f>IF(C410="Yes",5,0)</f>
        <v>0</v>
      </c>
    </row>
    <row r="354" spans="1:81" s="585" customFormat="1" ht="11.85" customHeight="1">
      <c r="A354" s="638"/>
      <c r="B354" s="646"/>
      <c r="C354" s="2004"/>
      <c r="D354" s="2004"/>
      <c r="E354" s="2004"/>
      <c r="F354" s="2004"/>
      <c r="G354" s="2004"/>
      <c r="H354" s="2004"/>
      <c r="I354" s="2004"/>
      <c r="J354" s="2004"/>
      <c r="K354" s="2004"/>
      <c r="L354" s="2004"/>
      <c r="M354" s="2004"/>
      <c r="N354" s="2004"/>
      <c r="O354" s="2004"/>
      <c r="P354" s="2004"/>
      <c r="Q354" s="2004"/>
      <c r="R354" s="2004"/>
      <c r="S354" s="2004"/>
      <c r="T354" s="2004"/>
      <c r="U354" s="2004"/>
      <c r="V354" s="2004"/>
      <c r="W354" s="2004"/>
      <c r="X354" s="2004"/>
      <c r="Y354" s="2004"/>
      <c r="Z354" s="2004"/>
      <c r="AA354" s="2004"/>
      <c r="AB354" s="2004"/>
      <c r="AC354" s="2004"/>
      <c r="AD354" s="2004"/>
      <c r="AE354" s="2004"/>
      <c r="AF354" s="2004"/>
      <c r="AG354" s="2004"/>
      <c r="AH354" s="2004"/>
      <c r="AI354" s="2004"/>
      <c r="AJ354" s="2004"/>
      <c r="AK354" s="638"/>
      <c r="AL354" s="638"/>
      <c r="AM354" s="638"/>
      <c r="AN354" s="632"/>
      <c r="AO354" s="732"/>
      <c r="AP354" s="733">
        <f>IF(C412="Yes",3,0)</f>
        <v>0</v>
      </c>
    </row>
    <row r="355" spans="1:81" s="585" customFormat="1" ht="12.4" customHeight="1">
      <c r="A355" s="638"/>
      <c r="B355" s="646"/>
      <c r="C355" s="2004"/>
      <c r="D355" s="2004"/>
      <c r="E355" s="2004"/>
      <c r="F355" s="2004"/>
      <c r="G355" s="2004"/>
      <c r="H355" s="2004"/>
      <c r="I355" s="2004"/>
      <c r="J355" s="2004"/>
      <c r="K355" s="2004"/>
      <c r="L355" s="2004"/>
      <c r="M355" s="2004"/>
      <c r="N355" s="2004"/>
      <c r="O355" s="2004"/>
      <c r="P355" s="2004"/>
      <c r="Q355" s="2004"/>
      <c r="R355" s="2004"/>
      <c r="S355" s="2004"/>
      <c r="T355" s="2004"/>
      <c r="U355" s="2004"/>
      <c r="V355" s="2004"/>
      <c r="W355" s="2004"/>
      <c r="X355" s="2004"/>
      <c r="Y355" s="2004"/>
      <c r="Z355" s="2004"/>
      <c r="AA355" s="2004"/>
      <c r="AB355" s="2004"/>
      <c r="AC355" s="2004"/>
      <c r="AD355" s="2004"/>
      <c r="AE355" s="2004"/>
      <c r="AF355" s="2004"/>
      <c r="AG355" s="2004"/>
      <c r="AH355" s="2004"/>
      <c r="AI355" s="2004"/>
      <c r="AJ355" s="2004"/>
      <c r="AK355" s="638"/>
      <c r="AL355" s="638"/>
      <c r="AM355" s="638"/>
      <c r="AN355" s="632"/>
      <c r="AO355" s="734" t="s">
        <v>228</v>
      </c>
      <c r="AP355" s="735">
        <f>SUM(AP346:AP354)</f>
        <v>10</v>
      </c>
      <c r="AQ355" s="2005">
        <f>IF(AP355&gt;0,AP355,0)</f>
        <v>10</v>
      </c>
      <c r="AR355" s="2005"/>
    </row>
    <row r="356" spans="1:81" s="585" customFormat="1" ht="12.75" customHeight="1">
      <c r="A356" s="638"/>
      <c r="B356" s="646"/>
      <c r="C356" s="2004"/>
      <c r="D356" s="2004"/>
      <c r="E356" s="2004"/>
      <c r="F356" s="2004"/>
      <c r="G356" s="2004"/>
      <c r="H356" s="2004"/>
      <c r="I356" s="2004"/>
      <c r="J356" s="2004"/>
      <c r="K356" s="2004"/>
      <c r="L356" s="2004"/>
      <c r="M356" s="2004"/>
      <c r="N356" s="2004"/>
      <c r="O356" s="2004"/>
      <c r="P356" s="2004"/>
      <c r="Q356" s="2004"/>
      <c r="R356" s="2004"/>
      <c r="S356" s="2004"/>
      <c r="T356" s="2004"/>
      <c r="U356" s="2004"/>
      <c r="V356" s="2004"/>
      <c r="W356" s="2004"/>
      <c r="X356" s="2004"/>
      <c r="Y356" s="2004"/>
      <c r="Z356" s="2004"/>
      <c r="AA356" s="2004"/>
      <c r="AB356" s="2004"/>
      <c r="AC356" s="2004"/>
      <c r="AD356" s="2004"/>
      <c r="AE356" s="2004"/>
      <c r="AF356" s="2004"/>
      <c r="AG356" s="2004"/>
      <c r="AH356" s="2004"/>
      <c r="AI356" s="2004"/>
      <c r="AJ356" s="2004"/>
      <c r="AK356" s="638"/>
      <c r="AL356" s="638"/>
      <c r="AM356" s="638"/>
      <c r="AN356" s="632"/>
      <c r="AP356" s="605"/>
    </row>
    <row r="357" spans="1:81" s="585" customFormat="1" ht="12.75" customHeight="1">
      <c r="A357" s="638"/>
      <c r="B357" s="646"/>
      <c r="C357" s="727"/>
      <c r="D357" s="727"/>
      <c r="E357" s="727"/>
      <c r="F357" s="727"/>
      <c r="G357" s="727"/>
      <c r="H357" s="727"/>
      <c r="I357" s="727"/>
      <c r="J357" s="727"/>
      <c r="K357" s="727"/>
      <c r="L357" s="727"/>
      <c r="M357" s="727"/>
      <c r="N357" s="727"/>
      <c r="O357" s="727"/>
      <c r="P357" s="727"/>
      <c r="Q357" s="727"/>
      <c r="R357" s="727"/>
      <c r="S357" s="727"/>
      <c r="T357" s="727"/>
      <c r="U357" s="727"/>
      <c r="V357" s="727"/>
      <c r="W357" s="727"/>
      <c r="X357" s="727"/>
      <c r="Y357" s="727"/>
      <c r="Z357" s="727"/>
      <c r="AA357" s="727"/>
      <c r="AB357" s="727"/>
      <c r="AC357" s="727"/>
      <c r="AD357" s="727"/>
      <c r="AE357" s="727"/>
      <c r="AF357" s="727"/>
      <c r="AG357" s="727"/>
      <c r="AH357" s="727"/>
      <c r="AI357" s="727"/>
      <c r="AJ357" s="727"/>
      <c r="AK357" s="638"/>
      <c r="AL357" s="638"/>
      <c r="AM357" s="638"/>
      <c r="AN357" s="632"/>
      <c r="AO357" s="730" t="s">
        <v>464</v>
      </c>
      <c r="AP357" s="731">
        <f>IF(C419="Yes",5,0)</f>
        <v>0</v>
      </c>
    </row>
    <row r="358" spans="1:81" s="585" customFormat="1" ht="12.75" customHeight="1">
      <c r="A358" s="638"/>
      <c r="B358" s="646"/>
      <c r="C358" s="1986" t="s">
        <v>1631</v>
      </c>
      <c r="D358" s="1986"/>
      <c r="E358" s="1986"/>
      <c r="F358" s="1986"/>
      <c r="G358" s="1986"/>
      <c r="H358" s="1986"/>
      <c r="I358" s="1986"/>
      <c r="J358" s="1986"/>
      <c r="K358" s="1986"/>
      <c r="L358" s="1986"/>
      <c r="M358" s="1986"/>
      <c r="N358" s="1986"/>
      <c r="O358" s="1986"/>
      <c r="P358" s="1986"/>
      <c r="Q358" s="1986"/>
      <c r="R358" s="1986"/>
      <c r="S358" s="1986"/>
      <c r="T358" s="1986"/>
      <c r="U358" s="1986"/>
      <c r="V358" s="1986"/>
      <c r="W358" s="1986"/>
      <c r="X358" s="1986"/>
      <c r="Y358" s="1986"/>
      <c r="Z358" s="1986"/>
      <c r="AA358" s="1986"/>
      <c r="AB358" s="1986"/>
      <c r="AC358" s="1986"/>
      <c r="AD358" s="1986"/>
      <c r="AE358" s="1986"/>
      <c r="AF358" s="1986"/>
      <c r="AG358" s="1986"/>
      <c r="AH358" s="1986"/>
      <c r="AI358" s="1986"/>
      <c r="AJ358" s="1986"/>
      <c r="AK358" s="638"/>
      <c r="AL358" s="638"/>
      <c r="AM358" s="638"/>
      <c r="AN358" s="632"/>
      <c r="AO358" s="730" t="s">
        <v>465</v>
      </c>
      <c r="AP358" s="731">
        <f>IF(C431="Yes",5,0)</f>
        <v>0</v>
      </c>
    </row>
    <row r="359" spans="1:81" s="585" customFormat="1" ht="12.75" customHeight="1">
      <c r="A359" s="638"/>
      <c r="B359" s="646"/>
      <c r="C359" s="1986"/>
      <c r="D359" s="1986"/>
      <c r="E359" s="1986"/>
      <c r="F359" s="1986"/>
      <c r="G359" s="1986"/>
      <c r="H359" s="1986"/>
      <c r="I359" s="1986"/>
      <c r="J359" s="1986"/>
      <c r="K359" s="1986"/>
      <c r="L359" s="1986"/>
      <c r="M359" s="1986"/>
      <c r="N359" s="1986"/>
      <c r="O359" s="1986"/>
      <c r="P359" s="1986"/>
      <c r="Q359" s="1986"/>
      <c r="R359" s="1986"/>
      <c r="S359" s="1986"/>
      <c r="T359" s="1986"/>
      <c r="U359" s="1986"/>
      <c r="V359" s="1986"/>
      <c r="W359" s="1986"/>
      <c r="X359" s="1986"/>
      <c r="Y359" s="1986"/>
      <c r="Z359" s="1986"/>
      <c r="AA359" s="1986"/>
      <c r="AB359" s="1986"/>
      <c r="AC359" s="1986"/>
      <c r="AD359" s="1986"/>
      <c r="AE359" s="1986"/>
      <c r="AF359" s="1986"/>
      <c r="AG359" s="1986"/>
      <c r="AH359" s="1986"/>
      <c r="AI359" s="1986"/>
      <c r="AJ359" s="1986"/>
      <c r="AK359" s="638"/>
      <c r="AL359" s="638"/>
      <c r="AM359" s="638"/>
      <c r="AN359" s="632"/>
      <c r="AO359" s="730" t="s">
        <v>470</v>
      </c>
      <c r="AP359" s="731">
        <f>IF(C438="Yes",5,0)</f>
        <v>0</v>
      </c>
    </row>
    <row r="360" spans="1:81" s="585" customFormat="1" ht="68.099999999999994" customHeight="1">
      <c r="A360" s="638"/>
      <c r="B360" s="646"/>
      <c r="C360" s="1986"/>
      <c r="D360" s="1986"/>
      <c r="E360" s="1986"/>
      <c r="F360" s="1986"/>
      <c r="G360" s="1986"/>
      <c r="H360" s="1986"/>
      <c r="I360" s="1986"/>
      <c r="J360" s="1986"/>
      <c r="K360" s="1986"/>
      <c r="L360" s="1986"/>
      <c r="M360" s="1986"/>
      <c r="N360" s="1986"/>
      <c r="O360" s="1986"/>
      <c r="P360" s="1986"/>
      <c r="Q360" s="1986"/>
      <c r="R360" s="1986"/>
      <c r="S360" s="1986"/>
      <c r="T360" s="1986"/>
      <c r="U360" s="1986"/>
      <c r="V360" s="1986"/>
      <c r="W360" s="1986"/>
      <c r="X360" s="1986"/>
      <c r="Y360" s="1986"/>
      <c r="Z360" s="1986"/>
      <c r="AA360" s="1986"/>
      <c r="AB360" s="1986"/>
      <c r="AC360" s="1986"/>
      <c r="AD360" s="1986"/>
      <c r="AE360" s="1986"/>
      <c r="AF360" s="1986"/>
      <c r="AG360" s="1986"/>
      <c r="AH360" s="1986"/>
      <c r="AI360" s="1986"/>
      <c r="AJ360" s="1986"/>
      <c r="AK360" s="638"/>
      <c r="AL360" s="638"/>
      <c r="AM360" s="638"/>
      <c r="AN360" s="632"/>
      <c r="AO360" s="730" t="s">
        <v>655</v>
      </c>
      <c r="AP360" s="736">
        <f>IF(C442="Yes",5,0)</f>
        <v>0</v>
      </c>
    </row>
    <row r="361" spans="1:81" s="585" customFormat="1" ht="12.4" customHeight="1">
      <c r="A361" s="638"/>
      <c r="B361" s="646"/>
      <c r="C361" s="585" t="s">
        <v>1632</v>
      </c>
      <c r="AF361" s="638"/>
      <c r="AG361" s="638"/>
      <c r="AH361" s="638"/>
      <c r="AI361" s="638"/>
      <c r="AJ361" s="638"/>
      <c r="AK361" s="638"/>
      <c r="AL361" s="638"/>
      <c r="AM361" s="638"/>
      <c r="AN361" s="632"/>
      <c r="AO361" s="730" t="s">
        <v>363</v>
      </c>
      <c r="AP361" s="731">
        <f>IF(C446="Yes",5,0)</f>
        <v>0</v>
      </c>
    </row>
    <row r="362" spans="1:81" s="585" customFormat="1" ht="12.75" customHeight="1">
      <c r="A362" s="638"/>
      <c r="B362" s="646"/>
      <c r="C362" s="737" t="s">
        <v>1633</v>
      </c>
      <c r="D362" s="738"/>
      <c r="E362" s="738"/>
      <c r="F362" s="738"/>
      <c r="G362" s="738"/>
      <c r="H362" s="738"/>
      <c r="I362" s="738"/>
      <c r="J362" s="738"/>
      <c r="K362" s="738"/>
      <c r="L362" s="738"/>
      <c r="M362" s="702"/>
      <c r="N362" s="702"/>
      <c r="O362" s="739"/>
      <c r="P362" s="738"/>
      <c r="Q362" s="738"/>
      <c r="R362" s="702"/>
      <c r="S362" s="702"/>
      <c r="T362" s="738"/>
      <c r="U362" s="2091">
        <f>Application!CS649-U363</f>
        <v>317</v>
      </c>
      <c r="V362" s="2091"/>
      <c r="W362" s="2091"/>
      <c r="X362" s="738"/>
      <c r="Y362" s="738"/>
      <c r="Z362" s="738"/>
      <c r="AA362" s="740"/>
      <c r="AB362" s="741"/>
      <c r="AC362" s="741"/>
      <c r="AD362" s="741"/>
      <c r="AE362" s="638"/>
      <c r="AF362" s="638"/>
      <c r="AG362" s="638"/>
      <c r="AH362" s="638"/>
      <c r="AI362" s="638"/>
      <c r="AJ362" s="638"/>
      <c r="AK362" s="638"/>
      <c r="AL362" s="638"/>
      <c r="AM362" s="638"/>
      <c r="AN362" s="632"/>
      <c r="AO362" s="730" t="s">
        <v>364</v>
      </c>
      <c r="AP362" s="731">
        <f>IF(C455="Yes",5,0)</f>
        <v>0</v>
      </c>
    </row>
    <row r="363" spans="1:81" s="585" customFormat="1" ht="12.75" customHeight="1">
      <c r="A363" s="638"/>
      <c r="B363" s="646"/>
      <c r="C363" s="742" t="s">
        <v>1634</v>
      </c>
      <c r="D363" s="729"/>
      <c r="E363" s="729"/>
      <c r="F363" s="729"/>
      <c r="G363" s="729"/>
      <c r="H363" s="729"/>
      <c r="I363" s="729"/>
      <c r="J363" s="729"/>
      <c r="K363" s="729"/>
      <c r="L363" s="729"/>
      <c r="M363" s="729"/>
      <c r="N363" s="729"/>
      <c r="O363" s="729"/>
      <c r="P363" s="729"/>
      <c r="Q363" s="729"/>
      <c r="R363" s="729"/>
      <c r="S363" s="729"/>
      <c r="T363" s="729"/>
      <c r="U363" s="2092">
        <f>Application!AG742</f>
        <v>0</v>
      </c>
      <c r="V363" s="2092"/>
      <c r="W363" s="2092"/>
      <c r="X363" s="729"/>
      <c r="Y363" s="729"/>
      <c r="Z363" s="729"/>
      <c r="AA363" s="743"/>
      <c r="AC363" s="744"/>
      <c r="AD363" s="744"/>
      <c r="AE363" s="638"/>
      <c r="AF363" s="638"/>
      <c r="AG363" s="638"/>
      <c r="AH363" s="638"/>
      <c r="AI363" s="638"/>
      <c r="AJ363" s="638"/>
      <c r="AK363" s="638"/>
      <c r="AL363" s="638"/>
      <c r="AM363" s="638"/>
      <c r="AN363" s="632"/>
      <c r="AO363" s="732"/>
      <c r="AP363" s="733"/>
    </row>
    <row r="364" spans="1:81" s="585" customFormat="1" ht="12.75" customHeight="1">
      <c r="A364" s="638"/>
      <c r="B364" s="646"/>
      <c r="C364" s="631"/>
      <c r="U364" s="823"/>
      <c r="V364" s="823"/>
      <c r="W364" s="823"/>
      <c r="AC364" s="744"/>
      <c r="AD364" s="744"/>
      <c r="AE364" s="638"/>
      <c r="AF364" s="638"/>
      <c r="AG364" s="638"/>
      <c r="AH364" s="638"/>
      <c r="AI364" s="638"/>
      <c r="AJ364" s="638"/>
      <c r="AK364" s="638"/>
      <c r="AL364" s="638"/>
      <c r="AM364" s="638"/>
      <c r="AN364" s="632"/>
      <c r="AO364" s="745" t="s">
        <v>228</v>
      </c>
      <c r="AP364" s="746">
        <f>SUM(AP357:AP362)</f>
        <v>0</v>
      </c>
      <c r="AQ364" s="2005">
        <f>IF(AP364&gt;0,AP364,0)</f>
        <v>0</v>
      </c>
      <c r="AR364" s="2005"/>
    </row>
    <row r="365" spans="1:81" s="585" customFormat="1" ht="12.75" customHeight="1">
      <c r="A365" s="638"/>
      <c r="B365" s="14"/>
      <c r="C365" s="747" t="s">
        <v>1635</v>
      </c>
      <c r="D365" s="638"/>
      <c r="E365" s="638"/>
      <c r="F365" s="638"/>
      <c r="G365" s="638"/>
      <c r="H365" s="638"/>
      <c r="I365" s="638"/>
      <c r="J365" s="638"/>
      <c r="K365" s="638"/>
      <c r="L365" s="638"/>
      <c r="M365" s="638"/>
      <c r="N365" s="638"/>
      <c r="O365" s="638"/>
      <c r="P365" s="638"/>
      <c r="Q365" s="638"/>
      <c r="R365" s="638"/>
      <c r="S365" s="638"/>
      <c r="T365" s="638"/>
      <c r="U365" s="638"/>
      <c r="V365" s="638"/>
      <c r="W365" s="638"/>
      <c r="X365" s="638"/>
      <c r="Y365" s="638"/>
      <c r="Z365" s="638"/>
      <c r="AA365" s="638"/>
      <c r="AB365" s="638"/>
      <c r="AC365" s="638"/>
      <c r="AD365" s="638"/>
      <c r="AE365" s="638"/>
      <c r="AF365" s="638"/>
      <c r="AG365" s="638"/>
      <c r="AH365" s="638"/>
      <c r="AI365" s="638"/>
      <c r="AJ365" s="638"/>
      <c r="AK365" s="638"/>
      <c r="AL365" s="638"/>
      <c r="AM365" s="638"/>
      <c r="AN365" s="632"/>
      <c r="BS365" s="30"/>
      <c r="BT365" s="30"/>
      <c r="BU365" s="14"/>
      <c r="BV365" s="14"/>
      <c r="BW365" s="14"/>
    </row>
    <row r="366" spans="1:81" s="585" customFormat="1" ht="12.75" customHeight="1">
      <c r="A366" s="571"/>
      <c r="B366" s="14"/>
      <c r="C366" s="748"/>
      <c r="D366" s="749"/>
      <c r="E366" s="750" t="s">
        <v>1487</v>
      </c>
      <c r="F366" s="1990" t="s">
        <v>1636</v>
      </c>
      <c r="G366" s="1990"/>
      <c r="H366" s="1990"/>
      <c r="I366" s="1990"/>
      <c r="J366" s="1990"/>
      <c r="K366" s="1990"/>
      <c r="L366" s="1990"/>
      <c r="M366" s="1990"/>
      <c r="N366" s="1990"/>
      <c r="O366" s="1990"/>
      <c r="P366" s="1990"/>
      <c r="Q366" s="1990"/>
      <c r="R366" s="1990"/>
      <c r="S366" s="1990"/>
      <c r="T366" s="1990"/>
      <c r="U366" s="1990"/>
      <c r="V366" s="1990"/>
      <c r="W366" s="1990"/>
      <c r="X366" s="1990"/>
      <c r="Y366" s="1990"/>
      <c r="Z366" s="1990"/>
      <c r="AA366" s="1990"/>
      <c r="AB366" s="1990"/>
      <c r="AC366" s="1990"/>
      <c r="AD366" s="1990"/>
      <c r="AE366" s="1990"/>
      <c r="AF366" s="1990"/>
      <c r="AG366" s="751"/>
      <c r="AH366" s="751"/>
      <c r="AI366" s="751"/>
      <c r="AJ366" s="751"/>
      <c r="AK366" s="751"/>
      <c r="AL366" s="752"/>
      <c r="AM366" s="605"/>
      <c r="AN366" s="632"/>
      <c r="AP366" s="605"/>
      <c r="BS366" s="30"/>
      <c r="BT366" s="30"/>
      <c r="BU366" s="14"/>
      <c r="BV366" s="14"/>
      <c r="BW366" s="14"/>
      <c r="BX366" s="14"/>
      <c r="BY366" s="14"/>
      <c r="BZ366" s="14"/>
      <c r="CA366" s="14"/>
      <c r="CB366" s="14"/>
      <c r="CC366" s="14"/>
    </row>
    <row r="367" spans="1:81" s="585" customFormat="1" ht="12.75" customHeight="1">
      <c r="A367" s="571"/>
      <c r="B367" s="14"/>
      <c r="C367" s="753"/>
      <c r="D367" s="571"/>
      <c r="E367" s="754"/>
      <c r="F367" s="1991"/>
      <c r="G367" s="1991"/>
      <c r="H367" s="1991"/>
      <c r="I367" s="1991"/>
      <c r="J367" s="1991"/>
      <c r="K367" s="1991"/>
      <c r="L367" s="1991"/>
      <c r="M367" s="1991"/>
      <c r="N367" s="1991"/>
      <c r="O367" s="1991"/>
      <c r="P367" s="1991"/>
      <c r="Q367" s="1991"/>
      <c r="R367" s="1991"/>
      <c r="S367" s="1991"/>
      <c r="T367" s="1991"/>
      <c r="U367" s="1991"/>
      <c r="V367" s="1991"/>
      <c r="W367" s="1991"/>
      <c r="X367" s="1991"/>
      <c r="Y367" s="1991"/>
      <c r="Z367" s="1991"/>
      <c r="AA367" s="1991"/>
      <c r="AB367" s="1991"/>
      <c r="AC367" s="1991"/>
      <c r="AD367" s="1991"/>
      <c r="AE367" s="1991"/>
      <c r="AF367" s="1991"/>
      <c r="AG367" s="574"/>
      <c r="AH367" s="574"/>
      <c r="AI367" s="574"/>
      <c r="AJ367" s="574"/>
      <c r="AK367" s="574"/>
      <c r="AL367" s="755"/>
      <c r="AM367" s="605"/>
      <c r="AN367" s="632"/>
      <c r="AP367" s="605"/>
      <c r="BS367" s="30"/>
      <c r="BT367" s="30"/>
      <c r="BU367" s="14"/>
      <c r="BV367" s="14"/>
      <c r="BW367" s="14"/>
      <c r="BX367" s="14"/>
      <c r="BY367" s="14"/>
      <c r="BZ367" s="14"/>
      <c r="CA367" s="14"/>
      <c r="CB367" s="14"/>
      <c r="CC367" s="14"/>
    </row>
    <row r="368" spans="1:81" s="585" customFormat="1" ht="12.75" customHeight="1">
      <c r="A368" s="571"/>
      <c r="B368" s="14"/>
      <c r="C368" s="753"/>
      <c r="D368" s="571"/>
      <c r="E368" s="754"/>
      <c r="F368" s="1991"/>
      <c r="G368" s="1991"/>
      <c r="H368" s="1991"/>
      <c r="I368" s="1991"/>
      <c r="J368" s="1991"/>
      <c r="K368" s="1991"/>
      <c r="L368" s="1991"/>
      <c r="M368" s="1991"/>
      <c r="N368" s="1991"/>
      <c r="O368" s="1991"/>
      <c r="P368" s="1991"/>
      <c r="Q368" s="1991"/>
      <c r="R368" s="1991"/>
      <c r="S368" s="1991"/>
      <c r="T368" s="1991"/>
      <c r="U368" s="1991"/>
      <c r="V368" s="1991"/>
      <c r="W368" s="1991"/>
      <c r="X368" s="1991"/>
      <c r="Y368" s="1991"/>
      <c r="Z368" s="1991"/>
      <c r="AA368" s="1991"/>
      <c r="AB368" s="1991"/>
      <c r="AC368" s="1991"/>
      <c r="AD368" s="1991"/>
      <c r="AE368" s="1991"/>
      <c r="AF368" s="1991"/>
      <c r="AG368" s="574"/>
      <c r="AH368" s="574"/>
      <c r="AI368" s="574"/>
      <c r="AJ368" s="574"/>
      <c r="AK368" s="574"/>
      <c r="AL368" s="755"/>
      <c r="AM368" s="605"/>
      <c r="AN368" s="632"/>
      <c r="BS368" s="30"/>
      <c r="BT368" s="30"/>
      <c r="BU368" s="14"/>
      <c r="BV368" s="14"/>
      <c r="BW368" s="14"/>
      <c r="BX368" s="14"/>
      <c r="BY368" s="14"/>
      <c r="BZ368" s="14"/>
      <c r="CA368" s="14"/>
      <c r="CB368" s="14"/>
      <c r="CC368" s="14"/>
    </row>
    <row r="369" spans="1:81" s="585" customFormat="1" ht="12.75" customHeight="1">
      <c r="A369" s="571"/>
      <c r="B369" s="14"/>
      <c r="C369" s="753"/>
      <c r="D369" s="571"/>
      <c r="E369" s="754"/>
      <c r="F369" s="1991"/>
      <c r="G369" s="1991"/>
      <c r="H369" s="1991"/>
      <c r="I369" s="1991"/>
      <c r="J369" s="1991"/>
      <c r="K369" s="1991"/>
      <c r="L369" s="1991"/>
      <c r="M369" s="1991"/>
      <c r="N369" s="1991"/>
      <c r="O369" s="1991"/>
      <c r="P369" s="1991"/>
      <c r="Q369" s="1991"/>
      <c r="R369" s="1991"/>
      <c r="S369" s="1991"/>
      <c r="T369" s="1991"/>
      <c r="U369" s="1991"/>
      <c r="V369" s="1991"/>
      <c r="W369" s="1991"/>
      <c r="X369" s="1991"/>
      <c r="Y369" s="1991"/>
      <c r="Z369" s="1991"/>
      <c r="AA369" s="1991"/>
      <c r="AB369" s="1991"/>
      <c r="AC369" s="1991"/>
      <c r="AD369" s="1991"/>
      <c r="AE369" s="1991"/>
      <c r="AF369" s="1991"/>
      <c r="AG369" s="574"/>
      <c r="AH369" s="574"/>
      <c r="AI369" s="574"/>
      <c r="AJ369" s="574"/>
      <c r="AK369" s="574"/>
      <c r="AL369" s="755"/>
      <c r="AM369" s="605"/>
      <c r="AN369" s="632"/>
      <c r="BS369" s="30"/>
      <c r="BT369" s="30"/>
      <c r="BU369" s="14"/>
      <c r="BV369" s="14"/>
      <c r="BW369" s="14"/>
      <c r="BX369" s="14"/>
      <c r="BY369" s="14"/>
      <c r="BZ369" s="14"/>
      <c r="CA369" s="14"/>
      <c r="CB369" s="14"/>
      <c r="CC369" s="14"/>
    </row>
    <row r="370" spans="1:81" s="585" customFormat="1" ht="12.75" customHeight="1">
      <c r="A370" s="571"/>
      <c r="B370" s="14"/>
      <c r="C370" s="1987" t="s">
        <v>600</v>
      </c>
      <c r="D370" s="1944"/>
      <c r="E370" s="754"/>
      <c r="F370" s="756" t="s">
        <v>1637</v>
      </c>
      <c r="G370" s="638"/>
      <c r="H370" s="638"/>
      <c r="I370" s="638"/>
      <c r="J370" s="638"/>
      <c r="K370" s="638"/>
      <c r="L370" s="638"/>
      <c r="M370" s="638"/>
      <c r="N370" s="638"/>
      <c r="O370" s="638"/>
      <c r="P370" s="638"/>
      <c r="Q370" s="638"/>
      <c r="R370" s="638"/>
      <c r="S370" s="638"/>
      <c r="T370" s="638"/>
      <c r="U370" s="638"/>
      <c r="V370" s="638"/>
      <c r="W370" s="638"/>
      <c r="X370" s="638"/>
      <c r="Y370" s="638"/>
      <c r="Z370" s="638"/>
      <c r="AA370" s="638"/>
      <c r="AB370" s="638"/>
      <c r="AC370" s="638"/>
      <c r="AD370" s="638"/>
      <c r="AF370" s="1988" t="s">
        <v>1638</v>
      </c>
      <c r="AG370" s="1988"/>
      <c r="AH370" s="1988"/>
      <c r="AI370" s="1988"/>
      <c r="AJ370" s="1988"/>
      <c r="AK370" s="1988"/>
      <c r="AL370" s="1989"/>
      <c r="AM370" s="757"/>
      <c r="BS370" s="30"/>
      <c r="BT370" s="30"/>
      <c r="BU370" s="14"/>
      <c r="BV370" s="14"/>
      <c r="BW370" s="14"/>
      <c r="BX370" s="14"/>
      <c r="BY370" s="14"/>
      <c r="BZ370" s="14"/>
      <c r="CA370" s="14"/>
      <c r="CB370" s="14"/>
      <c r="CC370" s="14"/>
    </row>
    <row r="371" spans="1:81" s="585" customFormat="1" ht="12.75" customHeight="1">
      <c r="A371" s="571"/>
      <c r="B371" s="14"/>
      <c r="C371" s="792"/>
      <c r="D371" s="758"/>
      <c r="E371" s="759"/>
      <c r="F371" s="760"/>
      <c r="G371" s="761"/>
      <c r="H371" s="761"/>
      <c r="I371" s="761"/>
      <c r="J371" s="761"/>
      <c r="K371" s="761"/>
      <c r="L371" s="761"/>
      <c r="M371" s="761"/>
      <c r="N371" s="761"/>
      <c r="O371" s="761"/>
      <c r="P371" s="761"/>
      <c r="Q371" s="761"/>
      <c r="R371" s="761"/>
      <c r="S371" s="761"/>
      <c r="T371" s="761"/>
      <c r="U371" s="761"/>
      <c r="V371" s="761"/>
      <c r="W371" s="761"/>
      <c r="X371" s="761"/>
      <c r="Y371" s="761"/>
      <c r="Z371" s="761"/>
      <c r="AA371" s="761"/>
      <c r="AB371" s="761"/>
      <c r="AC371" s="761"/>
      <c r="AD371" s="761"/>
      <c r="AE371" s="762"/>
      <c r="AF371" s="762"/>
      <c r="AG371" s="762"/>
      <c r="AH371" s="762"/>
      <c r="AI371" s="762"/>
      <c r="AJ371" s="762"/>
      <c r="AK371" s="762"/>
      <c r="AL371" s="793"/>
      <c r="AM371" s="764"/>
      <c r="AN371" s="632"/>
      <c r="CC371" s="14"/>
    </row>
    <row r="372" spans="1:81" s="585" customFormat="1" ht="12.75" customHeight="1">
      <c r="A372" s="571"/>
      <c r="B372" s="14"/>
      <c r="C372" s="765"/>
      <c r="D372" s="765"/>
      <c r="E372" s="754"/>
      <c r="F372" s="711"/>
      <c r="G372" s="711"/>
      <c r="H372" s="711"/>
      <c r="I372" s="711"/>
      <c r="J372" s="711"/>
      <c r="K372" s="711"/>
      <c r="L372" s="711"/>
      <c r="M372" s="711"/>
      <c r="N372" s="711"/>
      <c r="O372" s="711"/>
      <c r="P372" s="711"/>
      <c r="Q372" s="711"/>
      <c r="R372" s="711"/>
      <c r="S372" s="711"/>
      <c r="T372" s="711"/>
      <c r="U372" s="711"/>
      <c r="V372" s="711"/>
      <c r="W372" s="711"/>
      <c r="X372" s="711"/>
      <c r="Y372" s="711"/>
      <c r="Z372" s="711"/>
      <c r="AA372" s="711"/>
      <c r="AB372" s="711"/>
      <c r="AC372" s="711"/>
      <c r="AD372" s="711"/>
      <c r="AE372" s="626"/>
      <c r="AF372" s="626"/>
      <c r="AG372" s="626"/>
      <c r="AH372" s="626"/>
      <c r="AI372" s="626"/>
      <c r="AJ372" s="626"/>
      <c r="AK372" s="626"/>
      <c r="AL372" s="626"/>
      <c r="AM372" s="605"/>
      <c r="AN372" s="632"/>
      <c r="BS372" s="30"/>
      <c r="BT372" s="30"/>
      <c r="BU372" s="14"/>
      <c r="BV372" s="14"/>
      <c r="BW372" s="14"/>
      <c r="BX372" s="14"/>
      <c r="BY372" s="14"/>
      <c r="BZ372" s="14"/>
      <c r="CA372" s="14"/>
      <c r="CB372" s="14"/>
      <c r="CC372" s="14"/>
    </row>
    <row r="373" spans="1:81" s="585" customFormat="1" ht="12.75" customHeight="1">
      <c r="A373" s="571"/>
      <c r="B373" s="14"/>
      <c r="C373" s="748"/>
      <c r="D373" s="749"/>
      <c r="E373" s="750" t="s">
        <v>1489</v>
      </c>
      <c r="F373" s="1990" t="s">
        <v>1639</v>
      </c>
      <c r="G373" s="1990"/>
      <c r="H373" s="1990"/>
      <c r="I373" s="1990"/>
      <c r="J373" s="1990"/>
      <c r="K373" s="1990"/>
      <c r="L373" s="1990"/>
      <c r="M373" s="1990"/>
      <c r="N373" s="1990"/>
      <c r="O373" s="1990"/>
      <c r="P373" s="1990"/>
      <c r="Q373" s="1990"/>
      <c r="R373" s="1990"/>
      <c r="S373" s="1990"/>
      <c r="T373" s="1990"/>
      <c r="U373" s="1990"/>
      <c r="V373" s="1990"/>
      <c r="W373" s="1990"/>
      <c r="X373" s="1990"/>
      <c r="Y373" s="1990"/>
      <c r="Z373" s="1990"/>
      <c r="AA373" s="1990"/>
      <c r="AB373" s="1990"/>
      <c r="AC373" s="1990"/>
      <c r="AD373" s="1990"/>
      <c r="AE373" s="1990"/>
      <c r="AF373" s="1990"/>
      <c r="AG373" s="751"/>
      <c r="AH373" s="751"/>
      <c r="AI373" s="751"/>
      <c r="AJ373" s="751"/>
      <c r="AK373" s="751"/>
      <c r="AL373" s="752"/>
      <c r="AM373" s="605"/>
      <c r="AN373" s="632"/>
      <c r="BS373" s="30"/>
      <c r="BT373" s="30"/>
      <c r="BU373" s="14"/>
      <c r="BV373" s="14"/>
      <c r="BW373" s="14"/>
      <c r="BX373" s="14"/>
      <c r="BY373" s="14"/>
      <c r="BZ373" s="14"/>
      <c r="CA373" s="14"/>
      <c r="CB373" s="14"/>
      <c r="CC373" s="14"/>
    </row>
    <row r="374" spans="1:81" s="585" customFormat="1" ht="12.75" customHeight="1">
      <c r="A374" s="571"/>
      <c r="B374" s="14"/>
      <c r="C374" s="766"/>
      <c r="D374" s="14"/>
      <c r="E374" s="726"/>
      <c r="F374" s="1991"/>
      <c r="G374" s="1991"/>
      <c r="H374" s="1991"/>
      <c r="I374" s="1991"/>
      <c r="J374" s="1991"/>
      <c r="K374" s="1991"/>
      <c r="L374" s="1991"/>
      <c r="M374" s="1991"/>
      <c r="N374" s="1991"/>
      <c r="O374" s="1991"/>
      <c r="P374" s="1991"/>
      <c r="Q374" s="1991"/>
      <c r="R374" s="1991"/>
      <c r="S374" s="1991"/>
      <c r="T374" s="1991"/>
      <c r="U374" s="1991"/>
      <c r="V374" s="1991"/>
      <c r="W374" s="1991"/>
      <c r="X374" s="1991"/>
      <c r="Y374" s="1991"/>
      <c r="Z374" s="1991"/>
      <c r="AA374" s="1991"/>
      <c r="AB374" s="1991"/>
      <c r="AC374" s="1991"/>
      <c r="AD374" s="1991"/>
      <c r="AE374" s="1991"/>
      <c r="AF374" s="1991"/>
      <c r="AG374" s="574"/>
      <c r="AH374" s="574"/>
      <c r="AI374" s="574"/>
      <c r="AJ374" s="574"/>
      <c r="AK374" s="574"/>
      <c r="AL374" s="755"/>
      <c r="AM374" s="605"/>
      <c r="AN374" s="632"/>
      <c r="BS374" s="30"/>
      <c r="BT374" s="30"/>
      <c r="BU374" s="14"/>
      <c r="BV374" s="14"/>
      <c r="BW374" s="14"/>
      <c r="BX374" s="14"/>
      <c r="BY374" s="14"/>
      <c r="BZ374" s="14"/>
      <c r="CA374" s="14"/>
      <c r="CB374" s="14"/>
      <c r="CC374" s="14"/>
    </row>
    <row r="375" spans="1:81" s="585" customFormat="1" ht="12.75" customHeight="1">
      <c r="A375" s="571"/>
      <c r="B375" s="14"/>
      <c r="C375" s="766"/>
      <c r="D375" s="14"/>
      <c r="E375" s="726"/>
      <c r="F375" s="1991"/>
      <c r="G375" s="1991"/>
      <c r="H375" s="1991"/>
      <c r="I375" s="1991"/>
      <c r="J375" s="1991"/>
      <c r="K375" s="1991"/>
      <c r="L375" s="1991"/>
      <c r="M375" s="1991"/>
      <c r="N375" s="1991"/>
      <c r="O375" s="1991"/>
      <c r="P375" s="1991"/>
      <c r="Q375" s="1991"/>
      <c r="R375" s="1991"/>
      <c r="S375" s="1991"/>
      <c r="T375" s="1991"/>
      <c r="U375" s="1991"/>
      <c r="V375" s="1991"/>
      <c r="W375" s="1991"/>
      <c r="X375" s="1991"/>
      <c r="Y375" s="1991"/>
      <c r="Z375" s="1991"/>
      <c r="AA375" s="1991"/>
      <c r="AB375" s="1991"/>
      <c r="AC375" s="1991"/>
      <c r="AD375" s="1991"/>
      <c r="AE375" s="1991"/>
      <c r="AF375" s="1991"/>
      <c r="AG375" s="574"/>
      <c r="AH375" s="574"/>
      <c r="AI375" s="574"/>
      <c r="AJ375" s="574"/>
      <c r="AK375" s="574"/>
      <c r="AL375" s="755"/>
      <c r="AM375" s="605"/>
      <c r="AN375" s="632"/>
      <c r="BS375" s="30"/>
      <c r="BT375" s="30"/>
      <c r="BU375" s="14"/>
      <c r="BV375" s="14"/>
      <c r="BW375" s="14"/>
      <c r="BX375" s="14"/>
      <c r="BY375" s="14"/>
      <c r="BZ375" s="14"/>
      <c r="CA375" s="14"/>
      <c r="CB375" s="14"/>
      <c r="CC375" s="14"/>
    </row>
    <row r="376" spans="1:81" s="585" customFormat="1" ht="12.75" customHeight="1">
      <c r="A376" s="571"/>
      <c r="B376" s="14"/>
      <c r="C376" s="766"/>
      <c r="D376" s="14"/>
      <c r="E376" s="726"/>
      <c r="F376" s="1991"/>
      <c r="G376" s="1991"/>
      <c r="H376" s="1991"/>
      <c r="I376" s="1991"/>
      <c r="J376" s="1991"/>
      <c r="K376" s="1991"/>
      <c r="L376" s="1991"/>
      <c r="M376" s="1991"/>
      <c r="N376" s="1991"/>
      <c r="O376" s="1991"/>
      <c r="P376" s="1991"/>
      <c r="Q376" s="1991"/>
      <c r="R376" s="1991"/>
      <c r="S376" s="1991"/>
      <c r="T376" s="1991"/>
      <c r="U376" s="1991"/>
      <c r="V376" s="1991"/>
      <c r="W376" s="1991"/>
      <c r="X376" s="1991"/>
      <c r="Y376" s="1991"/>
      <c r="Z376" s="1991"/>
      <c r="AA376" s="1991"/>
      <c r="AB376" s="1991"/>
      <c r="AC376" s="1991"/>
      <c r="AD376" s="1991"/>
      <c r="AE376" s="1991"/>
      <c r="AF376" s="1991"/>
      <c r="AG376" s="574"/>
      <c r="AH376" s="574"/>
      <c r="AI376" s="574"/>
      <c r="AJ376" s="574"/>
      <c r="AK376" s="574"/>
      <c r="AL376" s="755"/>
      <c r="AM376" s="605"/>
      <c r="AN376" s="632"/>
      <c r="BS376" s="30"/>
      <c r="BT376" s="30"/>
      <c r="BU376" s="14"/>
      <c r="BV376" s="14"/>
      <c r="BW376" s="14"/>
      <c r="BX376" s="14"/>
      <c r="BY376" s="14"/>
      <c r="BZ376" s="14"/>
      <c r="CA376" s="14"/>
      <c r="CB376" s="14"/>
      <c r="CC376" s="14"/>
    </row>
    <row r="377" spans="1:81" s="585" customFormat="1" ht="12.75" customHeight="1">
      <c r="A377" s="571"/>
      <c r="B377" s="14"/>
      <c r="C377" s="766"/>
      <c r="D377" s="14"/>
      <c r="E377" s="726"/>
      <c r="F377" s="1991"/>
      <c r="G377" s="1991"/>
      <c r="H377" s="1991"/>
      <c r="I377" s="1991"/>
      <c r="J377" s="1991"/>
      <c r="K377" s="1991"/>
      <c r="L377" s="1991"/>
      <c r="M377" s="1991"/>
      <c r="N377" s="1991"/>
      <c r="O377" s="1991"/>
      <c r="P377" s="1991"/>
      <c r="Q377" s="1991"/>
      <c r="R377" s="1991"/>
      <c r="S377" s="1991"/>
      <c r="T377" s="1991"/>
      <c r="U377" s="1991"/>
      <c r="V377" s="1991"/>
      <c r="W377" s="1991"/>
      <c r="X377" s="1991"/>
      <c r="Y377" s="1991"/>
      <c r="Z377" s="1991"/>
      <c r="AA377" s="1991"/>
      <c r="AB377" s="1991"/>
      <c r="AC377" s="1991"/>
      <c r="AD377" s="1991"/>
      <c r="AE377" s="1991"/>
      <c r="AF377" s="1991"/>
      <c r="AL377" s="767"/>
      <c r="AN377" s="632"/>
      <c r="BS377" s="30"/>
      <c r="BT377" s="30"/>
      <c r="BU377" s="14"/>
      <c r="BV377" s="14"/>
      <c r="BW377" s="14"/>
      <c r="BX377" s="14"/>
      <c r="BY377" s="14"/>
      <c r="BZ377" s="14"/>
      <c r="CA377" s="14"/>
      <c r="CB377" s="14"/>
      <c r="CC377" s="14"/>
    </row>
    <row r="378" spans="1:81" s="585" customFormat="1" ht="12.75" customHeight="1">
      <c r="A378" s="571"/>
      <c r="B378" s="14"/>
      <c r="C378" s="1987" t="s">
        <v>600</v>
      </c>
      <c r="D378" s="1944"/>
      <c r="E378" s="726"/>
      <c r="F378" s="756" t="s">
        <v>1640</v>
      </c>
      <c r="G378" s="638"/>
      <c r="H378" s="638"/>
      <c r="I378" s="638"/>
      <c r="J378" s="638"/>
      <c r="K378" s="638"/>
      <c r="L378" s="638"/>
      <c r="M378" s="638"/>
      <c r="N378" s="638"/>
      <c r="O378" s="638"/>
      <c r="P378" s="638"/>
      <c r="Q378" s="638"/>
      <c r="R378" s="638"/>
      <c r="S378" s="638"/>
      <c r="T378" s="638"/>
      <c r="U378" s="638"/>
      <c r="V378" s="638"/>
      <c r="W378" s="638"/>
      <c r="X378" s="638"/>
      <c r="Y378" s="638"/>
      <c r="Z378" s="638"/>
      <c r="AA378" s="638"/>
      <c r="AB378" s="638"/>
      <c r="AC378" s="638"/>
      <c r="AD378" s="638"/>
      <c r="AF378" s="1988" t="s">
        <v>1638</v>
      </c>
      <c r="AG378" s="1988"/>
      <c r="AH378" s="1988"/>
      <c r="AI378" s="1988"/>
      <c r="AJ378" s="1988"/>
      <c r="AK378" s="1988"/>
      <c r="AL378" s="1989"/>
      <c r="AM378" s="764"/>
      <c r="AN378" s="632"/>
      <c r="BS378" s="30"/>
      <c r="BT378" s="30"/>
      <c r="BU378" s="14"/>
      <c r="BV378" s="14"/>
      <c r="BW378" s="14"/>
      <c r="BX378" s="14"/>
      <c r="BY378" s="14"/>
      <c r="BZ378" s="14"/>
      <c r="CA378" s="14"/>
      <c r="CB378" s="14"/>
      <c r="CC378" s="14"/>
    </row>
    <row r="379" spans="1:81" s="585" customFormat="1" ht="12.75" customHeight="1">
      <c r="A379" s="571"/>
      <c r="B379" s="14"/>
      <c r="C379" s="775"/>
      <c r="D379" s="768"/>
      <c r="E379" s="769"/>
      <c r="F379" s="770"/>
      <c r="G379" s="771"/>
      <c r="H379" s="771"/>
      <c r="I379" s="771"/>
      <c r="J379" s="771"/>
      <c r="K379" s="771"/>
      <c r="L379" s="771"/>
      <c r="M379" s="771"/>
      <c r="N379" s="771"/>
      <c r="O379" s="771"/>
      <c r="P379" s="771"/>
      <c r="Q379" s="771"/>
      <c r="R379" s="771"/>
      <c r="S379" s="771"/>
      <c r="T379" s="771"/>
      <c r="U379" s="771"/>
      <c r="V379" s="771"/>
      <c r="W379" s="771"/>
      <c r="X379" s="771"/>
      <c r="Y379" s="771"/>
      <c r="Z379" s="771"/>
      <c r="AA379" s="771"/>
      <c r="AB379" s="771"/>
      <c r="AC379" s="771"/>
      <c r="AD379" s="771"/>
      <c r="AE379" s="772"/>
      <c r="AF379" s="618"/>
      <c r="AG379" s="772"/>
      <c r="AH379" s="762"/>
      <c r="AI379" s="762"/>
      <c r="AJ379" s="762"/>
      <c r="AK379" s="762"/>
      <c r="AL379" s="777"/>
      <c r="AM379" s="764"/>
      <c r="AN379" s="632"/>
      <c r="BS379" s="30"/>
      <c r="BT379" s="30"/>
      <c r="BU379" s="14"/>
      <c r="BV379" s="14"/>
      <c r="BW379" s="14"/>
      <c r="BX379" s="14"/>
      <c r="BY379" s="14"/>
      <c r="BZ379" s="14"/>
      <c r="CA379" s="14"/>
      <c r="CB379" s="14"/>
      <c r="CC379" s="14"/>
    </row>
    <row r="380" spans="1:81" s="585" customFormat="1" ht="12.75" customHeight="1">
      <c r="A380" s="571"/>
      <c r="B380" s="14"/>
      <c r="C380" s="14"/>
      <c r="D380" s="14"/>
      <c r="E380" s="726"/>
      <c r="F380" s="711"/>
      <c r="G380" s="711"/>
      <c r="H380" s="711"/>
      <c r="I380" s="711"/>
      <c r="J380" s="711"/>
      <c r="K380" s="711"/>
      <c r="L380" s="711"/>
      <c r="M380" s="711"/>
      <c r="N380" s="711"/>
      <c r="O380" s="711"/>
      <c r="P380" s="711"/>
      <c r="Q380" s="711"/>
      <c r="R380" s="711"/>
      <c r="S380" s="711"/>
      <c r="T380" s="711"/>
      <c r="U380" s="711"/>
      <c r="V380" s="711"/>
      <c r="W380" s="711"/>
      <c r="X380" s="711"/>
      <c r="Y380" s="711"/>
      <c r="Z380" s="711"/>
      <c r="AA380" s="711"/>
      <c r="AB380" s="711"/>
      <c r="AC380" s="711"/>
      <c r="AD380" s="711"/>
      <c r="AE380" s="571"/>
      <c r="AF380" s="574"/>
      <c r="AG380" s="571"/>
      <c r="AM380" s="605"/>
      <c r="AN380" s="632"/>
      <c r="BS380" s="30"/>
      <c r="BT380" s="30"/>
      <c r="BU380" s="14"/>
      <c r="BV380" s="14"/>
      <c r="BW380" s="14"/>
      <c r="BX380" s="14"/>
      <c r="BY380" s="14"/>
      <c r="BZ380" s="14"/>
      <c r="CA380" s="14"/>
      <c r="CB380" s="14"/>
      <c r="CC380" s="14"/>
    </row>
    <row r="381" spans="1:81" s="585" customFormat="1" ht="12.75" customHeight="1">
      <c r="A381" s="571"/>
      <c r="B381" s="14"/>
      <c r="C381" s="748"/>
      <c r="D381" s="749"/>
      <c r="E381" s="750" t="s">
        <v>1492</v>
      </c>
      <c r="F381" s="1990" t="s">
        <v>1641</v>
      </c>
      <c r="G381" s="1990"/>
      <c r="H381" s="1990"/>
      <c r="I381" s="1990"/>
      <c r="J381" s="1990"/>
      <c r="K381" s="1990"/>
      <c r="L381" s="1990"/>
      <c r="M381" s="1990"/>
      <c r="N381" s="1990"/>
      <c r="O381" s="1990"/>
      <c r="P381" s="1990"/>
      <c r="Q381" s="1990"/>
      <c r="R381" s="1990"/>
      <c r="S381" s="1990"/>
      <c r="T381" s="1990"/>
      <c r="U381" s="1990"/>
      <c r="V381" s="1990"/>
      <c r="W381" s="1990"/>
      <c r="X381" s="1990"/>
      <c r="Y381" s="1990"/>
      <c r="Z381" s="1990"/>
      <c r="AA381" s="1990"/>
      <c r="AB381" s="1990"/>
      <c r="AC381" s="1990"/>
      <c r="AD381" s="1990"/>
      <c r="AE381" s="1990"/>
      <c r="AF381" s="1990"/>
      <c r="AG381" s="751"/>
      <c r="AH381" s="751"/>
      <c r="AI381" s="751"/>
      <c r="AJ381" s="751"/>
      <c r="AK381" s="751"/>
      <c r="AL381" s="752"/>
      <c r="AM381" s="605"/>
      <c r="AN381" s="632"/>
      <c r="BS381" s="605"/>
      <c r="BT381" s="605"/>
      <c r="BU381" s="605"/>
      <c r="BV381" s="605"/>
      <c r="BW381" s="605"/>
      <c r="BX381" s="605"/>
      <c r="BY381" s="605"/>
      <c r="BZ381" s="605"/>
      <c r="CA381" s="605"/>
      <c r="CB381" s="605"/>
      <c r="CC381" s="605"/>
    </row>
    <row r="382" spans="1:81" s="585" customFormat="1" ht="12.75" customHeight="1">
      <c r="A382" s="571"/>
      <c r="B382" s="14"/>
      <c r="C382" s="766"/>
      <c r="D382" s="14"/>
      <c r="E382" s="726"/>
      <c r="F382" s="1991"/>
      <c r="G382" s="1991"/>
      <c r="H382" s="1991"/>
      <c r="I382" s="1991"/>
      <c r="J382" s="1991"/>
      <c r="K382" s="1991"/>
      <c r="L382" s="1991"/>
      <c r="M382" s="1991"/>
      <c r="N382" s="1991"/>
      <c r="O382" s="1991"/>
      <c r="P382" s="1991"/>
      <c r="Q382" s="1991"/>
      <c r="R382" s="1991"/>
      <c r="S382" s="1991"/>
      <c r="T382" s="1991"/>
      <c r="U382" s="1991"/>
      <c r="V382" s="1991"/>
      <c r="W382" s="1991"/>
      <c r="X382" s="1991"/>
      <c r="Y382" s="1991"/>
      <c r="Z382" s="1991"/>
      <c r="AA382" s="1991"/>
      <c r="AB382" s="1991"/>
      <c r="AC382" s="1991"/>
      <c r="AD382" s="1991"/>
      <c r="AE382" s="1991"/>
      <c r="AF382" s="1991"/>
      <c r="AG382" s="574"/>
      <c r="AH382" s="574"/>
      <c r="AI382" s="574"/>
      <c r="AJ382" s="574"/>
      <c r="AK382" s="574"/>
      <c r="AL382" s="755"/>
      <c r="AM382" s="605"/>
      <c r="AN382" s="632"/>
      <c r="BS382" s="605"/>
      <c r="BT382" s="605"/>
      <c r="BU382" s="605"/>
      <c r="BV382" s="605"/>
      <c r="BW382" s="605"/>
      <c r="BX382" s="605"/>
      <c r="BY382" s="605"/>
      <c r="BZ382" s="605"/>
      <c r="CA382" s="605"/>
      <c r="CB382" s="605"/>
      <c r="CC382" s="605"/>
    </row>
    <row r="383" spans="1:81" s="585" customFormat="1" ht="12.75" customHeight="1">
      <c r="A383" s="571"/>
      <c r="B383" s="14"/>
      <c r="C383" s="766"/>
      <c r="D383" s="14"/>
      <c r="E383" s="726"/>
      <c r="F383" s="1991"/>
      <c r="G383" s="1991"/>
      <c r="H383" s="1991"/>
      <c r="I383" s="1991"/>
      <c r="J383" s="1991"/>
      <c r="K383" s="1991"/>
      <c r="L383" s="1991"/>
      <c r="M383" s="1991"/>
      <c r="N383" s="1991"/>
      <c r="O383" s="1991"/>
      <c r="P383" s="1991"/>
      <c r="Q383" s="1991"/>
      <c r="R383" s="1991"/>
      <c r="S383" s="1991"/>
      <c r="T383" s="1991"/>
      <c r="U383" s="1991"/>
      <c r="V383" s="1991"/>
      <c r="W383" s="1991"/>
      <c r="X383" s="1991"/>
      <c r="Y383" s="1991"/>
      <c r="Z383" s="1991"/>
      <c r="AA383" s="1991"/>
      <c r="AB383" s="1991"/>
      <c r="AC383" s="1991"/>
      <c r="AD383" s="1991"/>
      <c r="AE383" s="1991"/>
      <c r="AF383" s="1991"/>
      <c r="AG383" s="574"/>
      <c r="AH383" s="574"/>
      <c r="AI383" s="574"/>
      <c r="AJ383" s="574"/>
      <c r="AK383" s="574"/>
      <c r="AL383" s="755"/>
      <c r="AM383" s="605"/>
      <c r="AN383" s="632"/>
      <c r="BS383" s="605"/>
      <c r="BT383" s="605"/>
      <c r="BU383" s="605"/>
      <c r="BV383" s="605"/>
      <c r="BW383" s="605"/>
      <c r="BX383" s="605"/>
      <c r="BY383" s="605"/>
      <c r="BZ383" s="605"/>
      <c r="CA383" s="605"/>
      <c r="CB383" s="605"/>
      <c r="CC383" s="605"/>
    </row>
    <row r="384" spans="1:81" s="585" customFormat="1" ht="12.75" customHeight="1">
      <c r="A384" s="571"/>
      <c r="B384" s="14"/>
      <c r="C384" s="766"/>
      <c r="D384" s="14"/>
      <c r="E384" s="726"/>
      <c r="F384" s="1991"/>
      <c r="G384" s="1991"/>
      <c r="H384" s="1991"/>
      <c r="I384" s="1991"/>
      <c r="J384" s="1991"/>
      <c r="K384" s="1991"/>
      <c r="L384" s="1991"/>
      <c r="M384" s="1991"/>
      <c r="N384" s="1991"/>
      <c r="O384" s="1991"/>
      <c r="P384" s="1991"/>
      <c r="Q384" s="1991"/>
      <c r="R384" s="1991"/>
      <c r="S384" s="1991"/>
      <c r="T384" s="1991"/>
      <c r="U384" s="1991"/>
      <c r="V384" s="1991"/>
      <c r="W384" s="1991"/>
      <c r="X384" s="1991"/>
      <c r="Y384" s="1991"/>
      <c r="Z384" s="1991"/>
      <c r="AA384" s="1991"/>
      <c r="AB384" s="1991"/>
      <c r="AC384" s="1991"/>
      <c r="AD384" s="1991"/>
      <c r="AE384" s="1991"/>
      <c r="AF384" s="1991"/>
      <c r="AG384" s="574"/>
      <c r="AH384" s="574"/>
      <c r="AI384" s="574"/>
      <c r="AJ384" s="574"/>
      <c r="AK384" s="574"/>
      <c r="AL384" s="755"/>
      <c r="AM384" s="605"/>
      <c r="AN384" s="632"/>
      <c r="BS384" s="605"/>
      <c r="BT384" s="605"/>
      <c r="BU384" s="605"/>
      <c r="BV384" s="605"/>
      <c r="BW384" s="605"/>
      <c r="BX384" s="605"/>
      <c r="BY384" s="605"/>
      <c r="BZ384" s="605"/>
      <c r="CA384" s="605"/>
      <c r="CB384" s="605"/>
      <c r="CC384" s="605"/>
    </row>
    <row r="385" spans="1:81" s="585" customFormat="1" ht="12.75" customHeight="1">
      <c r="A385" s="571"/>
      <c r="B385" s="14"/>
      <c r="C385" s="766"/>
      <c r="D385" s="14"/>
      <c r="E385" s="726"/>
      <c r="F385" s="1991"/>
      <c r="G385" s="1991"/>
      <c r="H385" s="1991"/>
      <c r="I385" s="1991"/>
      <c r="J385" s="1991"/>
      <c r="K385" s="1991"/>
      <c r="L385" s="1991"/>
      <c r="M385" s="1991"/>
      <c r="N385" s="1991"/>
      <c r="O385" s="1991"/>
      <c r="P385" s="1991"/>
      <c r="Q385" s="1991"/>
      <c r="R385" s="1991"/>
      <c r="S385" s="1991"/>
      <c r="T385" s="1991"/>
      <c r="U385" s="1991"/>
      <c r="V385" s="1991"/>
      <c r="W385" s="1991"/>
      <c r="X385" s="1991"/>
      <c r="Y385" s="1991"/>
      <c r="Z385" s="1991"/>
      <c r="AA385" s="1991"/>
      <c r="AB385" s="1991"/>
      <c r="AC385" s="1991"/>
      <c r="AD385" s="1991"/>
      <c r="AE385" s="1991"/>
      <c r="AF385" s="1991"/>
      <c r="AG385" s="574"/>
      <c r="AH385" s="574"/>
      <c r="AI385" s="574"/>
      <c r="AJ385" s="574"/>
      <c r="AK385" s="574"/>
      <c r="AL385" s="755"/>
      <c r="AM385" s="605"/>
      <c r="AN385" s="632"/>
      <c r="BS385" s="605"/>
      <c r="BT385" s="605"/>
      <c r="BU385" s="605"/>
      <c r="BV385" s="605"/>
      <c r="BW385" s="605"/>
      <c r="BX385" s="605"/>
      <c r="BY385" s="605"/>
      <c r="BZ385" s="605"/>
      <c r="CA385" s="605"/>
      <c r="CB385" s="605"/>
      <c r="CC385" s="605"/>
    </row>
    <row r="386" spans="1:81" s="585" customFormat="1" ht="12.75" customHeight="1">
      <c r="A386" s="571"/>
      <c r="B386" s="14"/>
      <c r="C386" s="1987" t="s">
        <v>554</v>
      </c>
      <c r="D386" s="1944"/>
      <c r="E386" s="726"/>
      <c r="F386" s="756" t="s">
        <v>1642</v>
      </c>
      <c r="G386" s="638"/>
      <c r="H386" s="638"/>
      <c r="I386" s="638"/>
      <c r="J386" s="638"/>
      <c r="K386" s="638"/>
      <c r="L386" s="638"/>
      <c r="M386" s="638"/>
      <c r="N386" s="638"/>
      <c r="O386" s="638"/>
      <c r="P386" s="638"/>
      <c r="Q386" s="638"/>
      <c r="R386" s="638"/>
      <c r="S386" s="638"/>
      <c r="T386" s="638"/>
      <c r="U386" s="638"/>
      <c r="V386" s="638"/>
      <c r="W386" s="638"/>
      <c r="X386" s="638"/>
      <c r="Y386" s="638"/>
      <c r="Z386" s="638"/>
      <c r="AA386" s="638"/>
      <c r="AB386" s="638"/>
      <c r="AC386" s="638"/>
      <c r="AD386" s="638"/>
      <c r="AF386" s="1988" t="s">
        <v>1643</v>
      </c>
      <c r="AG386" s="1988"/>
      <c r="AH386" s="1988"/>
      <c r="AI386" s="1988"/>
      <c r="AJ386" s="1988"/>
      <c r="AK386" s="1988"/>
      <c r="AL386" s="1989"/>
      <c r="AM386" s="757"/>
      <c r="BS386" s="605"/>
      <c r="BT386" s="605"/>
      <c r="BU386" s="605"/>
      <c r="BV386" s="605"/>
      <c r="BW386" s="605"/>
      <c r="BX386" s="605"/>
      <c r="BY386" s="605"/>
      <c r="BZ386" s="605"/>
      <c r="CA386" s="605"/>
      <c r="CB386" s="605"/>
      <c r="CC386" s="605"/>
    </row>
    <row r="387" spans="1:81" s="585" customFormat="1" ht="12.75" customHeight="1">
      <c r="A387" s="571"/>
      <c r="B387" s="14"/>
      <c r="C387" s="766"/>
      <c r="D387" s="14"/>
      <c r="E387" s="726"/>
      <c r="F387" s="608"/>
      <c r="G387" s="608"/>
      <c r="H387" s="608"/>
      <c r="I387" s="608"/>
      <c r="J387" s="608"/>
      <c r="K387" s="608"/>
      <c r="L387" s="608"/>
      <c r="M387" s="608"/>
      <c r="N387" s="608"/>
      <c r="O387" s="608"/>
      <c r="P387" s="608"/>
      <c r="Q387" s="608"/>
      <c r="R387" s="608"/>
      <c r="S387" s="608"/>
      <c r="T387" s="608"/>
      <c r="U387" s="608"/>
      <c r="V387" s="608"/>
      <c r="W387" s="608"/>
      <c r="X387" s="608"/>
      <c r="Y387" s="608"/>
      <c r="Z387" s="608"/>
      <c r="AA387" s="608"/>
      <c r="AB387" s="608"/>
      <c r="AC387" s="608"/>
      <c r="AD387" s="608"/>
      <c r="AL387" s="767"/>
      <c r="AM387" s="605"/>
      <c r="AN387" s="632"/>
      <c r="BS387" s="605"/>
      <c r="BT387" s="605"/>
      <c r="BU387" s="605"/>
      <c r="BV387" s="605"/>
      <c r="BW387" s="605"/>
      <c r="BX387" s="605"/>
      <c r="BY387" s="605"/>
      <c r="BZ387" s="605"/>
      <c r="CA387" s="605"/>
      <c r="CB387" s="605"/>
      <c r="CC387" s="605"/>
    </row>
    <row r="388" spans="1:81" s="585" customFormat="1" ht="12.75" customHeight="1">
      <c r="A388" s="571"/>
      <c r="B388" s="14"/>
      <c r="C388" s="1987" t="s">
        <v>600</v>
      </c>
      <c r="D388" s="1944"/>
      <c r="E388" s="726"/>
      <c r="F388" s="773" t="s">
        <v>1644</v>
      </c>
      <c r="G388" s="608"/>
      <c r="H388" s="608"/>
      <c r="I388" s="608"/>
      <c r="J388" s="608"/>
      <c r="K388" s="608"/>
      <c r="L388" s="608"/>
      <c r="M388" s="608"/>
      <c r="N388" s="608"/>
      <c r="O388" s="608"/>
      <c r="P388" s="608"/>
      <c r="Q388" s="608"/>
      <c r="R388" s="608"/>
      <c r="S388" s="608"/>
      <c r="T388" s="608"/>
      <c r="U388" s="608"/>
      <c r="V388" s="608"/>
      <c r="W388" s="608"/>
      <c r="X388" s="608"/>
      <c r="Y388" s="608"/>
      <c r="Z388" s="608"/>
      <c r="AA388" s="608"/>
      <c r="AB388" s="608"/>
      <c r="AC388" s="608"/>
      <c r="AD388" s="608"/>
      <c r="AF388" s="1988" t="s">
        <v>1638</v>
      </c>
      <c r="AG388" s="1988"/>
      <c r="AH388" s="1988"/>
      <c r="AI388" s="1988"/>
      <c r="AJ388" s="1988"/>
      <c r="AK388" s="1988"/>
      <c r="AL388" s="1989"/>
      <c r="AM388" s="605"/>
      <c r="AN388" s="632"/>
      <c r="BS388" s="605"/>
      <c r="BT388" s="605"/>
      <c r="BU388" s="605"/>
    </row>
    <row r="389" spans="1:81" s="585" customFormat="1" ht="12.75" customHeight="1">
      <c r="A389" s="571"/>
      <c r="B389" s="14"/>
      <c r="C389" s="774"/>
      <c r="E389" s="726"/>
      <c r="G389" s="608"/>
      <c r="H389" s="608"/>
      <c r="I389" s="608"/>
      <c r="J389" s="608"/>
      <c r="K389" s="608"/>
      <c r="L389" s="608"/>
      <c r="M389" s="608"/>
      <c r="N389" s="608"/>
      <c r="O389" s="608"/>
      <c r="P389" s="608"/>
      <c r="Q389" s="608"/>
      <c r="R389" s="608"/>
      <c r="S389" s="608"/>
      <c r="T389" s="608"/>
      <c r="U389" s="608"/>
      <c r="V389" s="608"/>
      <c r="W389" s="608"/>
      <c r="X389" s="608"/>
      <c r="Y389" s="608"/>
      <c r="Z389" s="608"/>
      <c r="AA389" s="608"/>
      <c r="AB389" s="608"/>
      <c r="AC389" s="608"/>
      <c r="AD389" s="608"/>
      <c r="AL389" s="767"/>
      <c r="AM389" s="605"/>
      <c r="AN389" s="632"/>
      <c r="BS389" s="605"/>
      <c r="BT389" s="605"/>
      <c r="BU389" s="605"/>
    </row>
    <row r="390" spans="1:81" s="585" customFormat="1" ht="12.75" customHeight="1">
      <c r="A390" s="571"/>
      <c r="B390" s="14"/>
      <c r="C390" s="775"/>
      <c r="D390" s="768"/>
      <c r="E390" s="769"/>
      <c r="F390" s="776" t="s">
        <v>1645</v>
      </c>
      <c r="G390" s="770"/>
      <c r="H390" s="770"/>
      <c r="I390" s="770"/>
      <c r="J390" s="770"/>
      <c r="K390" s="770"/>
      <c r="L390" s="770"/>
      <c r="M390" s="770"/>
      <c r="N390" s="770"/>
      <c r="O390" s="770"/>
      <c r="P390" s="770"/>
      <c r="Q390" s="770"/>
      <c r="R390" s="770"/>
      <c r="S390" s="770"/>
      <c r="T390" s="770"/>
      <c r="U390" s="770"/>
      <c r="V390" s="770"/>
      <c r="W390" s="770"/>
      <c r="X390" s="770"/>
      <c r="Y390" s="770"/>
      <c r="Z390" s="770"/>
      <c r="AA390" s="770"/>
      <c r="AB390" s="770"/>
      <c r="AC390" s="770"/>
      <c r="AD390" s="770"/>
      <c r="AE390" s="772"/>
      <c r="AF390" s="618"/>
      <c r="AG390" s="772"/>
      <c r="AH390" s="762"/>
      <c r="AI390" s="762"/>
      <c r="AJ390" s="762"/>
      <c r="AK390" s="762"/>
      <c r="AL390" s="777"/>
      <c r="AM390" s="605"/>
      <c r="AN390" s="632"/>
      <c r="BS390" s="605"/>
      <c r="BT390" s="605"/>
      <c r="BU390" s="605"/>
    </row>
    <row r="391" spans="1:81" s="585" customFormat="1" ht="12.75" customHeight="1">
      <c r="A391" s="571"/>
      <c r="B391" s="14"/>
      <c r="C391" s="14"/>
      <c r="D391" s="14"/>
      <c r="E391" s="726"/>
      <c r="F391" s="711"/>
      <c r="G391" s="711"/>
      <c r="H391" s="711"/>
      <c r="I391" s="711"/>
      <c r="J391" s="711"/>
      <c r="K391" s="711"/>
      <c r="L391" s="711"/>
      <c r="M391" s="711"/>
      <c r="N391" s="711"/>
      <c r="O391" s="711"/>
      <c r="P391" s="711"/>
      <c r="Q391" s="711"/>
      <c r="R391" s="711"/>
      <c r="S391" s="711"/>
      <c r="T391" s="711"/>
      <c r="U391" s="711"/>
      <c r="V391" s="711"/>
      <c r="W391" s="711"/>
      <c r="X391" s="711"/>
      <c r="Y391" s="711"/>
      <c r="Z391" s="711"/>
      <c r="AA391" s="711"/>
      <c r="AB391" s="711"/>
      <c r="AC391" s="711"/>
      <c r="AD391" s="711"/>
      <c r="AE391" s="571"/>
      <c r="AF391" s="574"/>
      <c r="AG391" s="571"/>
      <c r="AM391" s="605"/>
      <c r="AN391" s="632"/>
      <c r="BS391" s="605"/>
      <c r="BT391" s="605"/>
      <c r="BU391" s="605"/>
    </row>
    <row r="392" spans="1:81" s="585" customFormat="1" ht="12.75" customHeight="1">
      <c r="A392" s="571"/>
      <c r="B392" s="14"/>
      <c r="C392" s="748"/>
      <c r="D392" s="749"/>
      <c r="E392" s="750" t="s">
        <v>1646</v>
      </c>
      <c r="F392" s="1990" t="s">
        <v>1647</v>
      </c>
      <c r="G392" s="1990"/>
      <c r="H392" s="1990"/>
      <c r="I392" s="1990"/>
      <c r="J392" s="1990"/>
      <c r="K392" s="1990"/>
      <c r="L392" s="1990"/>
      <c r="M392" s="1990"/>
      <c r="N392" s="1990"/>
      <c r="O392" s="1990"/>
      <c r="P392" s="1990"/>
      <c r="Q392" s="1990"/>
      <c r="R392" s="1990"/>
      <c r="S392" s="1990"/>
      <c r="T392" s="1990"/>
      <c r="U392" s="1990"/>
      <c r="V392" s="1990"/>
      <c r="W392" s="1990"/>
      <c r="X392" s="1990"/>
      <c r="Y392" s="1990"/>
      <c r="Z392" s="1990"/>
      <c r="AA392" s="1990"/>
      <c r="AB392" s="1990"/>
      <c r="AC392" s="1990"/>
      <c r="AD392" s="1990"/>
      <c r="AE392" s="1990"/>
      <c r="AF392" s="1990"/>
      <c r="AG392" s="751"/>
      <c r="AH392" s="751"/>
      <c r="AI392" s="751"/>
      <c r="AJ392" s="751"/>
      <c r="AK392" s="751"/>
      <c r="AL392" s="752"/>
      <c r="AM392" s="605"/>
      <c r="AN392" s="632"/>
      <c r="BS392" s="605"/>
      <c r="BT392" s="605"/>
      <c r="BU392" s="605"/>
      <c r="BV392" s="605"/>
      <c r="BW392" s="605"/>
      <c r="BX392" s="605"/>
      <c r="BY392" s="605"/>
      <c r="BZ392" s="605"/>
      <c r="CA392" s="605"/>
      <c r="CB392" s="605"/>
      <c r="CC392" s="605"/>
    </row>
    <row r="393" spans="1:81" s="585" customFormat="1" ht="12.75" customHeight="1">
      <c r="A393" s="571"/>
      <c r="B393" s="14"/>
      <c r="C393" s="766"/>
      <c r="D393" s="14"/>
      <c r="E393" s="726"/>
      <c r="F393" s="1991"/>
      <c r="G393" s="1991"/>
      <c r="H393" s="1991"/>
      <c r="I393" s="1991"/>
      <c r="J393" s="1991"/>
      <c r="K393" s="1991"/>
      <c r="L393" s="1991"/>
      <c r="M393" s="1991"/>
      <c r="N393" s="1991"/>
      <c r="O393" s="1991"/>
      <c r="P393" s="1991"/>
      <c r="Q393" s="1991"/>
      <c r="R393" s="1991"/>
      <c r="S393" s="1991"/>
      <c r="T393" s="1991"/>
      <c r="U393" s="1991"/>
      <c r="V393" s="1991"/>
      <c r="W393" s="1991"/>
      <c r="X393" s="1991"/>
      <c r="Y393" s="1991"/>
      <c r="Z393" s="1991"/>
      <c r="AA393" s="1991"/>
      <c r="AB393" s="1991"/>
      <c r="AC393" s="1991"/>
      <c r="AD393" s="1991"/>
      <c r="AE393" s="1991"/>
      <c r="AF393" s="1991"/>
      <c r="AG393" s="574"/>
      <c r="AH393" s="574"/>
      <c r="AI393" s="574"/>
      <c r="AJ393" s="574"/>
      <c r="AK393" s="574"/>
      <c r="AL393" s="755"/>
      <c r="AM393" s="605"/>
      <c r="AN393" s="632"/>
      <c r="BS393" s="605"/>
      <c r="BT393" s="605"/>
      <c r="BU393" s="605"/>
      <c r="BV393" s="605"/>
      <c r="BW393" s="605"/>
      <c r="BX393" s="605"/>
      <c r="BY393" s="605"/>
      <c r="BZ393" s="605"/>
      <c r="CA393" s="605"/>
      <c r="CB393" s="605"/>
      <c r="CC393" s="605"/>
    </row>
    <row r="394" spans="1:81">
      <c r="A394" s="571"/>
      <c r="C394" s="766"/>
      <c r="E394" s="726"/>
      <c r="F394" s="1991"/>
      <c r="G394" s="1991"/>
      <c r="H394" s="1991"/>
      <c r="I394" s="1991"/>
      <c r="J394" s="1991"/>
      <c r="K394" s="1991"/>
      <c r="L394" s="1991"/>
      <c r="M394" s="1991"/>
      <c r="N394" s="1991"/>
      <c r="O394" s="1991"/>
      <c r="P394" s="1991"/>
      <c r="Q394" s="1991"/>
      <c r="R394" s="1991"/>
      <c r="S394" s="1991"/>
      <c r="T394" s="1991"/>
      <c r="U394" s="1991"/>
      <c r="V394" s="1991"/>
      <c r="W394" s="1991"/>
      <c r="X394" s="1991"/>
      <c r="Y394" s="1991"/>
      <c r="Z394" s="1991"/>
      <c r="AA394" s="1991"/>
      <c r="AB394" s="1991"/>
      <c r="AC394" s="1991"/>
      <c r="AD394" s="1991"/>
      <c r="AE394" s="1991"/>
      <c r="AF394" s="1991"/>
      <c r="AG394" s="574"/>
      <c r="AH394" s="574"/>
      <c r="AI394" s="574"/>
      <c r="AJ394" s="574"/>
      <c r="AK394" s="574"/>
      <c r="AL394" s="755"/>
      <c r="AM394" s="605"/>
      <c r="BS394" s="605"/>
      <c r="BT394" s="605"/>
      <c r="BU394" s="605"/>
      <c r="BV394" s="605"/>
      <c r="BW394" s="605"/>
      <c r="BX394" s="605"/>
      <c r="BY394" s="605"/>
      <c r="BZ394" s="605"/>
      <c r="CA394" s="605"/>
      <c r="CB394" s="605"/>
      <c r="CC394" s="605"/>
    </row>
    <row r="395" spans="1:81" s="585" customFormat="1" ht="12.75" customHeight="1">
      <c r="A395" s="571"/>
      <c r="B395" s="14"/>
      <c r="C395" s="766"/>
      <c r="D395" s="14"/>
      <c r="E395" s="726"/>
      <c r="F395" s="1991"/>
      <c r="G395" s="1991"/>
      <c r="H395" s="1991"/>
      <c r="I395" s="1991"/>
      <c r="J395" s="1991"/>
      <c r="K395" s="1991"/>
      <c r="L395" s="1991"/>
      <c r="M395" s="1991"/>
      <c r="N395" s="1991"/>
      <c r="O395" s="1991"/>
      <c r="P395" s="1991"/>
      <c r="Q395" s="1991"/>
      <c r="R395" s="1991"/>
      <c r="S395" s="1991"/>
      <c r="T395" s="1991"/>
      <c r="U395" s="1991"/>
      <c r="V395" s="1991"/>
      <c r="W395" s="1991"/>
      <c r="X395" s="1991"/>
      <c r="Y395" s="1991"/>
      <c r="Z395" s="1991"/>
      <c r="AA395" s="1991"/>
      <c r="AB395" s="1991"/>
      <c r="AC395" s="1991"/>
      <c r="AD395" s="1991"/>
      <c r="AE395" s="1991"/>
      <c r="AF395" s="1991"/>
      <c r="AG395" s="574"/>
      <c r="AH395" s="574"/>
      <c r="AI395" s="574"/>
      <c r="AJ395" s="574"/>
      <c r="AK395" s="574"/>
      <c r="AL395" s="755"/>
      <c r="AM395" s="605"/>
      <c r="AN395" s="632"/>
      <c r="BS395" s="605"/>
      <c r="BT395" s="605"/>
      <c r="BY395" s="605"/>
      <c r="BZ395" s="605"/>
      <c r="CA395" s="605"/>
      <c r="CB395" s="605"/>
      <c r="CC395" s="605"/>
    </row>
    <row r="396" spans="1:81" s="585" customFormat="1" ht="12.75" customHeight="1">
      <c r="A396" s="571"/>
      <c r="B396" s="14"/>
      <c r="C396" s="1987" t="s">
        <v>600</v>
      </c>
      <c r="D396" s="1944"/>
      <c r="E396" s="726"/>
      <c r="F396" s="756" t="s">
        <v>1648</v>
      </c>
      <c r="G396" s="638"/>
      <c r="H396" s="638"/>
      <c r="I396" s="638"/>
      <c r="J396" s="638"/>
      <c r="K396" s="638"/>
      <c r="L396" s="638"/>
      <c r="M396" s="638"/>
      <c r="N396" s="638"/>
      <c r="O396" s="638"/>
      <c r="P396" s="638"/>
      <c r="Q396" s="638"/>
      <c r="R396" s="638"/>
      <c r="S396" s="638"/>
      <c r="T396" s="638"/>
      <c r="U396" s="638"/>
      <c r="V396" s="638"/>
      <c r="W396" s="638"/>
      <c r="X396" s="638"/>
      <c r="Y396" s="638"/>
      <c r="Z396" s="638"/>
      <c r="AA396" s="638"/>
      <c r="AB396" s="638"/>
      <c r="AC396" s="638"/>
      <c r="AD396" s="638"/>
      <c r="AF396" s="1988" t="s">
        <v>1638</v>
      </c>
      <c r="AG396" s="1988"/>
      <c r="AH396" s="1988"/>
      <c r="AI396" s="1988"/>
      <c r="AJ396" s="1988"/>
      <c r="AK396" s="1988"/>
      <c r="AL396" s="1989"/>
      <c r="AM396" s="605"/>
      <c r="AN396" s="632"/>
      <c r="BS396" s="605"/>
      <c r="BT396" s="605"/>
      <c r="BY396" s="605"/>
      <c r="BZ396" s="605"/>
      <c r="CA396" s="605"/>
      <c r="CB396" s="605"/>
      <c r="CC396" s="605"/>
    </row>
    <row r="397" spans="1:81" s="585" customFormat="1" ht="12.75" customHeight="1">
      <c r="A397" s="571"/>
      <c r="B397" s="14"/>
      <c r="C397" s="766"/>
      <c r="D397" s="14"/>
      <c r="E397" s="726"/>
      <c r="G397" s="638"/>
      <c r="H397" s="638"/>
      <c r="I397" s="638"/>
      <c r="J397" s="638"/>
      <c r="K397" s="638"/>
      <c r="L397" s="638"/>
      <c r="M397" s="638"/>
      <c r="N397" s="638"/>
      <c r="O397" s="638"/>
      <c r="P397" s="638"/>
      <c r="Q397" s="638"/>
      <c r="R397" s="638"/>
      <c r="S397" s="638"/>
      <c r="T397" s="638"/>
      <c r="U397" s="638"/>
      <c r="V397" s="638"/>
      <c r="W397" s="638"/>
      <c r="X397" s="638"/>
      <c r="Y397" s="638"/>
      <c r="Z397" s="638"/>
      <c r="AA397" s="638"/>
      <c r="AB397" s="638"/>
      <c r="AC397" s="638"/>
      <c r="AD397" s="638"/>
      <c r="AL397" s="767"/>
      <c r="AM397" s="605"/>
      <c r="AN397" s="632"/>
      <c r="BS397" s="605"/>
      <c r="BT397" s="605"/>
      <c r="BY397" s="605"/>
      <c r="BZ397" s="605"/>
      <c r="CA397" s="605"/>
      <c r="CB397" s="605"/>
      <c r="CC397" s="605"/>
    </row>
    <row r="398" spans="1:81" s="585" customFormat="1" ht="12.75" customHeight="1">
      <c r="A398" s="571"/>
      <c r="B398" s="14"/>
      <c r="C398" s="1987" t="s">
        <v>554</v>
      </c>
      <c r="D398" s="1944"/>
      <c r="E398" s="754"/>
      <c r="F398" s="756" t="s">
        <v>1649</v>
      </c>
      <c r="G398" s="638"/>
      <c r="H398" s="638"/>
      <c r="I398" s="638"/>
      <c r="J398" s="638"/>
      <c r="K398" s="638"/>
      <c r="L398" s="638"/>
      <c r="M398" s="638"/>
      <c r="N398" s="638"/>
      <c r="O398" s="638"/>
      <c r="P398" s="638"/>
      <c r="Q398" s="638"/>
      <c r="R398" s="638"/>
      <c r="S398" s="638"/>
      <c r="T398" s="638"/>
      <c r="U398" s="638"/>
      <c r="V398" s="638"/>
      <c r="W398" s="638"/>
      <c r="X398" s="638"/>
      <c r="Y398" s="638"/>
      <c r="Z398" s="638"/>
      <c r="AA398" s="638"/>
      <c r="AB398" s="638"/>
      <c r="AC398" s="638"/>
      <c r="AD398" s="638"/>
      <c r="AF398" s="1988" t="s">
        <v>1650</v>
      </c>
      <c r="AG398" s="1988"/>
      <c r="AH398" s="1988"/>
      <c r="AI398" s="1988"/>
      <c r="AJ398" s="1988"/>
      <c r="AK398" s="1988"/>
      <c r="AL398" s="1989"/>
      <c r="AM398" s="605"/>
      <c r="AN398" s="632"/>
      <c r="BS398" s="605"/>
      <c r="BT398" s="605"/>
      <c r="BY398" s="605"/>
      <c r="BZ398" s="605"/>
      <c r="CA398" s="605"/>
      <c r="CB398" s="605"/>
      <c r="CC398" s="605"/>
    </row>
    <row r="399" spans="1:81" s="585" customFormat="1" ht="12.75" customHeight="1">
      <c r="A399" s="571"/>
      <c r="B399" s="14"/>
      <c r="C399" s="778"/>
      <c r="D399" s="762"/>
      <c r="E399" s="759"/>
      <c r="F399" s="762"/>
      <c r="G399" s="761"/>
      <c r="H399" s="761"/>
      <c r="I399" s="761"/>
      <c r="J399" s="761"/>
      <c r="K399" s="761"/>
      <c r="L399" s="761"/>
      <c r="M399" s="761"/>
      <c r="N399" s="761"/>
      <c r="O399" s="761"/>
      <c r="P399" s="761"/>
      <c r="Q399" s="761"/>
      <c r="R399" s="761"/>
      <c r="S399" s="761"/>
      <c r="T399" s="761"/>
      <c r="U399" s="761"/>
      <c r="V399" s="761"/>
      <c r="W399" s="761"/>
      <c r="X399" s="761"/>
      <c r="Y399" s="761"/>
      <c r="Z399" s="761"/>
      <c r="AA399" s="761"/>
      <c r="AB399" s="761"/>
      <c r="AC399" s="761"/>
      <c r="AD399" s="761"/>
      <c r="AE399" s="762"/>
      <c r="AF399" s="762"/>
      <c r="AG399" s="762"/>
      <c r="AH399" s="762"/>
      <c r="AI399" s="762"/>
      <c r="AJ399" s="762"/>
      <c r="AK399" s="762"/>
      <c r="AL399" s="777"/>
      <c r="AM399" s="605"/>
      <c r="AN399" s="632"/>
      <c r="BS399" s="605"/>
      <c r="BT399" s="605"/>
      <c r="BY399" s="605"/>
      <c r="BZ399" s="605"/>
      <c r="CA399" s="605"/>
      <c r="CB399" s="605"/>
      <c r="CC399" s="605"/>
    </row>
    <row r="400" spans="1:81" s="585" customFormat="1" ht="12.75" customHeight="1">
      <c r="A400" s="571"/>
      <c r="B400" s="14"/>
      <c r="C400" s="14"/>
      <c r="D400" s="14"/>
      <c r="E400" s="726"/>
      <c r="G400" s="638"/>
      <c r="H400" s="638"/>
      <c r="I400" s="638"/>
      <c r="J400" s="638"/>
      <c r="K400" s="638"/>
      <c r="L400" s="638"/>
      <c r="M400" s="638"/>
      <c r="N400" s="638"/>
      <c r="O400" s="638"/>
      <c r="P400" s="638"/>
      <c r="Q400" s="638"/>
      <c r="R400" s="638"/>
      <c r="S400" s="638"/>
      <c r="T400" s="638"/>
      <c r="U400" s="638"/>
      <c r="V400" s="638"/>
      <c r="W400" s="638"/>
      <c r="X400" s="638"/>
      <c r="Y400" s="638"/>
      <c r="Z400" s="638"/>
      <c r="AA400" s="638"/>
      <c r="AB400" s="638"/>
      <c r="AC400" s="638"/>
      <c r="AD400" s="638"/>
      <c r="AE400" s="571"/>
      <c r="AF400" s="574"/>
      <c r="AG400" s="571"/>
      <c r="AM400" s="605"/>
      <c r="AN400" s="632"/>
      <c r="BS400" s="605"/>
      <c r="BT400" s="605"/>
      <c r="BY400" s="605"/>
      <c r="BZ400" s="605"/>
      <c r="CA400" s="605"/>
      <c r="CB400" s="605"/>
      <c r="CC400" s="605"/>
    </row>
    <row r="401" spans="1:81" s="585" customFormat="1" ht="12.75" customHeight="1">
      <c r="A401" s="571"/>
      <c r="B401" s="14"/>
      <c r="C401" s="1987" t="s">
        <v>600</v>
      </c>
      <c r="D401" s="1944"/>
      <c r="E401" s="750" t="s">
        <v>1651</v>
      </c>
      <c r="F401" s="1990" t="s">
        <v>1652</v>
      </c>
      <c r="G401" s="1990"/>
      <c r="H401" s="1990"/>
      <c r="I401" s="1990"/>
      <c r="J401" s="1990"/>
      <c r="K401" s="1990"/>
      <c r="L401" s="1990"/>
      <c r="M401" s="1990"/>
      <c r="N401" s="1990"/>
      <c r="O401" s="1990"/>
      <c r="P401" s="1990"/>
      <c r="Q401" s="1990"/>
      <c r="R401" s="1990"/>
      <c r="S401" s="1990"/>
      <c r="T401" s="1990"/>
      <c r="U401" s="1990"/>
      <c r="V401" s="1990"/>
      <c r="W401" s="1990"/>
      <c r="X401" s="1990"/>
      <c r="Y401" s="1990"/>
      <c r="Z401" s="1990"/>
      <c r="AA401" s="1990"/>
      <c r="AB401" s="1990"/>
      <c r="AC401" s="1990"/>
      <c r="AD401" s="1990"/>
      <c r="AE401" s="1990"/>
      <c r="AF401" s="751"/>
      <c r="AG401" s="779"/>
      <c r="AH401" s="749"/>
      <c r="AI401" s="749"/>
      <c r="AJ401" s="749"/>
      <c r="AK401" s="749"/>
      <c r="AL401" s="780"/>
      <c r="AM401" s="605"/>
      <c r="AN401" s="632"/>
      <c r="BS401" s="605"/>
      <c r="BT401" s="605"/>
      <c r="BY401" s="605"/>
      <c r="BZ401" s="605"/>
      <c r="CA401" s="605"/>
      <c r="CB401" s="605"/>
      <c r="CC401" s="605"/>
    </row>
    <row r="402" spans="1:81" s="585" customFormat="1" ht="12.75" customHeight="1">
      <c r="A402" s="571"/>
      <c r="B402" s="14"/>
      <c r="C402" s="774"/>
      <c r="F402" s="1991"/>
      <c r="G402" s="1991"/>
      <c r="H402" s="1991"/>
      <c r="I402" s="1991"/>
      <c r="J402" s="1991"/>
      <c r="K402" s="1991"/>
      <c r="L402" s="1991"/>
      <c r="M402" s="1991"/>
      <c r="N402" s="1991"/>
      <c r="O402" s="1991"/>
      <c r="P402" s="1991"/>
      <c r="Q402" s="1991"/>
      <c r="R402" s="1991"/>
      <c r="S402" s="1991"/>
      <c r="T402" s="1991"/>
      <c r="U402" s="1991"/>
      <c r="V402" s="1991"/>
      <c r="W402" s="1991"/>
      <c r="X402" s="1991"/>
      <c r="Y402" s="1991"/>
      <c r="Z402" s="1991"/>
      <c r="AA402" s="1991"/>
      <c r="AB402" s="1991"/>
      <c r="AC402" s="1991"/>
      <c r="AD402" s="1991"/>
      <c r="AE402" s="1991"/>
      <c r="AF402" s="1914" t="s">
        <v>1638</v>
      </c>
      <c r="AG402" s="1914"/>
      <c r="AH402" s="1914"/>
      <c r="AI402" s="1914"/>
      <c r="AJ402" s="1914"/>
      <c r="AK402" s="1914"/>
      <c r="AL402" s="1992"/>
      <c r="AM402" s="605"/>
      <c r="AN402" s="632"/>
      <c r="BS402" s="605"/>
      <c r="BT402" s="605"/>
      <c r="BY402" s="605"/>
      <c r="BZ402" s="605"/>
      <c r="CA402" s="605"/>
      <c r="CB402" s="605"/>
      <c r="CC402" s="605"/>
    </row>
    <row r="403" spans="1:81" s="585" customFormat="1" ht="12.75" customHeight="1">
      <c r="A403" s="571"/>
      <c r="B403" s="14"/>
      <c r="C403" s="766"/>
      <c r="D403" s="14"/>
      <c r="E403" s="726"/>
      <c r="F403" s="1991"/>
      <c r="G403" s="1991"/>
      <c r="H403" s="1991"/>
      <c r="I403" s="1991"/>
      <c r="J403" s="1991"/>
      <c r="K403" s="1991"/>
      <c r="L403" s="1991"/>
      <c r="M403" s="1991"/>
      <c r="N403" s="1991"/>
      <c r="O403" s="1991"/>
      <c r="P403" s="1991"/>
      <c r="Q403" s="1991"/>
      <c r="R403" s="1991"/>
      <c r="S403" s="1991"/>
      <c r="T403" s="1991"/>
      <c r="U403" s="1991"/>
      <c r="V403" s="1991"/>
      <c r="W403" s="1991"/>
      <c r="X403" s="1991"/>
      <c r="Y403" s="1991"/>
      <c r="Z403" s="1991"/>
      <c r="AA403" s="1991"/>
      <c r="AB403" s="1991"/>
      <c r="AC403" s="1991"/>
      <c r="AD403" s="1991"/>
      <c r="AE403" s="1991"/>
      <c r="AL403" s="767"/>
      <c r="AM403" s="605"/>
      <c r="AN403" s="632"/>
      <c r="BS403" s="605"/>
      <c r="BT403" s="605"/>
      <c r="BU403" s="605"/>
      <c r="BV403" s="605"/>
      <c r="BW403" s="605"/>
      <c r="BX403" s="605"/>
      <c r="BY403" s="605"/>
      <c r="BZ403" s="605"/>
      <c r="CA403" s="605"/>
      <c r="CB403" s="605"/>
      <c r="CC403" s="605"/>
    </row>
    <row r="404" spans="1:81" s="585" customFormat="1" ht="12.75" customHeight="1">
      <c r="A404" s="571"/>
      <c r="B404" s="14"/>
      <c r="C404" s="775"/>
      <c r="D404" s="768"/>
      <c r="E404" s="769"/>
      <c r="F404" s="2006"/>
      <c r="G404" s="2006"/>
      <c r="H404" s="2006"/>
      <c r="I404" s="2006"/>
      <c r="J404" s="2006"/>
      <c r="K404" s="2006"/>
      <c r="L404" s="2006"/>
      <c r="M404" s="2006"/>
      <c r="N404" s="2006"/>
      <c r="O404" s="2006"/>
      <c r="P404" s="2006"/>
      <c r="Q404" s="2006"/>
      <c r="R404" s="2006"/>
      <c r="S404" s="2006"/>
      <c r="T404" s="2006"/>
      <c r="U404" s="2006"/>
      <c r="V404" s="2006"/>
      <c r="W404" s="2006"/>
      <c r="X404" s="2006"/>
      <c r="Y404" s="2006"/>
      <c r="Z404" s="2006"/>
      <c r="AA404" s="2006"/>
      <c r="AB404" s="2006"/>
      <c r="AC404" s="2006"/>
      <c r="AD404" s="2006"/>
      <c r="AE404" s="2006"/>
      <c r="AF404" s="618"/>
      <c r="AG404" s="772"/>
      <c r="AH404" s="762"/>
      <c r="AI404" s="762"/>
      <c r="AJ404" s="762"/>
      <c r="AK404" s="762"/>
      <c r="AL404" s="777"/>
      <c r="AM404" s="605"/>
      <c r="AN404" s="632"/>
    </row>
    <row r="405" spans="1:81">
      <c r="A405" s="571"/>
      <c r="E405" s="726"/>
      <c r="F405" s="638"/>
      <c r="G405" s="638"/>
      <c r="H405" s="638"/>
      <c r="I405" s="638"/>
      <c r="J405" s="638"/>
      <c r="K405" s="638"/>
      <c r="L405" s="638"/>
      <c r="M405" s="638"/>
      <c r="N405" s="638"/>
      <c r="O405" s="638"/>
      <c r="P405" s="638"/>
      <c r="Q405" s="638"/>
      <c r="R405" s="638"/>
      <c r="S405" s="638"/>
      <c r="T405" s="638"/>
      <c r="U405" s="638"/>
      <c r="V405" s="638"/>
      <c r="W405" s="638"/>
      <c r="X405" s="638"/>
      <c r="Y405" s="638"/>
      <c r="Z405" s="638"/>
      <c r="AA405" s="638"/>
      <c r="AB405" s="638"/>
      <c r="AC405" s="638"/>
      <c r="AD405" s="638"/>
      <c r="AE405" s="571"/>
      <c r="AF405" s="574"/>
      <c r="AG405" s="571"/>
      <c r="AH405" s="585"/>
      <c r="AI405" s="585"/>
      <c r="AJ405" s="585"/>
      <c r="AK405" s="585"/>
      <c r="AL405" s="585"/>
      <c r="AM405" s="605"/>
    </row>
    <row r="406" spans="1:81" ht="12.75" customHeight="1">
      <c r="A406" s="571"/>
      <c r="C406" s="781"/>
      <c r="D406" s="782"/>
      <c r="E406" s="750" t="s">
        <v>1653</v>
      </c>
      <c r="F406" s="1990" t="s">
        <v>1654</v>
      </c>
      <c r="G406" s="1990"/>
      <c r="H406" s="1990"/>
      <c r="I406" s="1990"/>
      <c r="J406" s="1990"/>
      <c r="K406" s="1990"/>
      <c r="L406" s="1990"/>
      <c r="M406" s="1990"/>
      <c r="N406" s="1990"/>
      <c r="O406" s="1990"/>
      <c r="P406" s="1990"/>
      <c r="Q406" s="1990"/>
      <c r="R406" s="1990"/>
      <c r="S406" s="1990"/>
      <c r="T406" s="1990"/>
      <c r="U406" s="1990"/>
      <c r="V406" s="1990"/>
      <c r="W406" s="1990"/>
      <c r="X406" s="1990"/>
      <c r="Y406" s="1990"/>
      <c r="Z406" s="1990"/>
      <c r="AA406" s="1990"/>
      <c r="AB406" s="1990"/>
      <c r="AC406" s="1990"/>
      <c r="AD406" s="1990"/>
      <c r="AE406" s="1990"/>
      <c r="AF406" s="782"/>
      <c r="AG406" s="782"/>
      <c r="AH406" s="782"/>
      <c r="AI406" s="782"/>
      <c r="AJ406" s="782"/>
      <c r="AK406" s="782"/>
      <c r="AL406" s="783"/>
      <c r="AM406" s="605"/>
    </row>
    <row r="407" spans="1:81">
      <c r="A407" s="571"/>
      <c r="C407" s="766"/>
      <c r="E407" s="726"/>
      <c r="F407" s="1991"/>
      <c r="G407" s="1991"/>
      <c r="H407" s="1991"/>
      <c r="I407" s="1991"/>
      <c r="J407" s="1991"/>
      <c r="K407" s="1991"/>
      <c r="L407" s="1991"/>
      <c r="M407" s="1991"/>
      <c r="N407" s="1991"/>
      <c r="O407" s="1991"/>
      <c r="P407" s="1991"/>
      <c r="Q407" s="1991"/>
      <c r="R407" s="1991"/>
      <c r="S407" s="1991"/>
      <c r="T407" s="1991"/>
      <c r="U407" s="1991"/>
      <c r="V407" s="1991"/>
      <c r="W407" s="1991"/>
      <c r="X407" s="1991"/>
      <c r="Y407" s="1991"/>
      <c r="Z407" s="1991"/>
      <c r="AA407" s="1991"/>
      <c r="AB407" s="1991"/>
      <c r="AC407" s="1991"/>
      <c r="AD407" s="1991"/>
      <c r="AE407" s="1991"/>
      <c r="AF407" s="574"/>
      <c r="AG407" s="571"/>
      <c r="AH407" s="585"/>
      <c r="AI407" s="585"/>
      <c r="AJ407" s="585"/>
      <c r="AK407" s="585"/>
      <c r="AL407" s="767"/>
      <c r="AM407" s="605"/>
    </row>
    <row r="408" spans="1:81" s="585" customFormat="1" ht="12.75" customHeight="1">
      <c r="A408" s="571"/>
      <c r="B408" s="14"/>
      <c r="C408" s="766"/>
      <c r="D408" s="14"/>
      <c r="E408" s="726"/>
      <c r="F408" s="1991"/>
      <c r="G408" s="1991"/>
      <c r="H408" s="1991"/>
      <c r="I408" s="1991"/>
      <c r="J408" s="1991"/>
      <c r="K408" s="1991"/>
      <c r="L408" s="1991"/>
      <c r="M408" s="1991"/>
      <c r="N408" s="1991"/>
      <c r="O408" s="1991"/>
      <c r="P408" s="1991"/>
      <c r="Q408" s="1991"/>
      <c r="R408" s="1991"/>
      <c r="S408" s="1991"/>
      <c r="T408" s="1991"/>
      <c r="U408" s="1991"/>
      <c r="V408" s="1991"/>
      <c r="W408" s="1991"/>
      <c r="X408" s="1991"/>
      <c r="Y408" s="1991"/>
      <c r="Z408" s="1991"/>
      <c r="AA408" s="1991"/>
      <c r="AB408" s="1991"/>
      <c r="AC408" s="1991"/>
      <c r="AD408" s="1991"/>
      <c r="AE408" s="1991"/>
      <c r="AL408" s="767"/>
      <c r="AM408" s="605"/>
      <c r="AN408" s="632"/>
    </row>
    <row r="409" spans="1:81" s="585" customFormat="1" ht="12.75" customHeight="1">
      <c r="A409" s="571"/>
      <c r="B409" s="14"/>
      <c r="C409" s="774"/>
      <c r="F409" s="1991"/>
      <c r="G409" s="1991"/>
      <c r="H409" s="1991"/>
      <c r="I409" s="1991"/>
      <c r="J409" s="1991"/>
      <c r="K409" s="1991"/>
      <c r="L409" s="1991"/>
      <c r="M409" s="1991"/>
      <c r="N409" s="1991"/>
      <c r="O409" s="1991"/>
      <c r="P409" s="1991"/>
      <c r="Q409" s="1991"/>
      <c r="R409" s="1991"/>
      <c r="S409" s="1991"/>
      <c r="T409" s="1991"/>
      <c r="U409" s="1991"/>
      <c r="V409" s="1991"/>
      <c r="W409" s="1991"/>
      <c r="X409" s="1991"/>
      <c r="Y409" s="1991"/>
      <c r="Z409" s="1991"/>
      <c r="AA409" s="1991"/>
      <c r="AB409" s="1991"/>
      <c r="AC409" s="1991"/>
      <c r="AD409" s="1991"/>
      <c r="AE409" s="1991"/>
      <c r="AL409" s="767"/>
      <c r="AM409" s="605"/>
      <c r="AN409" s="632"/>
    </row>
    <row r="410" spans="1:81" s="585" customFormat="1" ht="12.75" customHeight="1">
      <c r="A410" s="571"/>
      <c r="B410" s="14"/>
      <c r="C410" s="1987" t="s">
        <v>600</v>
      </c>
      <c r="D410" s="1944"/>
      <c r="E410" s="726"/>
      <c r="F410" s="756" t="s">
        <v>1655</v>
      </c>
      <c r="G410" s="638"/>
      <c r="H410" s="638"/>
      <c r="I410" s="638"/>
      <c r="J410" s="638"/>
      <c r="K410" s="638"/>
      <c r="L410" s="638"/>
      <c r="M410" s="638"/>
      <c r="N410" s="638"/>
      <c r="O410" s="638"/>
      <c r="P410" s="638"/>
      <c r="Q410" s="638"/>
      <c r="R410" s="638"/>
      <c r="S410" s="638"/>
      <c r="T410" s="638"/>
      <c r="U410" s="638"/>
      <c r="V410" s="638"/>
      <c r="W410" s="638"/>
      <c r="X410" s="638"/>
      <c r="Y410" s="638"/>
      <c r="Z410" s="638"/>
      <c r="AA410" s="638"/>
      <c r="AB410" s="638"/>
      <c r="AC410" s="638"/>
      <c r="AD410" s="638"/>
      <c r="AF410" s="1914" t="s">
        <v>1638</v>
      </c>
      <c r="AG410" s="1914"/>
      <c r="AH410" s="1914"/>
      <c r="AI410" s="1914"/>
      <c r="AJ410" s="1914"/>
      <c r="AK410" s="1914"/>
      <c r="AL410" s="1992"/>
      <c r="AM410" s="605"/>
      <c r="AN410" s="632"/>
    </row>
    <row r="411" spans="1:81" s="585" customFormat="1" ht="12.75" customHeight="1">
      <c r="A411" s="571"/>
      <c r="B411" s="14"/>
      <c r="C411" s="774"/>
      <c r="AL411" s="767"/>
      <c r="AM411" s="605"/>
      <c r="AN411" s="632"/>
    </row>
    <row r="412" spans="1:81" s="585" customFormat="1" ht="12.75" customHeight="1">
      <c r="A412" s="571"/>
      <c r="B412" s="14"/>
      <c r="C412" s="1987" t="s">
        <v>600</v>
      </c>
      <c r="D412" s="1944"/>
      <c r="E412" s="754"/>
      <c r="F412" s="756" t="s">
        <v>1656</v>
      </c>
      <c r="G412" s="638"/>
      <c r="H412" s="638"/>
      <c r="I412" s="638"/>
      <c r="J412" s="638"/>
      <c r="K412" s="638"/>
      <c r="L412" s="638"/>
      <c r="M412" s="638"/>
      <c r="N412" s="638"/>
      <c r="O412" s="638"/>
      <c r="P412" s="638"/>
      <c r="Q412" s="638"/>
      <c r="R412" s="638"/>
      <c r="S412" s="638"/>
      <c r="T412" s="638"/>
      <c r="U412" s="638"/>
      <c r="V412" s="638"/>
      <c r="W412" s="638"/>
      <c r="X412" s="638"/>
      <c r="Y412" s="638"/>
      <c r="Z412" s="638"/>
      <c r="AA412" s="638"/>
      <c r="AB412" s="638"/>
      <c r="AC412" s="638"/>
      <c r="AD412" s="638"/>
      <c r="AF412" s="1914" t="s">
        <v>1650</v>
      </c>
      <c r="AG412" s="1914"/>
      <c r="AH412" s="1914"/>
      <c r="AI412" s="1914"/>
      <c r="AJ412" s="1914"/>
      <c r="AK412" s="1914"/>
      <c r="AL412" s="1992"/>
      <c r="AM412" s="605"/>
      <c r="AN412" s="632"/>
      <c r="AO412" s="631"/>
      <c r="AP412" s="631"/>
      <c r="BC412" s="14"/>
    </row>
    <row r="413" spans="1:81" s="585" customFormat="1" ht="12.75" customHeight="1">
      <c r="A413" s="571"/>
      <c r="B413" s="14"/>
      <c r="C413" s="768"/>
      <c r="D413" s="768"/>
      <c r="E413" s="769"/>
      <c r="F413" s="760"/>
      <c r="G413" s="761"/>
      <c r="H413" s="761"/>
      <c r="I413" s="761"/>
      <c r="J413" s="761"/>
      <c r="K413" s="761"/>
      <c r="L413" s="761"/>
      <c r="M413" s="761"/>
      <c r="N413" s="761"/>
      <c r="O413" s="761"/>
      <c r="P413" s="761"/>
      <c r="Q413" s="761"/>
      <c r="R413" s="761"/>
      <c r="S413" s="761"/>
      <c r="T413" s="761"/>
      <c r="U413" s="761"/>
      <c r="V413" s="761"/>
      <c r="W413" s="761"/>
      <c r="X413" s="761"/>
      <c r="Y413" s="761"/>
      <c r="Z413" s="761"/>
      <c r="AA413" s="761"/>
      <c r="AB413" s="761"/>
      <c r="AC413" s="761"/>
      <c r="AD413" s="761"/>
      <c r="AE413" s="772"/>
      <c r="AF413" s="618"/>
      <c r="AG413" s="772"/>
      <c r="AH413" s="762"/>
      <c r="AI413" s="762"/>
      <c r="AJ413" s="762"/>
      <c r="AK413" s="762"/>
      <c r="AL413" s="784"/>
      <c r="AM413" s="605"/>
      <c r="AN413" s="632"/>
    </row>
    <row r="414" spans="1:81" s="585" customFormat="1" ht="12.75" customHeight="1">
      <c r="A414" s="571"/>
      <c r="B414" s="14"/>
      <c r="C414" s="14"/>
      <c r="D414" s="14"/>
      <c r="E414" s="726"/>
      <c r="F414" s="756"/>
      <c r="G414" s="638"/>
      <c r="H414" s="638"/>
      <c r="I414" s="638"/>
      <c r="J414" s="638"/>
      <c r="K414" s="638"/>
      <c r="L414" s="638"/>
      <c r="M414" s="638"/>
      <c r="N414" s="638"/>
      <c r="O414" s="638"/>
      <c r="P414" s="638"/>
      <c r="Q414" s="638"/>
      <c r="R414" s="638"/>
      <c r="S414" s="638"/>
      <c r="T414" s="638"/>
      <c r="U414" s="638"/>
      <c r="V414" s="638"/>
      <c r="W414" s="638"/>
      <c r="X414" s="638"/>
      <c r="Y414" s="638"/>
      <c r="Z414" s="638"/>
      <c r="AA414" s="638"/>
      <c r="AB414" s="638"/>
      <c r="AC414" s="638"/>
      <c r="AD414" s="638"/>
      <c r="AE414" s="571"/>
      <c r="AF414" s="574"/>
      <c r="AG414" s="571"/>
      <c r="AM414" s="605"/>
      <c r="AN414" s="632"/>
    </row>
    <row r="415" spans="1:81" s="585" customFormat="1" ht="12.75" customHeight="1">
      <c r="A415" s="571"/>
      <c r="B415" s="14"/>
      <c r="C415" s="747" t="s">
        <v>1657</v>
      </c>
      <c r="D415" s="14"/>
      <c r="E415" s="726"/>
      <c r="F415" s="638"/>
      <c r="G415" s="638"/>
      <c r="H415" s="638"/>
      <c r="I415" s="638"/>
      <c r="J415" s="638"/>
      <c r="K415" s="638"/>
      <c r="L415" s="638"/>
      <c r="M415" s="638"/>
      <c r="N415" s="638"/>
      <c r="O415" s="638"/>
      <c r="P415" s="638"/>
      <c r="Q415" s="638"/>
      <c r="R415" s="638"/>
      <c r="S415" s="638"/>
      <c r="T415" s="638"/>
      <c r="U415" s="638"/>
      <c r="V415" s="638"/>
      <c r="W415" s="638"/>
      <c r="X415" s="638"/>
      <c r="Y415" s="638"/>
      <c r="Z415" s="638"/>
      <c r="AA415" s="638"/>
      <c r="AB415" s="638"/>
      <c r="AC415" s="638"/>
      <c r="AD415" s="638"/>
      <c r="AE415" s="571"/>
      <c r="AF415" s="574"/>
      <c r="AG415" s="571"/>
      <c r="AM415" s="605"/>
      <c r="AN415" s="632"/>
    </row>
    <row r="416" spans="1:81" s="585" customFormat="1" ht="12.75" customHeight="1">
      <c r="A416" s="571"/>
      <c r="B416" s="14"/>
      <c r="C416" s="748"/>
      <c r="D416" s="749"/>
      <c r="E416" s="750" t="s">
        <v>1658</v>
      </c>
      <c r="F416" s="1990" t="s">
        <v>1659</v>
      </c>
      <c r="G416" s="1990"/>
      <c r="H416" s="1990"/>
      <c r="I416" s="1990"/>
      <c r="J416" s="1990"/>
      <c r="K416" s="1990"/>
      <c r="L416" s="1990"/>
      <c r="M416" s="1990"/>
      <c r="N416" s="1990"/>
      <c r="O416" s="1990"/>
      <c r="P416" s="1990"/>
      <c r="Q416" s="1990"/>
      <c r="R416" s="1990"/>
      <c r="S416" s="1990"/>
      <c r="T416" s="1990"/>
      <c r="U416" s="1990"/>
      <c r="V416" s="1990"/>
      <c r="W416" s="1990"/>
      <c r="X416" s="1990"/>
      <c r="Y416" s="1990"/>
      <c r="Z416" s="1990"/>
      <c r="AA416" s="1990"/>
      <c r="AB416" s="1990"/>
      <c r="AC416" s="1990"/>
      <c r="AD416" s="1990"/>
      <c r="AE416" s="1990"/>
      <c r="AF416" s="749"/>
      <c r="AG416" s="749"/>
      <c r="AH416" s="749"/>
      <c r="AI416" s="749"/>
      <c r="AJ416" s="749"/>
      <c r="AK416" s="749"/>
      <c r="AL416" s="780"/>
      <c r="AM416" s="605"/>
      <c r="AN416" s="632"/>
    </row>
    <row r="417" spans="1:60" s="585" customFormat="1" ht="12.75" customHeight="1">
      <c r="A417" s="571"/>
      <c r="B417" s="14"/>
      <c r="C417" s="766"/>
      <c r="D417" s="14"/>
      <c r="E417" s="726"/>
      <c r="F417" s="1991"/>
      <c r="G417" s="1991"/>
      <c r="H417" s="1991"/>
      <c r="I417" s="1991"/>
      <c r="J417" s="1991"/>
      <c r="K417" s="1991"/>
      <c r="L417" s="1991"/>
      <c r="M417" s="1991"/>
      <c r="N417" s="1991"/>
      <c r="O417" s="1991"/>
      <c r="P417" s="1991"/>
      <c r="Q417" s="1991"/>
      <c r="R417" s="1991"/>
      <c r="S417" s="1991"/>
      <c r="T417" s="1991"/>
      <c r="U417" s="1991"/>
      <c r="V417" s="1991"/>
      <c r="W417" s="1991"/>
      <c r="X417" s="1991"/>
      <c r="Y417" s="1991"/>
      <c r="Z417" s="1991"/>
      <c r="AA417" s="1991"/>
      <c r="AB417" s="1991"/>
      <c r="AC417" s="1991"/>
      <c r="AD417" s="1991"/>
      <c r="AE417" s="1991"/>
      <c r="AF417" s="574"/>
      <c r="AG417" s="571"/>
      <c r="AL417" s="767"/>
      <c r="AM417" s="605"/>
      <c r="AN417" s="632"/>
    </row>
    <row r="418" spans="1:60" s="585" customFormat="1" ht="12.4" customHeight="1">
      <c r="A418" s="571"/>
      <c r="B418" s="14"/>
      <c r="C418" s="766"/>
      <c r="D418" s="14"/>
      <c r="E418" s="726"/>
      <c r="F418" s="1991"/>
      <c r="G418" s="1991"/>
      <c r="H418" s="1991"/>
      <c r="I418" s="1991"/>
      <c r="J418" s="1991"/>
      <c r="K418" s="1991"/>
      <c r="L418" s="1991"/>
      <c r="M418" s="1991"/>
      <c r="N418" s="1991"/>
      <c r="O418" s="1991"/>
      <c r="P418" s="1991"/>
      <c r="Q418" s="1991"/>
      <c r="R418" s="1991"/>
      <c r="S418" s="1991"/>
      <c r="T418" s="1991"/>
      <c r="U418" s="1991"/>
      <c r="V418" s="1991"/>
      <c r="W418" s="1991"/>
      <c r="X418" s="1991"/>
      <c r="Y418" s="1991"/>
      <c r="Z418" s="1991"/>
      <c r="AA418" s="1991"/>
      <c r="AB418" s="1991"/>
      <c r="AC418" s="1991"/>
      <c r="AD418" s="1991"/>
      <c r="AE418" s="1991"/>
      <c r="AL418" s="767"/>
      <c r="AM418" s="605"/>
      <c r="AN418" s="632"/>
    </row>
    <row r="419" spans="1:60" s="585" customFormat="1" ht="12.75" customHeight="1">
      <c r="A419" s="571"/>
      <c r="B419" s="14"/>
      <c r="C419" s="1987" t="s">
        <v>600</v>
      </c>
      <c r="D419" s="1944"/>
      <c r="E419" s="726"/>
      <c r="F419" s="756" t="s">
        <v>1660</v>
      </c>
      <c r="G419" s="785"/>
      <c r="H419" s="785"/>
      <c r="I419" s="785"/>
      <c r="J419" s="785"/>
      <c r="K419" s="785"/>
      <c r="L419" s="785"/>
      <c r="M419" s="785"/>
      <c r="N419" s="785"/>
      <c r="O419" s="785"/>
      <c r="P419" s="785"/>
      <c r="Q419" s="785"/>
      <c r="R419" s="785"/>
      <c r="S419" s="785"/>
      <c r="T419" s="785"/>
      <c r="U419" s="785"/>
      <c r="V419" s="785"/>
      <c r="W419" s="785"/>
      <c r="X419" s="785"/>
      <c r="Y419" s="785"/>
      <c r="Z419" s="785"/>
      <c r="AA419" s="785"/>
      <c r="AB419" s="785"/>
      <c r="AC419" s="785"/>
      <c r="AD419" s="785"/>
      <c r="AF419" s="1914" t="s">
        <v>1638</v>
      </c>
      <c r="AG419" s="1914"/>
      <c r="AH419" s="1914"/>
      <c r="AI419" s="1914"/>
      <c r="AJ419" s="1914"/>
      <c r="AK419" s="1914"/>
      <c r="AL419" s="1992"/>
      <c r="AM419" s="605"/>
      <c r="AN419" s="632"/>
    </row>
    <row r="420" spans="1:60" s="585" customFormat="1" ht="12.75" customHeight="1">
      <c r="A420" s="571"/>
      <c r="B420" s="14"/>
      <c r="C420" s="778"/>
      <c r="D420" s="762"/>
      <c r="E420" s="759"/>
      <c r="F420" s="776"/>
      <c r="G420" s="761"/>
      <c r="H420" s="761"/>
      <c r="I420" s="761"/>
      <c r="J420" s="761"/>
      <c r="K420" s="761"/>
      <c r="L420" s="761"/>
      <c r="M420" s="761"/>
      <c r="N420" s="761"/>
      <c r="O420" s="761"/>
      <c r="P420" s="761"/>
      <c r="Q420" s="761"/>
      <c r="R420" s="761"/>
      <c r="S420" s="761"/>
      <c r="T420" s="761"/>
      <c r="U420" s="761"/>
      <c r="V420" s="761"/>
      <c r="W420" s="761"/>
      <c r="X420" s="761"/>
      <c r="Y420" s="761"/>
      <c r="Z420" s="761"/>
      <c r="AA420" s="761"/>
      <c r="AB420" s="761"/>
      <c r="AC420" s="761"/>
      <c r="AD420" s="761"/>
      <c r="AE420" s="762"/>
      <c r="AF420" s="762"/>
      <c r="AG420" s="762"/>
      <c r="AH420" s="762"/>
      <c r="AI420" s="762"/>
      <c r="AJ420" s="762"/>
      <c r="AK420" s="762"/>
      <c r="AL420" s="777"/>
      <c r="AM420" s="605"/>
      <c r="AN420" s="632"/>
    </row>
    <row r="421" spans="1:60" s="585" customFormat="1" ht="12.75" customHeight="1">
      <c r="A421" s="571"/>
      <c r="B421" s="14"/>
      <c r="C421" s="765"/>
      <c r="D421" s="765"/>
      <c r="E421" s="754"/>
      <c r="F421" s="756"/>
      <c r="G421" s="638"/>
      <c r="H421" s="638"/>
      <c r="I421" s="638"/>
      <c r="J421" s="638"/>
      <c r="K421" s="638"/>
      <c r="L421" s="638"/>
      <c r="M421" s="638"/>
      <c r="N421" s="638"/>
      <c r="O421" s="638"/>
      <c r="P421" s="638"/>
      <c r="Q421" s="638"/>
      <c r="R421" s="638"/>
      <c r="S421" s="638"/>
      <c r="T421" s="638"/>
      <c r="U421" s="638"/>
      <c r="V421" s="638"/>
      <c r="W421" s="638"/>
      <c r="X421" s="638"/>
      <c r="Y421" s="638"/>
      <c r="Z421" s="638"/>
      <c r="AA421" s="638"/>
      <c r="AB421" s="638"/>
      <c r="AC421" s="638"/>
      <c r="AD421" s="638"/>
      <c r="AE421" s="571"/>
      <c r="AM421" s="605"/>
      <c r="AN421" s="632"/>
    </row>
    <row r="422" spans="1:60" ht="13.15" customHeight="1">
      <c r="A422" s="571"/>
      <c r="C422" s="781"/>
      <c r="D422" s="782"/>
      <c r="E422" s="750" t="s">
        <v>1661</v>
      </c>
      <c r="F422" s="1990" t="s">
        <v>1662</v>
      </c>
      <c r="G422" s="1990"/>
      <c r="H422" s="1990"/>
      <c r="I422" s="1990"/>
      <c r="J422" s="1990"/>
      <c r="K422" s="1990"/>
      <c r="L422" s="1990"/>
      <c r="M422" s="1990"/>
      <c r="N422" s="1990"/>
      <c r="O422" s="1990"/>
      <c r="P422" s="1990"/>
      <c r="Q422" s="1990"/>
      <c r="R422" s="1990"/>
      <c r="S422" s="1990"/>
      <c r="T422" s="1990"/>
      <c r="U422" s="1990"/>
      <c r="V422" s="1990"/>
      <c r="W422" s="1990"/>
      <c r="X422" s="1990"/>
      <c r="Y422" s="1990"/>
      <c r="Z422" s="1990"/>
      <c r="AA422" s="1990"/>
      <c r="AB422" s="1990"/>
      <c r="AC422" s="1990"/>
      <c r="AD422" s="1990"/>
      <c r="AE422" s="1990"/>
      <c r="AF422" s="782"/>
      <c r="AG422" s="782"/>
      <c r="AH422" s="782"/>
      <c r="AI422" s="782"/>
      <c r="AJ422" s="782"/>
      <c r="AK422" s="782"/>
      <c r="AL422" s="783"/>
      <c r="AM422" s="605"/>
      <c r="AO422" s="585"/>
      <c r="AP422" s="585"/>
      <c r="BD422" s="14"/>
      <c r="BE422" s="14"/>
      <c r="BF422" s="14"/>
      <c r="BG422" s="14"/>
      <c r="BH422" s="14"/>
    </row>
    <row r="423" spans="1:60">
      <c r="A423" s="571"/>
      <c r="C423" s="766"/>
      <c r="E423" s="726"/>
      <c r="F423" s="1991"/>
      <c r="G423" s="1991"/>
      <c r="H423" s="1991"/>
      <c r="I423" s="1991"/>
      <c r="J423" s="1991"/>
      <c r="K423" s="1991"/>
      <c r="L423" s="1991"/>
      <c r="M423" s="1991"/>
      <c r="N423" s="1991"/>
      <c r="O423" s="1991"/>
      <c r="P423" s="1991"/>
      <c r="Q423" s="1991"/>
      <c r="R423" s="1991"/>
      <c r="S423" s="1991"/>
      <c r="T423" s="1991"/>
      <c r="U423" s="1991"/>
      <c r="V423" s="1991"/>
      <c r="W423" s="1991"/>
      <c r="X423" s="1991"/>
      <c r="Y423" s="1991"/>
      <c r="Z423" s="1991"/>
      <c r="AA423" s="1991"/>
      <c r="AB423" s="1991"/>
      <c r="AC423" s="1991"/>
      <c r="AD423" s="1991"/>
      <c r="AE423" s="1991"/>
      <c r="AF423" s="629"/>
      <c r="AG423" s="629"/>
      <c r="AH423" s="629"/>
      <c r="AI423" s="629"/>
      <c r="AJ423" s="629"/>
      <c r="AK423" s="629"/>
      <c r="AL423" s="786"/>
      <c r="AM423" s="605"/>
      <c r="AO423" s="585"/>
      <c r="AP423" s="585"/>
    </row>
    <row r="424" spans="1:60" s="585" customFormat="1" ht="12.75" customHeight="1">
      <c r="A424" s="571"/>
      <c r="B424" s="14"/>
      <c r="C424" s="766"/>
      <c r="D424" s="14"/>
      <c r="E424" s="726"/>
      <c r="F424" s="1991"/>
      <c r="G424" s="1991"/>
      <c r="H424" s="1991"/>
      <c r="I424" s="1991"/>
      <c r="J424" s="1991"/>
      <c r="K424" s="1991"/>
      <c r="L424" s="1991"/>
      <c r="M424" s="1991"/>
      <c r="N424" s="1991"/>
      <c r="O424" s="1991"/>
      <c r="P424" s="1991"/>
      <c r="Q424" s="1991"/>
      <c r="R424" s="1991"/>
      <c r="S424" s="1991"/>
      <c r="T424" s="1991"/>
      <c r="U424" s="1991"/>
      <c r="V424" s="1991"/>
      <c r="W424" s="1991"/>
      <c r="X424" s="1991"/>
      <c r="Y424" s="1991"/>
      <c r="Z424" s="1991"/>
      <c r="AA424" s="1991"/>
      <c r="AB424" s="1991"/>
      <c r="AC424" s="1991"/>
      <c r="AD424" s="1991"/>
      <c r="AE424" s="1991"/>
      <c r="AF424" s="629"/>
      <c r="AG424" s="629"/>
      <c r="AH424" s="629"/>
      <c r="AI424" s="629"/>
      <c r="AJ424" s="629"/>
      <c r="AK424" s="629"/>
      <c r="AL424" s="786"/>
      <c r="AM424" s="605"/>
      <c r="AN424" s="632"/>
    </row>
    <row r="425" spans="1:60" s="585" customFormat="1" ht="12.75" customHeight="1">
      <c r="A425" s="571"/>
      <c r="B425" s="14"/>
      <c r="C425" s="787"/>
      <c r="D425" s="765"/>
      <c r="E425" s="754"/>
      <c r="F425" s="1991"/>
      <c r="G425" s="1991"/>
      <c r="H425" s="1991"/>
      <c r="I425" s="1991"/>
      <c r="J425" s="1991"/>
      <c r="K425" s="1991"/>
      <c r="L425" s="1991"/>
      <c r="M425" s="1991"/>
      <c r="N425" s="1991"/>
      <c r="O425" s="1991"/>
      <c r="P425" s="1991"/>
      <c r="Q425" s="1991"/>
      <c r="R425" s="1991"/>
      <c r="S425" s="1991"/>
      <c r="T425" s="1991"/>
      <c r="U425" s="1991"/>
      <c r="V425" s="1991"/>
      <c r="W425" s="1991"/>
      <c r="X425" s="1991"/>
      <c r="Y425" s="1991"/>
      <c r="Z425" s="1991"/>
      <c r="AA425" s="1991"/>
      <c r="AB425" s="1991"/>
      <c r="AC425" s="1991"/>
      <c r="AD425" s="1991"/>
      <c r="AE425" s="1991"/>
      <c r="AF425" s="629"/>
      <c r="AG425" s="629"/>
      <c r="AH425" s="629"/>
      <c r="AI425" s="629"/>
      <c r="AJ425" s="629"/>
      <c r="AK425" s="629"/>
      <c r="AL425" s="786"/>
      <c r="AM425" s="605"/>
      <c r="AN425" s="632"/>
      <c r="AO425" s="30"/>
      <c r="AP425" s="14"/>
    </row>
    <row r="426" spans="1:60" s="585" customFormat="1" ht="12.75" customHeight="1">
      <c r="A426" s="571"/>
      <c r="B426" s="14"/>
      <c r="C426" s="787"/>
      <c r="D426" s="765"/>
      <c r="E426" s="754"/>
      <c r="F426" s="1991"/>
      <c r="G426" s="1991"/>
      <c r="H426" s="1991"/>
      <c r="I426" s="1991"/>
      <c r="J426" s="1991"/>
      <c r="K426" s="1991"/>
      <c r="L426" s="1991"/>
      <c r="M426" s="1991"/>
      <c r="N426" s="1991"/>
      <c r="O426" s="1991"/>
      <c r="P426" s="1991"/>
      <c r="Q426" s="1991"/>
      <c r="R426" s="1991"/>
      <c r="S426" s="1991"/>
      <c r="T426" s="1991"/>
      <c r="U426" s="1991"/>
      <c r="V426" s="1991"/>
      <c r="W426" s="1991"/>
      <c r="X426" s="1991"/>
      <c r="Y426" s="1991"/>
      <c r="Z426" s="1991"/>
      <c r="AA426" s="1991"/>
      <c r="AB426" s="1991"/>
      <c r="AC426" s="1991"/>
      <c r="AD426" s="1991"/>
      <c r="AE426" s="1991"/>
      <c r="AF426" s="629"/>
      <c r="AG426" s="629"/>
      <c r="AH426" s="629"/>
      <c r="AI426" s="629"/>
      <c r="AJ426" s="629"/>
      <c r="AK426" s="629"/>
      <c r="AL426" s="786"/>
      <c r="AM426" s="605"/>
      <c r="AN426" s="632"/>
    </row>
    <row r="427" spans="1:60" s="585" customFormat="1" ht="12.75" customHeight="1">
      <c r="A427" s="571"/>
      <c r="B427" s="14"/>
      <c r="C427" s="787"/>
      <c r="D427" s="765"/>
      <c r="E427" s="754"/>
      <c r="F427" s="1991"/>
      <c r="G427" s="1991"/>
      <c r="H427" s="1991"/>
      <c r="I427" s="1991"/>
      <c r="J427" s="1991"/>
      <c r="K427" s="1991"/>
      <c r="L427" s="1991"/>
      <c r="M427" s="1991"/>
      <c r="N427" s="1991"/>
      <c r="O427" s="1991"/>
      <c r="P427" s="1991"/>
      <c r="Q427" s="1991"/>
      <c r="R427" s="1991"/>
      <c r="S427" s="1991"/>
      <c r="T427" s="1991"/>
      <c r="U427" s="1991"/>
      <c r="V427" s="1991"/>
      <c r="W427" s="1991"/>
      <c r="X427" s="1991"/>
      <c r="Y427" s="1991"/>
      <c r="Z427" s="1991"/>
      <c r="AA427" s="1991"/>
      <c r="AB427" s="1991"/>
      <c r="AC427" s="1991"/>
      <c r="AD427" s="1991"/>
      <c r="AE427" s="1991"/>
      <c r="AF427" s="629"/>
      <c r="AG427" s="629"/>
      <c r="AH427" s="629"/>
      <c r="AI427" s="629"/>
      <c r="AJ427" s="629"/>
      <c r="AK427" s="629"/>
      <c r="AL427" s="786"/>
      <c r="AM427" s="605"/>
      <c r="AN427" s="632"/>
    </row>
    <row r="428" spans="1:60" s="585" customFormat="1" ht="12.75" customHeight="1">
      <c r="A428" s="571"/>
      <c r="B428" s="14"/>
      <c r="C428" s="787"/>
      <c r="D428" s="765"/>
      <c r="E428" s="754"/>
      <c r="F428" s="1991"/>
      <c r="G428" s="1991"/>
      <c r="H428" s="1991"/>
      <c r="I428" s="1991"/>
      <c r="J428" s="1991"/>
      <c r="K428" s="1991"/>
      <c r="L428" s="1991"/>
      <c r="M428" s="1991"/>
      <c r="N428" s="1991"/>
      <c r="O428" s="1991"/>
      <c r="P428" s="1991"/>
      <c r="Q428" s="1991"/>
      <c r="R428" s="1991"/>
      <c r="S428" s="1991"/>
      <c r="T428" s="1991"/>
      <c r="U428" s="1991"/>
      <c r="V428" s="1991"/>
      <c r="W428" s="1991"/>
      <c r="X428" s="1991"/>
      <c r="Y428" s="1991"/>
      <c r="Z428" s="1991"/>
      <c r="AA428" s="1991"/>
      <c r="AB428" s="1991"/>
      <c r="AC428" s="1991"/>
      <c r="AD428" s="1991"/>
      <c r="AE428" s="1991"/>
      <c r="AF428" s="629"/>
      <c r="AG428" s="629"/>
      <c r="AH428" s="629"/>
      <c r="AI428" s="629"/>
      <c r="AJ428" s="629"/>
      <c r="AK428" s="629"/>
      <c r="AL428" s="786"/>
      <c r="AM428" s="605"/>
      <c r="AN428" s="632"/>
    </row>
    <row r="429" spans="1:60" s="585" customFormat="1" ht="12.75" customHeight="1">
      <c r="A429" s="571"/>
      <c r="B429" s="14"/>
      <c r="C429" s="787"/>
      <c r="D429" s="765"/>
      <c r="E429" s="754"/>
      <c r="F429" s="1991"/>
      <c r="G429" s="1991"/>
      <c r="H429" s="1991"/>
      <c r="I429" s="1991"/>
      <c r="J429" s="1991"/>
      <c r="K429" s="1991"/>
      <c r="L429" s="1991"/>
      <c r="M429" s="1991"/>
      <c r="N429" s="1991"/>
      <c r="O429" s="1991"/>
      <c r="P429" s="1991"/>
      <c r="Q429" s="1991"/>
      <c r="R429" s="1991"/>
      <c r="S429" s="1991"/>
      <c r="T429" s="1991"/>
      <c r="U429" s="1991"/>
      <c r="V429" s="1991"/>
      <c r="W429" s="1991"/>
      <c r="X429" s="1991"/>
      <c r="Y429" s="1991"/>
      <c r="Z429" s="1991"/>
      <c r="AA429" s="1991"/>
      <c r="AB429" s="1991"/>
      <c r="AC429" s="1991"/>
      <c r="AD429" s="1991"/>
      <c r="AE429" s="1991"/>
      <c r="AF429" s="629"/>
      <c r="AG429" s="629"/>
      <c r="AH429" s="629"/>
      <c r="AI429" s="629"/>
      <c r="AJ429" s="629"/>
      <c r="AK429" s="629"/>
      <c r="AL429" s="786"/>
      <c r="AM429" s="605"/>
      <c r="AN429" s="632"/>
    </row>
    <row r="430" spans="1:60" s="585" customFormat="1" ht="17.25" customHeight="1">
      <c r="A430" s="571"/>
      <c r="B430" s="14"/>
      <c r="C430" s="787"/>
      <c r="D430" s="765"/>
      <c r="E430" s="754"/>
      <c r="F430" s="1991"/>
      <c r="G430" s="1991"/>
      <c r="H430" s="1991"/>
      <c r="I430" s="1991"/>
      <c r="J430" s="1991"/>
      <c r="K430" s="1991"/>
      <c r="L430" s="1991"/>
      <c r="M430" s="1991"/>
      <c r="N430" s="1991"/>
      <c r="O430" s="1991"/>
      <c r="P430" s="1991"/>
      <c r="Q430" s="1991"/>
      <c r="R430" s="1991"/>
      <c r="S430" s="1991"/>
      <c r="T430" s="1991"/>
      <c r="U430" s="1991"/>
      <c r="V430" s="1991"/>
      <c r="W430" s="1991"/>
      <c r="X430" s="1991"/>
      <c r="Y430" s="1991"/>
      <c r="Z430" s="1991"/>
      <c r="AA430" s="1991"/>
      <c r="AB430" s="1991"/>
      <c r="AC430" s="1991"/>
      <c r="AD430" s="1991"/>
      <c r="AE430" s="1991"/>
      <c r="AL430" s="767"/>
      <c r="AM430" s="605"/>
      <c r="AN430" s="632"/>
    </row>
    <row r="431" spans="1:60" s="585" customFormat="1" ht="12.75" customHeight="1">
      <c r="A431" s="571"/>
      <c r="B431" s="14"/>
      <c r="C431" s="1987" t="s">
        <v>600</v>
      </c>
      <c r="D431" s="1944"/>
      <c r="E431" s="754"/>
      <c r="F431" s="631" t="s">
        <v>1663</v>
      </c>
      <c r="G431" s="711"/>
      <c r="H431" s="711"/>
      <c r="I431" s="711"/>
      <c r="J431" s="711"/>
      <c r="K431" s="711"/>
      <c r="L431" s="711"/>
      <c r="M431" s="711"/>
      <c r="N431" s="711"/>
      <c r="O431" s="711"/>
      <c r="P431" s="711"/>
      <c r="Q431" s="711"/>
      <c r="R431" s="711"/>
      <c r="S431" s="711"/>
      <c r="T431" s="711"/>
      <c r="U431" s="711"/>
      <c r="V431" s="711"/>
      <c r="W431" s="711"/>
      <c r="X431" s="711"/>
      <c r="Y431" s="711"/>
      <c r="Z431" s="711"/>
      <c r="AA431" s="711"/>
      <c r="AB431" s="711"/>
      <c r="AC431" s="711"/>
      <c r="AD431" s="711"/>
      <c r="AF431" s="1914" t="s">
        <v>1638</v>
      </c>
      <c r="AG431" s="1914"/>
      <c r="AH431" s="1914"/>
      <c r="AI431" s="1914"/>
      <c r="AJ431" s="1914"/>
      <c r="AK431" s="1914"/>
      <c r="AL431" s="1992"/>
      <c r="AM431" s="605"/>
      <c r="AN431" s="632"/>
    </row>
    <row r="432" spans="1:60" s="585" customFormat="1" ht="12.75" customHeight="1">
      <c r="A432" s="571"/>
      <c r="B432" s="14"/>
      <c r="C432" s="778"/>
      <c r="D432" s="762"/>
      <c r="E432" s="759"/>
      <c r="F432" s="776"/>
      <c r="G432" s="761"/>
      <c r="H432" s="761"/>
      <c r="I432" s="761"/>
      <c r="J432" s="761"/>
      <c r="K432" s="761"/>
      <c r="L432" s="761"/>
      <c r="M432" s="761"/>
      <c r="N432" s="761"/>
      <c r="O432" s="761"/>
      <c r="P432" s="761"/>
      <c r="Q432" s="761"/>
      <c r="R432" s="761"/>
      <c r="S432" s="761"/>
      <c r="T432" s="761"/>
      <c r="U432" s="761"/>
      <c r="V432" s="761"/>
      <c r="W432" s="761"/>
      <c r="X432" s="761"/>
      <c r="Y432" s="761"/>
      <c r="Z432" s="761"/>
      <c r="AA432" s="761"/>
      <c r="AB432" s="761"/>
      <c r="AC432" s="761"/>
      <c r="AD432" s="761"/>
      <c r="AE432" s="762"/>
      <c r="AF432" s="762"/>
      <c r="AG432" s="762"/>
      <c r="AH432" s="762"/>
      <c r="AI432" s="762"/>
      <c r="AJ432" s="762"/>
      <c r="AK432" s="762"/>
      <c r="AL432" s="777"/>
      <c r="AM432" s="605"/>
      <c r="AN432" s="632"/>
    </row>
    <row r="433" spans="1:54" s="585" customFormat="1" ht="12.75" customHeight="1">
      <c r="A433" s="571"/>
      <c r="B433" s="14"/>
      <c r="C433" s="765"/>
      <c r="D433" s="765"/>
      <c r="E433" s="754"/>
      <c r="F433" s="756"/>
      <c r="G433" s="638"/>
      <c r="H433" s="638"/>
      <c r="I433" s="638"/>
      <c r="J433" s="638"/>
      <c r="K433" s="638"/>
      <c r="L433" s="638"/>
      <c r="M433" s="638"/>
      <c r="N433" s="638"/>
      <c r="O433" s="638"/>
      <c r="P433" s="638"/>
      <c r="Q433" s="638"/>
      <c r="R433" s="638"/>
      <c r="S433" s="638"/>
      <c r="T433" s="638"/>
      <c r="U433" s="638"/>
      <c r="V433" s="638"/>
      <c r="W433" s="638"/>
      <c r="X433" s="638"/>
      <c r="Y433" s="638"/>
      <c r="Z433" s="638"/>
      <c r="AA433" s="638"/>
      <c r="AB433" s="638"/>
      <c r="AC433" s="638"/>
      <c r="AD433" s="638"/>
      <c r="AE433" s="626"/>
      <c r="AF433" s="626"/>
      <c r="AG433" s="626"/>
      <c r="AH433" s="626"/>
      <c r="AI433" s="626"/>
      <c r="AJ433" s="626"/>
      <c r="AK433" s="626"/>
      <c r="AL433" s="626"/>
      <c r="AM433" s="605"/>
      <c r="AN433" s="632"/>
    </row>
    <row r="434" spans="1:54" s="585" customFormat="1" ht="12.75" customHeight="1">
      <c r="A434" s="571"/>
      <c r="B434" s="14"/>
      <c r="C434" s="748"/>
      <c r="D434" s="749"/>
      <c r="E434" s="750" t="s">
        <v>1664</v>
      </c>
      <c r="F434" s="1990" t="s">
        <v>1665</v>
      </c>
      <c r="G434" s="1990"/>
      <c r="H434" s="1990"/>
      <c r="I434" s="1990"/>
      <c r="J434" s="1990"/>
      <c r="K434" s="1990"/>
      <c r="L434" s="1990"/>
      <c r="M434" s="1990"/>
      <c r="N434" s="1990"/>
      <c r="O434" s="1990"/>
      <c r="P434" s="1990"/>
      <c r="Q434" s="1990"/>
      <c r="R434" s="1990"/>
      <c r="S434" s="1990"/>
      <c r="T434" s="1990"/>
      <c r="U434" s="1990"/>
      <c r="V434" s="1990"/>
      <c r="W434" s="1990"/>
      <c r="X434" s="1990"/>
      <c r="Y434" s="1990"/>
      <c r="Z434" s="1990"/>
      <c r="AA434" s="1990"/>
      <c r="AB434" s="1990"/>
      <c r="AC434" s="1990"/>
      <c r="AD434" s="1990"/>
      <c r="AE434" s="1990"/>
      <c r="AF434" s="749"/>
      <c r="AG434" s="749"/>
      <c r="AH434" s="749"/>
      <c r="AI434" s="749"/>
      <c r="AJ434" s="749"/>
      <c r="AK434" s="749"/>
      <c r="AL434" s="780"/>
      <c r="AM434" s="605"/>
      <c r="AN434" s="632"/>
      <c r="AO434" s="585" t="s">
        <v>600</v>
      </c>
      <c r="AP434" s="585">
        <v>0</v>
      </c>
      <c r="AQ434" s="788"/>
    </row>
    <row r="435" spans="1:54" s="585" customFormat="1" ht="12.75" customHeight="1">
      <c r="A435" s="571"/>
      <c r="B435" s="14"/>
      <c r="C435" s="787"/>
      <c r="D435" s="765"/>
      <c r="E435" s="754"/>
      <c r="F435" s="1991"/>
      <c r="G435" s="1991"/>
      <c r="H435" s="1991"/>
      <c r="I435" s="1991"/>
      <c r="J435" s="1991"/>
      <c r="K435" s="1991"/>
      <c r="L435" s="1991"/>
      <c r="M435" s="1991"/>
      <c r="N435" s="1991"/>
      <c r="O435" s="1991"/>
      <c r="P435" s="1991"/>
      <c r="Q435" s="1991"/>
      <c r="R435" s="1991"/>
      <c r="S435" s="1991"/>
      <c r="T435" s="1991"/>
      <c r="U435" s="1991"/>
      <c r="V435" s="1991"/>
      <c r="W435" s="1991"/>
      <c r="X435" s="1991"/>
      <c r="Y435" s="1991"/>
      <c r="Z435" s="1991"/>
      <c r="AA435" s="1991"/>
      <c r="AB435" s="1991"/>
      <c r="AC435" s="1991"/>
      <c r="AD435" s="1991"/>
      <c r="AE435" s="1991"/>
      <c r="AF435" s="626"/>
      <c r="AG435" s="626"/>
      <c r="AH435" s="626"/>
      <c r="AI435" s="626"/>
      <c r="AJ435" s="626"/>
      <c r="AK435" s="626"/>
      <c r="AL435" s="755"/>
      <c r="AM435" s="605"/>
      <c r="AN435" s="632"/>
      <c r="AO435" s="585" t="s">
        <v>1666</v>
      </c>
      <c r="AP435" s="585">
        <v>5</v>
      </c>
      <c r="AQ435" s="788"/>
    </row>
    <row r="436" spans="1:54" s="585" customFormat="1" ht="12.75" customHeight="1">
      <c r="A436" s="571"/>
      <c r="B436" s="14"/>
      <c r="C436" s="787"/>
      <c r="D436" s="765"/>
      <c r="E436" s="754"/>
      <c r="F436" s="1991"/>
      <c r="G436" s="1991"/>
      <c r="H436" s="1991"/>
      <c r="I436" s="1991"/>
      <c r="J436" s="1991"/>
      <c r="K436" s="1991"/>
      <c r="L436" s="1991"/>
      <c r="M436" s="1991"/>
      <c r="N436" s="1991"/>
      <c r="O436" s="1991"/>
      <c r="P436" s="1991"/>
      <c r="Q436" s="1991"/>
      <c r="R436" s="1991"/>
      <c r="S436" s="1991"/>
      <c r="T436" s="1991"/>
      <c r="U436" s="1991"/>
      <c r="V436" s="1991"/>
      <c r="W436" s="1991"/>
      <c r="X436" s="1991"/>
      <c r="Y436" s="1991"/>
      <c r="Z436" s="1991"/>
      <c r="AA436" s="1991"/>
      <c r="AB436" s="1991"/>
      <c r="AC436" s="1991"/>
      <c r="AD436" s="1991"/>
      <c r="AE436" s="1991"/>
      <c r="AF436" s="626"/>
      <c r="AG436" s="626"/>
      <c r="AH436" s="626"/>
      <c r="AI436" s="626"/>
      <c r="AJ436" s="626"/>
      <c r="AK436" s="626"/>
      <c r="AL436" s="755"/>
      <c r="AM436" s="605"/>
      <c r="AN436" s="632"/>
      <c r="AO436" s="585" t="s">
        <v>1667</v>
      </c>
      <c r="AP436" s="585">
        <v>5</v>
      </c>
      <c r="AQ436" s="788"/>
    </row>
    <row r="437" spans="1:54" s="585" customFormat="1" ht="12.75" customHeight="1">
      <c r="A437" s="571"/>
      <c r="B437" s="14"/>
      <c r="C437" s="787"/>
      <c r="D437" s="765"/>
      <c r="E437" s="754"/>
      <c r="F437" s="1991"/>
      <c r="G437" s="1991"/>
      <c r="H437" s="1991"/>
      <c r="I437" s="1991"/>
      <c r="J437" s="1991"/>
      <c r="K437" s="1991"/>
      <c r="L437" s="1991"/>
      <c r="M437" s="1991"/>
      <c r="N437" s="1991"/>
      <c r="O437" s="1991"/>
      <c r="P437" s="1991"/>
      <c r="Q437" s="1991"/>
      <c r="R437" s="1991"/>
      <c r="S437" s="1991"/>
      <c r="T437" s="1991"/>
      <c r="U437" s="1991"/>
      <c r="V437" s="1991"/>
      <c r="W437" s="1991"/>
      <c r="X437" s="1991"/>
      <c r="Y437" s="1991"/>
      <c r="Z437" s="1991"/>
      <c r="AA437" s="1991"/>
      <c r="AB437" s="1991"/>
      <c r="AC437" s="1991"/>
      <c r="AD437" s="1991"/>
      <c r="AE437" s="1991"/>
      <c r="AL437" s="767"/>
      <c r="AM437" s="605"/>
      <c r="AN437" s="632"/>
      <c r="AO437" s="585" t="s">
        <v>1668</v>
      </c>
      <c r="AP437" s="585">
        <v>5</v>
      </c>
      <c r="AQ437" s="571"/>
    </row>
    <row r="438" spans="1:54" s="585" customFormat="1" ht="12.75" customHeight="1">
      <c r="A438" s="571"/>
      <c r="B438" s="14"/>
      <c r="C438" s="1987" t="s">
        <v>600</v>
      </c>
      <c r="D438" s="1944"/>
      <c r="E438" s="754"/>
      <c r="F438" s="756" t="s">
        <v>1669</v>
      </c>
      <c r="G438" s="638"/>
      <c r="H438" s="638"/>
      <c r="I438" s="638"/>
      <c r="J438" s="638"/>
      <c r="K438" s="638"/>
      <c r="L438" s="638"/>
      <c r="M438" s="638"/>
      <c r="N438" s="638"/>
      <c r="O438" s="638"/>
      <c r="P438" s="638"/>
      <c r="Q438" s="638"/>
      <c r="R438" s="638"/>
      <c r="S438" s="638"/>
      <c r="T438" s="638"/>
      <c r="U438" s="638"/>
      <c r="V438" s="638"/>
      <c r="W438" s="638"/>
      <c r="X438" s="638"/>
      <c r="Y438" s="638"/>
      <c r="Z438" s="638"/>
      <c r="AA438" s="638"/>
      <c r="AB438" s="638"/>
      <c r="AC438" s="638"/>
      <c r="AD438" s="638"/>
      <c r="AF438" s="1914" t="s">
        <v>1638</v>
      </c>
      <c r="AG438" s="1914"/>
      <c r="AH438" s="1914"/>
      <c r="AI438" s="1914"/>
      <c r="AJ438" s="1914"/>
      <c r="AK438" s="1914"/>
      <c r="AL438" s="1992"/>
      <c r="AM438" s="605"/>
      <c r="AN438" s="789"/>
      <c r="AO438" s="585" t="s">
        <v>1670</v>
      </c>
      <c r="AP438" s="585">
        <v>5</v>
      </c>
    </row>
    <row r="439" spans="1:54" s="585" customFormat="1" ht="12.75" customHeight="1">
      <c r="A439" s="571"/>
      <c r="B439" s="14"/>
      <c r="C439" s="787"/>
      <c r="D439" s="765"/>
      <c r="E439" s="754"/>
      <c r="F439" s="756"/>
      <c r="G439" s="638"/>
      <c r="H439" s="638"/>
      <c r="I439" s="638"/>
      <c r="J439" s="638"/>
      <c r="K439" s="638"/>
      <c r="L439" s="638"/>
      <c r="M439" s="638"/>
      <c r="N439" s="638"/>
      <c r="O439" s="638"/>
      <c r="P439" s="638"/>
      <c r="Q439" s="638"/>
      <c r="R439" s="638"/>
      <c r="S439" s="638"/>
      <c r="T439" s="638"/>
      <c r="U439" s="638"/>
      <c r="V439" s="638"/>
      <c r="W439" s="638"/>
      <c r="X439" s="638"/>
      <c r="Y439" s="638"/>
      <c r="Z439" s="638"/>
      <c r="AA439" s="638"/>
      <c r="AB439" s="638"/>
      <c r="AC439" s="638"/>
      <c r="AD439" s="638"/>
      <c r="AE439" s="626"/>
      <c r="AL439" s="767"/>
      <c r="AM439" s="605"/>
      <c r="AN439" s="789"/>
      <c r="AO439" s="585" t="s">
        <v>1671</v>
      </c>
      <c r="AP439" s="585">
        <v>5</v>
      </c>
    </row>
    <row r="440" spans="1:54" s="585" customFormat="1" ht="12.75" customHeight="1">
      <c r="A440" s="571"/>
      <c r="B440" s="14"/>
      <c r="C440" s="775"/>
      <c r="D440" s="768"/>
      <c r="E440" s="769"/>
      <c r="F440" s="762" t="s">
        <v>1645</v>
      </c>
      <c r="G440" s="770"/>
      <c r="H440" s="770"/>
      <c r="I440" s="770"/>
      <c r="J440" s="770"/>
      <c r="K440" s="770"/>
      <c r="L440" s="770"/>
      <c r="M440" s="770"/>
      <c r="N440" s="770"/>
      <c r="O440" s="770"/>
      <c r="P440" s="770"/>
      <c r="Q440" s="770"/>
      <c r="R440" s="770"/>
      <c r="S440" s="770"/>
      <c r="T440" s="770"/>
      <c r="U440" s="770"/>
      <c r="V440" s="770"/>
      <c r="W440" s="770"/>
      <c r="X440" s="770"/>
      <c r="Y440" s="770"/>
      <c r="Z440" s="770"/>
      <c r="AA440" s="770"/>
      <c r="AB440" s="770"/>
      <c r="AC440" s="770"/>
      <c r="AD440" s="770"/>
      <c r="AE440" s="772"/>
      <c r="AF440" s="618"/>
      <c r="AG440" s="772"/>
      <c r="AH440" s="762"/>
      <c r="AI440" s="762"/>
      <c r="AJ440" s="762"/>
      <c r="AK440" s="762"/>
      <c r="AL440" s="777"/>
      <c r="AM440" s="605"/>
      <c r="AN440" s="789"/>
      <c r="AO440" s="585" t="s">
        <v>1672</v>
      </c>
      <c r="AP440" s="585">
        <v>5</v>
      </c>
    </row>
    <row r="441" spans="1:54" s="585" customFormat="1" ht="12.75" customHeight="1">
      <c r="A441" s="571"/>
      <c r="B441" s="14"/>
      <c r="C441" s="765"/>
      <c r="D441" s="765"/>
      <c r="E441" s="754"/>
      <c r="F441" s="756"/>
      <c r="G441" s="638"/>
      <c r="H441" s="638"/>
      <c r="I441" s="638"/>
      <c r="J441" s="638"/>
      <c r="K441" s="638"/>
      <c r="L441" s="638"/>
      <c r="M441" s="638"/>
      <c r="N441" s="638"/>
      <c r="O441" s="638"/>
      <c r="P441" s="638"/>
      <c r="Q441" s="638"/>
      <c r="R441" s="638"/>
      <c r="S441" s="638"/>
      <c r="T441" s="638"/>
      <c r="U441" s="638"/>
      <c r="V441" s="638"/>
      <c r="W441" s="638"/>
      <c r="X441" s="638"/>
      <c r="Y441" s="638"/>
      <c r="Z441" s="638"/>
      <c r="AA441" s="638"/>
      <c r="AB441" s="638"/>
      <c r="AC441" s="638"/>
      <c r="AD441" s="638"/>
      <c r="AE441" s="626"/>
      <c r="AM441" s="605"/>
      <c r="AN441" s="789"/>
      <c r="AO441" s="585" t="s">
        <v>1673</v>
      </c>
      <c r="AP441" s="585">
        <v>5</v>
      </c>
    </row>
    <row r="442" spans="1:54" s="585" customFormat="1" ht="12.75" customHeight="1">
      <c r="A442" s="571"/>
      <c r="B442" s="14"/>
      <c r="C442" s="1993" t="s">
        <v>600</v>
      </c>
      <c r="D442" s="1994"/>
      <c r="E442" s="750" t="s">
        <v>1674</v>
      </c>
      <c r="F442" s="1990" t="s">
        <v>1675</v>
      </c>
      <c r="G442" s="1990"/>
      <c r="H442" s="1990"/>
      <c r="I442" s="1990"/>
      <c r="J442" s="1990"/>
      <c r="K442" s="1990"/>
      <c r="L442" s="1990"/>
      <c r="M442" s="1990"/>
      <c r="N442" s="1990"/>
      <c r="O442" s="1990"/>
      <c r="P442" s="1990"/>
      <c r="Q442" s="1990"/>
      <c r="R442" s="1990"/>
      <c r="S442" s="1990"/>
      <c r="T442" s="1990"/>
      <c r="U442" s="1990"/>
      <c r="V442" s="1990"/>
      <c r="W442" s="1990"/>
      <c r="X442" s="1990"/>
      <c r="Y442" s="1990"/>
      <c r="Z442" s="1990"/>
      <c r="AA442" s="1990"/>
      <c r="AB442" s="1990"/>
      <c r="AC442" s="1990"/>
      <c r="AD442" s="1990"/>
      <c r="AE442" s="1990"/>
      <c r="AF442" s="2007" t="s">
        <v>1638</v>
      </c>
      <c r="AG442" s="2007"/>
      <c r="AH442" s="2007"/>
      <c r="AI442" s="2007"/>
      <c r="AJ442" s="2007"/>
      <c r="AK442" s="2007"/>
      <c r="AL442" s="2008"/>
      <c r="AM442" s="605"/>
      <c r="AN442" s="789"/>
      <c r="AO442" s="585" t="s">
        <v>1676</v>
      </c>
      <c r="AP442" s="585">
        <v>1</v>
      </c>
    </row>
    <row r="443" spans="1:54" s="585" customFormat="1" ht="12.75" customHeight="1">
      <c r="A443" s="571"/>
      <c r="B443" s="14"/>
      <c r="C443" s="787"/>
      <c r="D443" s="765"/>
      <c r="E443" s="754"/>
      <c r="F443" s="1991"/>
      <c r="G443" s="1991"/>
      <c r="H443" s="1991"/>
      <c r="I443" s="1991"/>
      <c r="J443" s="1991"/>
      <c r="K443" s="1991"/>
      <c r="L443" s="1991"/>
      <c r="M443" s="1991"/>
      <c r="N443" s="1991"/>
      <c r="O443" s="1991"/>
      <c r="P443" s="1991"/>
      <c r="Q443" s="1991"/>
      <c r="R443" s="1991"/>
      <c r="S443" s="1991"/>
      <c r="T443" s="1991"/>
      <c r="U443" s="1991"/>
      <c r="V443" s="1991"/>
      <c r="W443" s="1991"/>
      <c r="X443" s="1991"/>
      <c r="Y443" s="1991"/>
      <c r="Z443" s="1991"/>
      <c r="AA443" s="1991"/>
      <c r="AB443" s="1991"/>
      <c r="AC443" s="1991"/>
      <c r="AD443" s="1991"/>
      <c r="AE443" s="1991"/>
      <c r="AF443" s="626"/>
      <c r="AG443" s="626"/>
      <c r="AH443" s="626"/>
      <c r="AI443" s="626"/>
      <c r="AJ443" s="626"/>
      <c r="AK443" s="626"/>
      <c r="AL443" s="755"/>
      <c r="AM443" s="605"/>
      <c r="AN443" s="790"/>
      <c r="AS443" s="791"/>
      <c r="AW443" s="791" t="s">
        <v>1677</v>
      </c>
      <c r="BA443" s="791" t="s">
        <v>1678</v>
      </c>
    </row>
    <row r="444" spans="1:54" s="585" customFormat="1" ht="17.649999999999999" customHeight="1">
      <c r="A444" s="571"/>
      <c r="B444" s="14"/>
      <c r="C444" s="792"/>
      <c r="D444" s="758"/>
      <c r="E444" s="759"/>
      <c r="F444" s="2006"/>
      <c r="G444" s="2006"/>
      <c r="H444" s="2006"/>
      <c r="I444" s="2006"/>
      <c r="J444" s="2006"/>
      <c r="K444" s="2006"/>
      <c r="L444" s="2006"/>
      <c r="M444" s="2006"/>
      <c r="N444" s="2006"/>
      <c r="O444" s="2006"/>
      <c r="P444" s="2006"/>
      <c r="Q444" s="2006"/>
      <c r="R444" s="2006"/>
      <c r="S444" s="2006"/>
      <c r="T444" s="2006"/>
      <c r="U444" s="2006"/>
      <c r="V444" s="2006"/>
      <c r="W444" s="2006"/>
      <c r="X444" s="2006"/>
      <c r="Y444" s="2006"/>
      <c r="Z444" s="2006"/>
      <c r="AA444" s="2006"/>
      <c r="AB444" s="2006"/>
      <c r="AC444" s="2006"/>
      <c r="AD444" s="2006"/>
      <c r="AE444" s="2006"/>
      <c r="AF444" s="763"/>
      <c r="AG444" s="763"/>
      <c r="AH444" s="763"/>
      <c r="AI444" s="763"/>
      <c r="AJ444" s="763"/>
      <c r="AK444" s="763"/>
      <c r="AL444" s="793"/>
      <c r="AM444" s="605"/>
      <c r="AN444" s="570"/>
      <c r="AO444" s="585" t="s">
        <v>600</v>
      </c>
      <c r="AP444" s="672">
        <v>0</v>
      </c>
      <c r="AR444" s="585" t="s">
        <v>600</v>
      </c>
      <c r="AS444" s="672">
        <v>0</v>
      </c>
      <c r="AT444" s="628"/>
      <c r="AW444" s="585" t="s">
        <v>600</v>
      </c>
      <c r="AX444" s="628">
        <v>0</v>
      </c>
      <c r="BA444" s="585" t="s">
        <v>600</v>
      </c>
      <c r="BB444" s="628">
        <v>0</v>
      </c>
    </row>
    <row r="445" spans="1:54" s="585" customFormat="1" ht="12.75" customHeight="1">
      <c r="A445" s="571"/>
      <c r="B445" s="14"/>
      <c r="C445" s="765"/>
      <c r="D445" s="765"/>
      <c r="E445" s="754"/>
      <c r="F445" s="756"/>
      <c r="G445" s="638"/>
      <c r="H445" s="638"/>
      <c r="I445" s="638"/>
      <c r="J445" s="638"/>
      <c r="K445" s="638"/>
      <c r="L445" s="638"/>
      <c r="M445" s="638"/>
      <c r="N445" s="638"/>
      <c r="O445" s="638"/>
      <c r="P445" s="638"/>
      <c r="Q445" s="638"/>
      <c r="R445" s="638"/>
      <c r="S445" s="638"/>
      <c r="T445" s="638"/>
      <c r="U445" s="638"/>
      <c r="V445" s="638"/>
      <c r="W445" s="638"/>
      <c r="X445" s="638"/>
      <c r="Y445" s="638"/>
      <c r="Z445" s="638"/>
      <c r="AA445" s="638"/>
      <c r="AB445" s="638"/>
      <c r="AC445" s="638"/>
      <c r="AD445" s="638"/>
      <c r="AE445" s="626"/>
      <c r="AM445" s="605"/>
      <c r="AN445" s="570"/>
      <c r="AO445" s="794">
        <v>7.0000000000000007E-2</v>
      </c>
      <c r="AP445" s="672">
        <v>3</v>
      </c>
      <c r="AR445" s="585" t="s">
        <v>1679</v>
      </c>
      <c r="AS445" s="672">
        <v>3</v>
      </c>
      <c r="AT445" s="628"/>
      <c r="AW445" s="794">
        <v>0.4</v>
      </c>
      <c r="AX445" s="628">
        <v>3</v>
      </c>
      <c r="BA445" s="794">
        <v>0.4</v>
      </c>
      <c r="BB445" s="628">
        <v>4</v>
      </c>
    </row>
    <row r="446" spans="1:54" s="585" customFormat="1" ht="12.75" customHeight="1">
      <c r="A446" s="571"/>
      <c r="B446" s="14"/>
      <c r="C446" s="1987" t="s">
        <v>600</v>
      </c>
      <c r="D446" s="1944"/>
      <c r="E446" s="750" t="s">
        <v>1680</v>
      </c>
      <c r="F446" s="1990" t="s">
        <v>1681</v>
      </c>
      <c r="G446" s="1990"/>
      <c r="H446" s="1990"/>
      <c r="I446" s="1990"/>
      <c r="J446" s="1990"/>
      <c r="K446" s="1990"/>
      <c r="L446" s="1990"/>
      <c r="M446" s="1990"/>
      <c r="N446" s="1990"/>
      <c r="O446" s="1990"/>
      <c r="P446" s="1990"/>
      <c r="Q446" s="1990"/>
      <c r="R446" s="1990"/>
      <c r="S446" s="1990"/>
      <c r="T446" s="1990"/>
      <c r="U446" s="1990"/>
      <c r="V446" s="1990"/>
      <c r="W446" s="1990"/>
      <c r="X446" s="1990"/>
      <c r="Y446" s="1990"/>
      <c r="Z446" s="1990"/>
      <c r="AA446" s="1990"/>
      <c r="AB446" s="1990"/>
      <c r="AC446" s="1990"/>
      <c r="AD446" s="1990"/>
      <c r="AE446" s="1990"/>
      <c r="AF446" s="2007" t="s">
        <v>1638</v>
      </c>
      <c r="AG446" s="2007"/>
      <c r="AH446" s="2007"/>
      <c r="AI446" s="2007"/>
      <c r="AJ446" s="2007"/>
      <c r="AK446" s="2007"/>
      <c r="AL446" s="2008"/>
      <c r="AM446" s="605"/>
      <c r="AN446" s="570"/>
      <c r="AO446" s="794">
        <v>0.12</v>
      </c>
      <c r="AP446" s="672">
        <v>5</v>
      </c>
      <c r="AR446" s="585" t="s">
        <v>1682</v>
      </c>
      <c r="AS446" s="672">
        <v>5</v>
      </c>
      <c r="AT446" s="628"/>
      <c r="AW446" s="794">
        <v>0.6</v>
      </c>
      <c r="AX446" s="628">
        <v>4</v>
      </c>
      <c r="BA446" s="794">
        <v>0.6</v>
      </c>
      <c r="BB446" s="628">
        <v>5</v>
      </c>
    </row>
    <row r="447" spans="1:54" s="585" customFormat="1" ht="12.75" customHeight="1">
      <c r="A447" s="571"/>
      <c r="B447" s="14"/>
      <c r="C447" s="766"/>
      <c r="D447" s="14"/>
      <c r="E447" s="726"/>
      <c r="F447" s="1991"/>
      <c r="G447" s="1991"/>
      <c r="H447" s="1991"/>
      <c r="I447" s="1991"/>
      <c r="J447" s="1991"/>
      <c r="K447" s="1991"/>
      <c r="L447" s="1991"/>
      <c r="M447" s="1991"/>
      <c r="N447" s="1991"/>
      <c r="O447" s="1991"/>
      <c r="P447" s="1991"/>
      <c r="Q447" s="1991"/>
      <c r="R447" s="1991"/>
      <c r="S447" s="1991"/>
      <c r="T447" s="1991"/>
      <c r="U447" s="1991"/>
      <c r="V447" s="1991"/>
      <c r="W447" s="1991"/>
      <c r="X447" s="1991"/>
      <c r="Y447" s="1991"/>
      <c r="Z447" s="1991"/>
      <c r="AA447" s="1991"/>
      <c r="AB447" s="1991"/>
      <c r="AC447" s="1991"/>
      <c r="AD447" s="1991"/>
      <c r="AE447" s="1991"/>
      <c r="AF447" s="574"/>
      <c r="AG447" s="571"/>
      <c r="AL447" s="767"/>
      <c r="AM447" s="605"/>
      <c r="AN447" s="570"/>
      <c r="AO447" s="794"/>
      <c r="AP447" s="628"/>
      <c r="AS447" s="794"/>
      <c r="AT447" s="628"/>
      <c r="AW447" s="794">
        <v>0.8</v>
      </c>
      <c r="AX447" s="628">
        <v>5</v>
      </c>
      <c r="BA447" s="794"/>
      <c r="BB447" s="628"/>
    </row>
    <row r="448" spans="1:54" s="585" customFormat="1" ht="12.75" customHeight="1">
      <c r="A448" s="571"/>
      <c r="B448" s="14"/>
      <c r="C448" s="766"/>
      <c r="D448" s="14"/>
      <c r="E448" s="726"/>
      <c r="F448" s="1991"/>
      <c r="G448" s="1991"/>
      <c r="H448" s="1991"/>
      <c r="I448" s="1991"/>
      <c r="J448" s="1991"/>
      <c r="K448" s="1991"/>
      <c r="L448" s="1991"/>
      <c r="M448" s="1991"/>
      <c r="N448" s="1991"/>
      <c r="O448" s="1991"/>
      <c r="P448" s="1991"/>
      <c r="Q448" s="1991"/>
      <c r="R448" s="1991"/>
      <c r="S448" s="1991"/>
      <c r="T448" s="1991"/>
      <c r="U448" s="1991"/>
      <c r="V448" s="1991"/>
      <c r="W448" s="1991"/>
      <c r="X448" s="1991"/>
      <c r="Y448" s="1991"/>
      <c r="Z448" s="1991"/>
      <c r="AA448" s="1991"/>
      <c r="AB448" s="1991"/>
      <c r="AC448" s="1991"/>
      <c r="AD448" s="1991"/>
      <c r="AE448" s="1991"/>
      <c r="AF448" s="574"/>
      <c r="AG448" s="571"/>
      <c r="AL448" s="767"/>
      <c r="AM448" s="605"/>
      <c r="AN448" s="570"/>
      <c r="AO448" s="585" t="s">
        <v>600</v>
      </c>
      <c r="AP448" s="672">
        <v>0</v>
      </c>
      <c r="AW448" s="794"/>
      <c r="AX448" s="628"/>
    </row>
    <row r="449" spans="1:49" s="585" customFormat="1" ht="12.75" customHeight="1">
      <c r="A449" s="571"/>
      <c r="B449" s="14"/>
      <c r="C449" s="792"/>
      <c r="D449" s="758"/>
      <c r="E449" s="759"/>
      <c r="F449" s="2006"/>
      <c r="G449" s="2006"/>
      <c r="H449" s="2006"/>
      <c r="I449" s="2006"/>
      <c r="J449" s="2006"/>
      <c r="K449" s="2006"/>
      <c r="L449" s="2006"/>
      <c r="M449" s="2006"/>
      <c r="N449" s="2006"/>
      <c r="O449" s="2006"/>
      <c r="P449" s="2006"/>
      <c r="Q449" s="2006"/>
      <c r="R449" s="2006"/>
      <c r="S449" s="2006"/>
      <c r="T449" s="2006"/>
      <c r="U449" s="2006"/>
      <c r="V449" s="2006"/>
      <c r="W449" s="2006"/>
      <c r="X449" s="2006"/>
      <c r="Y449" s="2006"/>
      <c r="Z449" s="2006"/>
      <c r="AA449" s="2006"/>
      <c r="AB449" s="2006"/>
      <c r="AC449" s="2006"/>
      <c r="AD449" s="2006"/>
      <c r="AE449" s="2006"/>
      <c r="AF449" s="763"/>
      <c r="AG449" s="763"/>
      <c r="AH449" s="763"/>
      <c r="AI449" s="763"/>
      <c r="AJ449" s="763"/>
      <c r="AK449" s="763"/>
      <c r="AL449" s="793"/>
      <c r="AM449" s="605"/>
      <c r="AN449" s="632"/>
      <c r="AO449" s="794">
        <v>0.09</v>
      </c>
      <c r="AP449" s="672">
        <v>3</v>
      </c>
      <c r="AS449" s="791"/>
    </row>
    <row r="450" spans="1:49" s="585" customFormat="1" ht="12.75" customHeight="1">
      <c r="A450" s="571"/>
      <c r="B450" s="14"/>
      <c r="G450" s="638"/>
      <c r="H450" s="638"/>
      <c r="I450" s="638"/>
      <c r="J450" s="638"/>
      <c r="K450" s="638"/>
      <c r="L450" s="638"/>
      <c r="M450" s="638"/>
      <c r="N450" s="638"/>
      <c r="O450" s="638"/>
      <c r="P450" s="638"/>
      <c r="Q450" s="638"/>
      <c r="R450" s="638"/>
      <c r="S450" s="638"/>
      <c r="T450" s="638"/>
      <c r="U450" s="638"/>
      <c r="V450" s="638"/>
      <c r="W450" s="638"/>
      <c r="X450" s="638"/>
      <c r="Y450" s="638"/>
      <c r="Z450" s="638"/>
      <c r="AA450" s="638"/>
      <c r="AB450" s="638"/>
      <c r="AC450" s="638"/>
      <c r="AD450" s="638"/>
      <c r="AM450" s="605"/>
      <c r="AN450" s="632"/>
      <c r="AO450" s="794">
        <v>0.15</v>
      </c>
      <c r="AP450" s="672">
        <v>5</v>
      </c>
    </row>
    <row r="451" spans="1:49" s="585" customFormat="1" ht="12.75" customHeight="1">
      <c r="A451" s="571"/>
      <c r="B451" s="14"/>
      <c r="C451" s="748"/>
      <c r="D451" s="749"/>
      <c r="E451" s="750" t="s">
        <v>1683</v>
      </c>
      <c r="F451" s="1990" t="s">
        <v>1684</v>
      </c>
      <c r="G451" s="1990"/>
      <c r="H451" s="1990"/>
      <c r="I451" s="1990"/>
      <c r="J451" s="1990"/>
      <c r="K451" s="1990"/>
      <c r="L451" s="1990"/>
      <c r="M451" s="1990"/>
      <c r="N451" s="1990"/>
      <c r="O451" s="1990"/>
      <c r="P451" s="1990"/>
      <c r="Q451" s="1990"/>
      <c r="R451" s="1990"/>
      <c r="S451" s="1990"/>
      <c r="T451" s="1990"/>
      <c r="U451" s="1990"/>
      <c r="V451" s="1990"/>
      <c r="W451" s="1990"/>
      <c r="X451" s="1990"/>
      <c r="Y451" s="1990"/>
      <c r="Z451" s="1990"/>
      <c r="AA451" s="1990"/>
      <c r="AB451" s="1990"/>
      <c r="AC451" s="1990"/>
      <c r="AD451" s="1990"/>
      <c r="AE451" s="1990"/>
      <c r="AF451" s="1990"/>
      <c r="AG451" s="779"/>
      <c r="AH451" s="749"/>
      <c r="AI451" s="749"/>
      <c r="AJ451" s="749"/>
      <c r="AK451" s="749"/>
      <c r="AL451" s="780"/>
      <c r="AM451" s="605"/>
      <c r="AN451" s="632"/>
    </row>
    <row r="452" spans="1:49" s="585" customFormat="1" ht="12.75" customHeight="1">
      <c r="A452" s="571"/>
      <c r="B452" s="14"/>
      <c r="C452" s="766"/>
      <c r="D452" s="14"/>
      <c r="E452" s="726"/>
      <c r="F452" s="1991"/>
      <c r="G452" s="1991"/>
      <c r="H452" s="1991"/>
      <c r="I452" s="1991"/>
      <c r="J452" s="1991"/>
      <c r="K452" s="1991"/>
      <c r="L452" s="1991"/>
      <c r="M452" s="1991"/>
      <c r="N452" s="1991"/>
      <c r="O452" s="1991"/>
      <c r="P452" s="1991"/>
      <c r="Q452" s="1991"/>
      <c r="R452" s="1991"/>
      <c r="S452" s="1991"/>
      <c r="T452" s="1991"/>
      <c r="U452" s="1991"/>
      <c r="V452" s="1991"/>
      <c r="W452" s="1991"/>
      <c r="X452" s="1991"/>
      <c r="Y452" s="1991"/>
      <c r="Z452" s="1991"/>
      <c r="AA452" s="1991"/>
      <c r="AB452" s="1991"/>
      <c r="AC452" s="1991"/>
      <c r="AD452" s="1991"/>
      <c r="AE452" s="1991"/>
      <c r="AF452" s="1991"/>
      <c r="AL452" s="767"/>
      <c r="AM452" s="605"/>
      <c r="AN452" s="632"/>
    </row>
    <row r="453" spans="1:49" s="585" customFormat="1" ht="12.75" customHeight="1">
      <c r="A453" s="571"/>
      <c r="B453" s="14"/>
      <c r="C453" s="774"/>
      <c r="F453" s="1991"/>
      <c r="G453" s="1991"/>
      <c r="H453" s="1991"/>
      <c r="I453" s="1991"/>
      <c r="J453" s="1991"/>
      <c r="K453" s="1991"/>
      <c r="L453" s="1991"/>
      <c r="M453" s="1991"/>
      <c r="N453" s="1991"/>
      <c r="O453" s="1991"/>
      <c r="P453" s="1991"/>
      <c r="Q453" s="1991"/>
      <c r="R453" s="1991"/>
      <c r="S453" s="1991"/>
      <c r="T453" s="1991"/>
      <c r="U453" s="1991"/>
      <c r="V453" s="1991"/>
      <c r="W453" s="1991"/>
      <c r="X453" s="1991"/>
      <c r="Y453" s="1991"/>
      <c r="Z453" s="1991"/>
      <c r="AA453" s="1991"/>
      <c r="AB453" s="1991"/>
      <c r="AC453" s="1991"/>
      <c r="AD453" s="1991"/>
      <c r="AE453" s="1991"/>
      <c r="AF453" s="1991"/>
      <c r="AL453" s="767"/>
      <c r="AM453" s="605"/>
      <c r="AN453" s="632"/>
    </row>
    <row r="454" spans="1:49" s="585" customFormat="1" ht="12.75" customHeight="1">
      <c r="A454" s="571"/>
      <c r="B454" s="14"/>
      <c r="C454" s="774"/>
      <c r="F454" s="1991"/>
      <c r="G454" s="1991"/>
      <c r="H454" s="1991"/>
      <c r="I454" s="1991"/>
      <c r="J454" s="1991"/>
      <c r="K454" s="1991"/>
      <c r="L454" s="1991"/>
      <c r="M454" s="1991"/>
      <c r="N454" s="1991"/>
      <c r="O454" s="1991"/>
      <c r="P454" s="1991"/>
      <c r="Q454" s="1991"/>
      <c r="R454" s="1991"/>
      <c r="S454" s="1991"/>
      <c r="T454" s="1991"/>
      <c r="U454" s="1991"/>
      <c r="V454" s="1991"/>
      <c r="W454" s="1991"/>
      <c r="X454" s="1991"/>
      <c r="Y454" s="1991"/>
      <c r="Z454" s="1991"/>
      <c r="AA454" s="1991"/>
      <c r="AB454" s="1991"/>
      <c r="AC454" s="1991"/>
      <c r="AD454" s="1991"/>
      <c r="AE454" s="1991"/>
      <c r="AF454" s="1991"/>
      <c r="AL454" s="767"/>
      <c r="AM454" s="605"/>
      <c r="AN454" s="632"/>
    </row>
    <row r="455" spans="1:49" s="585" customFormat="1" ht="12.75" customHeight="1">
      <c r="A455" s="571"/>
      <c r="B455" s="14"/>
      <c r="C455" s="1987" t="s">
        <v>600</v>
      </c>
      <c r="D455" s="1944"/>
      <c r="E455" s="754"/>
      <c r="F455" s="756" t="s">
        <v>1655</v>
      </c>
      <c r="G455" s="638"/>
      <c r="H455" s="638"/>
      <c r="I455" s="638"/>
      <c r="J455" s="638"/>
      <c r="K455" s="638"/>
      <c r="L455" s="638"/>
      <c r="M455" s="638"/>
      <c r="N455" s="638"/>
      <c r="O455" s="638"/>
      <c r="P455" s="638"/>
      <c r="Q455" s="638"/>
      <c r="R455" s="638"/>
      <c r="S455" s="638"/>
      <c r="T455" s="638"/>
      <c r="U455" s="638"/>
      <c r="V455" s="638"/>
      <c r="W455" s="638"/>
      <c r="X455" s="638"/>
      <c r="Y455" s="638"/>
      <c r="Z455" s="638"/>
      <c r="AA455" s="638"/>
      <c r="AB455" s="638"/>
      <c r="AC455" s="638"/>
      <c r="AD455" s="638"/>
      <c r="AF455" s="1988" t="s">
        <v>1638</v>
      </c>
      <c r="AG455" s="1988"/>
      <c r="AH455" s="1988"/>
      <c r="AI455" s="1988"/>
      <c r="AJ455" s="1988"/>
      <c r="AK455" s="1988"/>
      <c r="AL455" s="1989"/>
      <c r="AM455" s="605"/>
      <c r="AN455" s="632"/>
    </row>
    <row r="456" spans="1:49" s="585" customFormat="1" ht="12.75" customHeight="1">
      <c r="A456" s="571"/>
      <c r="B456" s="14"/>
      <c r="C456" s="775"/>
      <c r="D456" s="768"/>
      <c r="E456" s="769"/>
      <c r="F456" s="762"/>
      <c r="G456" s="762"/>
      <c r="H456" s="762"/>
      <c r="I456" s="762"/>
      <c r="J456" s="762"/>
      <c r="K456" s="762"/>
      <c r="L456" s="762"/>
      <c r="M456" s="762"/>
      <c r="N456" s="762"/>
      <c r="O456" s="762"/>
      <c r="P456" s="762"/>
      <c r="Q456" s="762"/>
      <c r="R456" s="762"/>
      <c r="S456" s="762"/>
      <c r="T456" s="762"/>
      <c r="U456" s="762"/>
      <c r="V456" s="762"/>
      <c r="W456" s="762"/>
      <c r="X456" s="762"/>
      <c r="Y456" s="762"/>
      <c r="Z456" s="762"/>
      <c r="AA456" s="762"/>
      <c r="AB456" s="762"/>
      <c r="AC456" s="762"/>
      <c r="AD456" s="762"/>
      <c r="AE456" s="762"/>
      <c r="AF456" s="762"/>
      <c r="AG456" s="762"/>
      <c r="AH456" s="762"/>
      <c r="AI456" s="762"/>
      <c r="AJ456" s="762"/>
      <c r="AK456" s="762"/>
      <c r="AL456" s="777"/>
      <c r="AN456" s="632"/>
    </row>
    <row r="457" spans="1:49" s="585" customFormat="1" ht="12.75" customHeight="1">
      <c r="A457" s="571"/>
      <c r="B457" s="14"/>
      <c r="C457" s="1053"/>
      <c r="D457" s="605"/>
      <c r="F457" s="756"/>
      <c r="G457" s="638"/>
      <c r="H457" s="638"/>
      <c r="I457" s="638"/>
      <c r="J457" s="638"/>
      <c r="K457" s="638"/>
      <c r="L457" s="638"/>
      <c r="M457" s="638"/>
      <c r="N457" s="638"/>
      <c r="O457" s="638"/>
      <c r="P457" s="638"/>
      <c r="Q457" s="638"/>
      <c r="R457" s="638"/>
      <c r="S457" s="638"/>
      <c r="T457" s="638"/>
      <c r="U457" s="638"/>
      <c r="V457" s="638"/>
      <c r="W457" s="638"/>
      <c r="X457" s="638"/>
      <c r="Y457" s="638"/>
      <c r="Z457" s="638"/>
      <c r="AA457" s="638"/>
      <c r="AB457" s="638"/>
      <c r="AC457" s="638"/>
      <c r="AD457" s="638"/>
      <c r="AF457" s="648"/>
      <c r="AG457" s="648"/>
      <c r="AH457" s="648"/>
      <c r="AI457" s="648"/>
      <c r="AJ457" s="648"/>
      <c r="AK457" s="648"/>
      <c r="AL457" s="648"/>
      <c r="AN457" s="632"/>
    </row>
    <row r="458" spans="1:49" s="585" customFormat="1" ht="12.75" customHeight="1">
      <c r="A458" s="635"/>
      <c r="B458" s="893" t="s">
        <v>1685</v>
      </c>
      <c r="D458" s="712"/>
      <c r="E458" s="636"/>
      <c r="F458" s="636"/>
      <c r="G458" s="636"/>
      <c r="H458" s="636"/>
      <c r="I458" s="636"/>
      <c r="J458" s="636"/>
      <c r="K458" s="636"/>
      <c r="L458" s="636"/>
      <c r="M458" s="636"/>
      <c r="N458" s="636"/>
      <c r="O458" s="636"/>
      <c r="P458" s="636"/>
      <c r="Q458" s="636"/>
      <c r="R458" s="636"/>
      <c r="S458" s="636"/>
      <c r="T458" s="636"/>
      <c r="U458" s="636"/>
      <c r="V458" s="636"/>
      <c r="W458" s="636"/>
      <c r="X458" s="636"/>
      <c r="Y458" s="636"/>
      <c r="Z458" s="636"/>
      <c r="AA458" s="636"/>
      <c r="AB458" s="636"/>
      <c r="AC458" s="636"/>
      <c r="AD458" s="636"/>
      <c r="AE458" s="599"/>
      <c r="AF458" s="599"/>
      <c r="AG458" s="599"/>
      <c r="AH458" s="599"/>
      <c r="AI458" s="600"/>
      <c r="AJ458" s="600" t="s">
        <v>1686</v>
      </c>
      <c r="AK458" s="1947">
        <f>IF(Application!D213="N/A",AS347,AS349)</f>
        <v>10</v>
      </c>
      <c r="AL458" s="1948"/>
      <c r="AM458" s="1949"/>
      <c r="AN458" s="632"/>
    </row>
    <row r="459" spans="1:49" s="585" customFormat="1" ht="12.75" customHeight="1" thickBot="1">
      <c r="A459" s="795"/>
      <c r="B459" s="795"/>
      <c r="C459" s="795"/>
      <c r="D459" s="795"/>
      <c r="E459" s="795"/>
      <c r="F459" s="795"/>
      <c r="G459" s="795"/>
      <c r="H459" s="795"/>
      <c r="I459" s="795"/>
      <c r="J459" s="795"/>
      <c r="K459" s="795"/>
      <c r="L459" s="795"/>
      <c r="M459" s="795"/>
      <c r="N459" s="795"/>
      <c r="O459" s="795"/>
      <c r="P459" s="795"/>
      <c r="Q459" s="795"/>
      <c r="R459" s="795"/>
      <c r="S459" s="795"/>
      <c r="T459" s="795"/>
      <c r="U459" s="795"/>
      <c r="V459" s="795"/>
      <c r="W459" s="795"/>
      <c r="X459" s="795"/>
      <c r="Y459" s="795"/>
      <c r="Z459" s="795"/>
      <c r="AA459" s="795"/>
      <c r="AB459" s="795"/>
      <c r="AC459" s="795"/>
      <c r="AD459" s="795"/>
      <c r="AE459" s="795"/>
      <c r="AF459" s="795"/>
      <c r="AG459" s="795"/>
      <c r="AH459" s="795"/>
      <c r="AI459" s="795"/>
      <c r="AJ459" s="795"/>
      <c r="AK459" s="795"/>
      <c r="AL459" s="795"/>
      <c r="AM459" s="796"/>
      <c r="AN459" s="632"/>
    </row>
    <row r="460" spans="1:49" s="585" customFormat="1" ht="12.75" hidden="1" customHeight="1" thickTop="1">
      <c r="A460" s="86"/>
      <c r="B460" s="606"/>
      <c r="C460" s="607"/>
      <c r="D460" s="607"/>
      <c r="E460" s="607"/>
      <c r="F460" s="607"/>
      <c r="G460" s="607"/>
      <c r="H460" s="607"/>
      <c r="I460" s="608"/>
      <c r="J460" s="608"/>
      <c r="K460" s="608"/>
      <c r="L460" s="608"/>
      <c r="M460" s="608"/>
      <c r="N460" s="608"/>
      <c r="O460" s="608"/>
      <c r="P460" s="608"/>
      <c r="Q460" s="608"/>
      <c r="R460" s="605"/>
      <c r="S460" s="574"/>
      <c r="T460" s="574"/>
      <c r="U460" s="574"/>
      <c r="V460" s="574"/>
      <c r="W460" s="574"/>
      <c r="X460" s="574"/>
      <c r="Y460" s="574"/>
      <c r="Z460" s="574"/>
      <c r="AA460" s="574"/>
      <c r="AB460" s="574"/>
      <c r="AC460" s="574"/>
      <c r="AD460" s="574"/>
      <c r="AE460" s="574"/>
      <c r="AF460" s="605"/>
      <c r="AG460" s="574"/>
      <c r="AH460" s="574"/>
      <c r="AI460" s="574"/>
      <c r="AJ460" s="574"/>
      <c r="AM460" s="14"/>
      <c r="AN460" s="632"/>
      <c r="AO460" s="585" t="s">
        <v>600</v>
      </c>
      <c r="AP460" s="585">
        <v>0</v>
      </c>
    </row>
    <row r="461" spans="1:49" s="585" customFormat="1" ht="12.75" hidden="1" customHeight="1">
      <c r="A461" s="574" t="s">
        <v>1687</v>
      </c>
      <c r="C461" s="574"/>
      <c r="E461" s="631"/>
      <c r="AE461" s="1988" t="s">
        <v>1688</v>
      </c>
      <c r="AF461" s="1988"/>
      <c r="AG461" s="1988"/>
      <c r="AH461" s="1988"/>
      <c r="AI461" s="1988"/>
      <c r="AJ461" s="1988"/>
      <c r="AK461" s="1988"/>
      <c r="AL461" s="626"/>
      <c r="AN461" s="632"/>
      <c r="AO461" s="585" t="s">
        <v>1666</v>
      </c>
      <c r="AP461" s="585">
        <v>5</v>
      </c>
    </row>
    <row r="462" spans="1:49" s="585" customFormat="1" ht="12.75" hidden="1" customHeight="1">
      <c r="A462" s="574"/>
      <c r="B462" s="571" t="s">
        <v>1689</v>
      </c>
      <c r="C462" s="574"/>
      <c r="E462" s="631"/>
      <c r="AE462" s="626"/>
      <c r="AF462" s="626"/>
      <c r="AG462" s="626"/>
      <c r="AH462" s="626"/>
      <c r="AI462" s="626"/>
      <c r="AJ462" s="626"/>
      <c r="AK462" s="626"/>
      <c r="AL462" s="626"/>
      <c r="AN462" s="632"/>
      <c r="AO462" s="585" t="s">
        <v>1690</v>
      </c>
      <c r="AP462" s="585">
        <v>5</v>
      </c>
    </row>
    <row r="463" spans="1:49" s="585" customFormat="1" ht="12.75" hidden="1" customHeight="1">
      <c r="A463" s="574"/>
      <c r="B463" s="574" t="s">
        <v>1691</v>
      </c>
      <c r="C463" s="574"/>
      <c r="E463" s="631"/>
      <c r="AE463" s="626"/>
      <c r="AF463" s="626"/>
      <c r="AG463" s="626"/>
      <c r="AH463" s="626"/>
      <c r="AI463" s="626"/>
      <c r="AJ463" s="626"/>
      <c r="AK463" s="626"/>
      <c r="AL463" s="626"/>
      <c r="AN463" s="632"/>
      <c r="AO463" s="585" t="s">
        <v>1668</v>
      </c>
      <c r="AP463" s="585">
        <v>5</v>
      </c>
      <c r="AQ463" s="574"/>
      <c r="AR463" s="574"/>
      <c r="AS463" s="791"/>
      <c r="AW463" s="791"/>
    </row>
    <row r="464" spans="1:49" s="585" customFormat="1" ht="12.75" hidden="1" customHeight="1">
      <c r="A464" s="574"/>
      <c r="B464" s="574" t="s">
        <v>1692</v>
      </c>
      <c r="C464" s="574"/>
      <c r="E464" s="631"/>
      <c r="AE464" s="626"/>
      <c r="AF464" s="626"/>
      <c r="AG464" s="626"/>
      <c r="AH464" s="626"/>
      <c r="AI464" s="626"/>
      <c r="AJ464" s="626"/>
      <c r="AK464" s="626"/>
      <c r="AL464" s="626"/>
      <c r="AN464" s="632"/>
      <c r="AO464" s="585" t="s">
        <v>1670</v>
      </c>
      <c r="AP464" s="585">
        <v>5</v>
      </c>
      <c r="AQ464" s="574"/>
      <c r="AR464" s="574"/>
      <c r="AW464" s="714"/>
    </row>
    <row r="465" spans="1:50" s="585" customFormat="1" ht="12.75" hidden="1" customHeight="1">
      <c r="A465" s="574"/>
      <c r="C465" s="574"/>
      <c r="E465" s="631"/>
      <c r="AE465" s="626"/>
      <c r="AF465" s="626"/>
      <c r="AG465" s="626"/>
      <c r="AH465" s="626"/>
      <c r="AI465" s="626"/>
      <c r="AJ465" s="626"/>
      <c r="AK465" s="626"/>
      <c r="AL465" s="626"/>
      <c r="AN465" s="632"/>
      <c r="AO465" s="585" t="s">
        <v>1671</v>
      </c>
      <c r="AP465" s="585">
        <v>5</v>
      </c>
      <c r="AQ465" s="574"/>
      <c r="AR465" s="574"/>
      <c r="AW465" s="714"/>
    </row>
    <row r="466" spans="1:50" s="585" customFormat="1" ht="12.75" hidden="1" customHeight="1">
      <c r="A466" s="574"/>
      <c r="C466" s="747" t="s">
        <v>1693</v>
      </c>
      <c r="D466" s="605"/>
      <c r="AE466" s="626"/>
      <c r="AF466" s="626"/>
      <c r="AG466" s="631"/>
      <c r="AH466" s="631"/>
      <c r="AI466" s="631"/>
      <c r="AJ466" s="631"/>
      <c r="AK466" s="631"/>
      <c r="AL466" s="631"/>
      <c r="AN466" s="632"/>
      <c r="AO466" s="585" t="s">
        <v>1672</v>
      </c>
      <c r="AP466" s="585">
        <v>5</v>
      </c>
      <c r="AW466" s="714"/>
    </row>
    <row r="467" spans="1:50" s="585" customFormat="1" ht="12.75" hidden="1" customHeight="1">
      <c r="A467" s="574"/>
      <c r="C467" s="2009" t="s">
        <v>600</v>
      </c>
      <c r="D467" s="2010"/>
      <c r="E467" s="797" t="s">
        <v>516</v>
      </c>
      <c r="F467" s="2011" t="s">
        <v>1694</v>
      </c>
      <c r="G467" s="2011"/>
      <c r="H467" s="2011"/>
      <c r="I467" s="2011"/>
      <c r="J467" s="2011"/>
      <c r="K467" s="2011"/>
      <c r="L467" s="2011"/>
      <c r="M467" s="2011"/>
      <c r="N467" s="2011"/>
      <c r="O467" s="2011"/>
      <c r="P467" s="2011"/>
      <c r="Q467" s="2011"/>
      <c r="R467" s="2011"/>
      <c r="S467" s="2011"/>
      <c r="T467" s="2011"/>
      <c r="U467" s="2011"/>
      <c r="V467" s="2011"/>
      <c r="W467" s="2011"/>
      <c r="X467" s="2011"/>
      <c r="Y467" s="2011"/>
      <c r="Z467" s="2011"/>
      <c r="AA467" s="2011"/>
      <c r="AB467" s="2011"/>
      <c r="AC467" s="2011"/>
      <c r="AD467" s="2011"/>
      <c r="AE467" s="2011"/>
      <c r="AF467" s="749"/>
      <c r="AG467" s="749"/>
      <c r="AH467" s="749"/>
      <c r="AI467" s="749"/>
      <c r="AJ467" s="749"/>
      <c r="AK467" s="780"/>
      <c r="AN467" s="632"/>
      <c r="AO467" s="585" t="s">
        <v>1695</v>
      </c>
      <c r="AP467" s="585">
        <v>5</v>
      </c>
      <c r="AS467" s="794"/>
      <c r="AT467" s="628"/>
      <c r="AW467" s="714"/>
      <c r="AX467" s="672"/>
    </row>
    <row r="468" spans="1:50" s="585" customFormat="1" ht="12.75" hidden="1" customHeight="1">
      <c r="C468" s="798"/>
      <c r="E468" s="799"/>
      <c r="F468" s="2012"/>
      <c r="G468" s="2012"/>
      <c r="H468" s="2012"/>
      <c r="I468" s="2012"/>
      <c r="J468" s="2012"/>
      <c r="K468" s="2012"/>
      <c r="L468" s="2012"/>
      <c r="M468" s="2012"/>
      <c r="N468" s="2012"/>
      <c r="O468" s="2012"/>
      <c r="P468" s="2012"/>
      <c r="Q468" s="2012"/>
      <c r="R468" s="2012"/>
      <c r="S468" s="2012"/>
      <c r="T468" s="2012"/>
      <c r="U468" s="2012"/>
      <c r="V468" s="2012"/>
      <c r="W468" s="2012"/>
      <c r="X468" s="2012"/>
      <c r="Y468" s="2012"/>
      <c r="Z468" s="2012"/>
      <c r="AA468" s="2012"/>
      <c r="AB468" s="2012"/>
      <c r="AC468" s="2012"/>
      <c r="AD468" s="2012"/>
      <c r="AE468" s="2012"/>
      <c r="AG468" s="586"/>
      <c r="AH468" s="586"/>
      <c r="AI468" s="586"/>
      <c r="AJ468" s="586"/>
      <c r="AK468" s="767"/>
      <c r="AN468" s="632"/>
      <c r="AO468" s="585" t="s">
        <v>1676</v>
      </c>
      <c r="AP468" s="585">
        <v>1</v>
      </c>
    </row>
    <row r="469" spans="1:50" s="585" customFormat="1" ht="12.75" hidden="1" customHeight="1">
      <c r="C469" s="800"/>
      <c r="D469" s="762"/>
      <c r="E469" s="801"/>
      <c r="F469" s="2013" t="s">
        <v>600</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2"/>
      <c r="AB469" s="693"/>
      <c r="AC469" s="693"/>
      <c r="AD469" s="762"/>
      <c r="AE469" s="762"/>
      <c r="AF469" s="762"/>
      <c r="AG469" s="803">
        <f>IF($C$467="Yes",(VLOOKUP($F$469,$AO$434:$AP$442,2,FALSE)),0)</f>
        <v>0</v>
      </c>
      <c r="AH469" s="804" t="s">
        <v>1500</v>
      </c>
      <c r="AI469" s="803"/>
      <c r="AJ469" s="803"/>
      <c r="AK469" s="777"/>
      <c r="AN469" s="632"/>
      <c r="AS469" s="791"/>
      <c r="AW469" s="791"/>
    </row>
    <row r="470" spans="1:50" s="585" customFormat="1" ht="12.75" hidden="1" customHeight="1">
      <c r="C470" s="586"/>
      <c r="E470" s="799"/>
      <c r="F470" s="628"/>
      <c r="G470" s="628"/>
      <c r="H470" s="628"/>
      <c r="I470" s="628"/>
      <c r="J470" s="628"/>
      <c r="K470" s="628"/>
      <c r="L470" s="628"/>
      <c r="M470" s="628"/>
      <c r="N470" s="628"/>
      <c r="O470" s="628"/>
      <c r="P470" s="628"/>
      <c r="Q470" s="628"/>
      <c r="R470" s="628"/>
      <c r="S470" s="628"/>
      <c r="T470" s="628"/>
      <c r="U470" s="628"/>
      <c r="V470" s="628"/>
      <c r="W470" s="628"/>
      <c r="X470" s="628"/>
      <c r="Y470" s="628"/>
      <c r="Z470" s="628"/>
      <c r="AA470" s="605"/>
      <c r="AB470" s="586"/>
      <c r="AC470" s="586"/>
      <c r="AG470" s="586"/>
      <c r="AH470" s="586"/>
      <c r="AI470" s="586"/>
      <c r="AJ470" s="586"/>
      <c r="AN470" s="632"/>
      <c r="AO470" s="585" t="s">
        <v>600</v>
      </c>
      <c r="AP470" s="672">
        <v>0</v>
      </c>
    </row>
    <row r="471" spans="1:50" s="585" customFormat="1" ht="12.75" hidden="1" customHeight="1">
      <c r="C471" s="2014" t="s">
        <v>554</v>
      </c>
      <c r="D471" s="2015"/>
      <c r="E471" s="797" t="s">
        <v>769</v>
      </c>
      <c r="F471" s="805" t="s">
        <v>1696</v>
      </c>
      <c r="G471" s="684"/>
      <c r="H471" s="684"/>
      <c r="I471" s="684"/>
      <c r="J471" s="684"/>
      <c r="K471" s="684"/>
      <c r="L471" s="684"/>
      <c r="M471" s="684"/>
      <c r="N471" s="684"/>
      <c r="O471" s="684"/>
      <c r="P471" s="684"/>
      <c r="Q471" s="684"/>
      <c r="R471" s="684"/>
      <c r="S471" s="684"/>
      <c r="T471" s="684"/>
      <c r="U471" s="684"/>
      <c r="V471" s="684"/>
      <c r="W471" s="684"/>
      <c r="X471" s="684"/>
      <c r="Y471" s="684"/>
      <c r="Z471" s="684"/>
      <c r="AA471" s="684"/>
      <c r="AB471" s="684"/>
      <c r="AC471" s="684"/>
      <c r="AD471" s="749"/>
      <c r="AE471" s="749"/>
      <c r="AF471" s="749"/>
      <c r="AG471" s="684"/>
      <c r="AH471" s="684"/>
      <c r="AI471" s="684"/>
      <c r="AJ471" s="684"/>
      <c r="AK471" s="780"/>
      <c r="AN471" s="632"/>
      <c r="AO471" s="794">
        <v>0.15</v>
      </c>
      <c r="AP471" s="672">
        <v>3</v>
      </c>
    </row>
    <row r="472" spans="1:50" s="585" customFormat="1" ht="12.75" hidden="1" customHeight="1">
      <c r="C472" s="806" t="s">
        <v>1697</v>
      </c>
      <c r="F472" s="807" t="s">
        <v>1698</v>
      </c>
      <c r="G472" s="586"/>
      <c r="H472" s="586"/>
      <c r="I472" s="586"/>
      <c r="J472" s="586"/>
      <c r="K472" s="586"/>
      <c r="L472" s="586"/>
      <c r="M472" s="586"/>
      <c r="N472" s="586"/>
      <c r="O472" s="586"/>
      <c r="P472" s="586"/>
      <c r="Q472" s="586"/>
      <c r="R472" s="586"/>
      <c r="S472" s="586"/>
      <c r="T472" s="586"/>
      <c r="U472" s="586"/>
      <c r="V472" s="586"/>
      <c r="W472" s="586"/>
      <c r="X472" s="586"/>
      <c r="Y472" s="586"/>
      <c r="Z472" s="586"/>
      <c r="AA472" s="586"/>
      <c r="AB472" s="586"/>
      <c r="AC472" s="626"/>
      <c r="AG472" s="648"/>
      <c r="AH472" s="648"/>
      <c r="AI472" s="648"/>
      <c r="AJ472" s="648"/>
      <c r="AK472" s="767"/>
      <c r="AN472" s="632"/>
      <c r="AO472" s="794">
        <v>0.2</v>
      </c>
      <c r="AP472" s="672">
        <v>5</v>
      </c>
    </row>
    <row r="473" spans="1:50" s="585" customFormat="1" ht="12.75" hidden="1" customHeight="1">
      <c r="C473" s="787"/>
      <c r="D473" s="765"/>
      <c r="E473" s="808"/>
      <c r="F473" s="807" t="s">
        <v>1699</v>
      </c>
      <c r="G473" s="807"/>
      <c r="H473" s="807"/>
      <c r="I473" s="807"/>
      <c r="J473" s="807"/>
      <c r="K473" s="807"/>
      <c r="L473" s="807"/>
      <c r="M473" s="807"/>
      <c r="N473" s="807"/>
      <c r="O473" s="807"/>
      <c r="P473" s="807"/>
      <c r="Q473" s="807"/>
      <c r="R473" s="807"/>
      <c r="S473" s="807"/>
      <c r="T473" s="807"/>
      <c r="U473" s="807"/>
      <c r="V473" s="807"/>
      <c r="W473" s="807"/>
      <c r="X473" s="807"/>
      <c r="Y473" s="807"/>
      <c r="Z473" s="807"/>
      <c r="AA473" s="807"/>
      <c r="AB473" s="807"/>
      <c r="AC473" s="809"/>
      <c r="AD473" s="644"/>
      <c r="AE473" s="644"/>
      <c r="AF473" s="644"/>
      <c r="AG473" s="810"/>
      <c r="AH473" s="648"/>
      <c r="AI473" s="648"/>
      <c r="AJ473" s="648"/>
      <c r="AK473" s="767"/>
      <c r="AN473" s="713"/>
      <c r="AO473" s="794"/>
      <c r="AP473" s="628"/>
    </row>
    <row r="474" spans="1:50" s="631" customFormat="1" ht="12.75" hidden="1" customHeight="1">
      <c r="A474" s="672"/>
      <c r="B474" s="585"/>
      <c r="C474" s="798"/>
      <c r="D474" s="585"/>
      <c r="E474" s="799"/>
      <c r="F474" s="811" t="s">
        <v>1700</v>
      </c>
      <c r="G474" s="585"/>
      <c r="H474" s="585"/>
      <c r="I474" s="807"/>
      <c r="J474" s="807"/>
      <c r="K474" s="807"/>
      <c r="L474" s="807"/>
      <c r="M474" s="807"/>
      <c r="N474" s="807"/>
      <c r="O474" s="807"/>
      <c r="P474" s="807"/>
      <c r="Q474" s="807"/>
      <c r="R474" s="807"/>
      <c r="S474" s="807"/>
      <c r="T474" s="807"/>
      <c r="U474" s="807"/>
      <c r="V474" s="2021" t="s">
        <v>600</v>
      </c>
      <c r="W474" s="2021"/>
      <c r="X474" s="2021"/>
      <c r="Y474" s="807"/>
      <c r="Z474" s="807"/>
      <c r="AA474" s="807"/>
      <c r="AB474" s="807"/>
      <c r="AC474" s="807"/>
      <c r="AD474" s="644"/>
      <c r="AE474" s="644"/>
      <c r="AF474" s="644"/>
      <c r="AG474" s="648">
        <f>IF(AND($C$471="Yes",$V$476="N/A",$V$481="N/A",$V$485="N/A",$V$487="N/A"),(VLOOKUP(V474,$AR$444:$AS$446,2,FALSE)),0)</f>
        <v>0</v>
      </c>
      <c r="AH474" s="675" t="s">
        <v>1500</v>
      </c>
      <c r="AI474" s="586"/>
      <c r="AJ474" s="586"/>
      <c r="AK474" s="767"/>
      <c r="AL474" s="585"/>
      <c r="AM474" s="585"/>
      <c r="AN474" s="632"/>
    </row>
    <row r="475" spans="1:50" s="631" customFormat="1" ht="12.75" hidden="1" customHeight="1">
      <c r="A475" s="672"/>
      <c r="B475" s="585"/>
      <c r="C475" s="798"/>
      <c r="D475" s="585"/>
      <c r="E475" s="799"/>
      <c r="F475" s="811"/>
      <c r="G475" s="585"/>
      <c r="H475" s="585"/>
      <c r="I475" s="807"/>
      <c r="J475" s="807"/>
      <c r="K475" s="807"/>
      <c r="L475" s="807"/>
      <c r="M475" s="807"/>
      <c r="N475" s="807"/>
      <c r="O475" s="807"/>
      <c r="P475" s="807"/>
      <c r="Q475" s="807"/>
      <c r="R475" s="807"/>
      <c r="S475" s="807"/>
      <c r="T475" s="807"/>
      <c r="U475" s="807"/>
      <c r="V475" s="807"/>
      <c r="W475" s="807"/>
      <c r="X475" s="807"/>
      <c r="Y475" s="807"/>
      <c r="Z475" s="807"/>
      <c r="AA475" s="807"/>
      <c r="AB475" s="807"/>
      <c r="AC475" s="807"/>
      <c r="AD475" s="644"/>
      <c r="AE475" s="644"/>
      <c r="AF475" s="644"/>
      <c r="AG475" s="648"/>
      <c r="AH475" s="675"/>
      <c r="AI475" s="586"/>
      <c r="AJ475" s="586"/>
      <c r="AK475" s="767"/>
      <c r="AL475" s="585"/>
      <c r="AM475" s="585"/>
      <c r="AN475" s="632"/>
    </row>
    <row r="476" spans="1:50" s="631" customFormat="1" ht="12.75" hidden="1" customHeight="1">
      <c r="A476" s="672"/>
      <c r="B476" s="585"/>
      <c r="C476" s="798"/>
      <c r="D476" s="585"/>
      <c r="E476" s="799"/>
      <c r="F476" s="811" t="s">
        <v>1701</v>
      </c>
      <c r="G476" s="585"/>
      <c r="H476" s="585"/>
      <c r="I476" s="807"/>
      <c r="J476" s="807"/>
      <c r="K476" s="807"/>
      <c r="L476" s="807"/>
      <c r="M476" s="807"/>
      <c r="N476" s="807"/>
      <c r="O476" s="807"/>
      <c r="P476" s="807"/>
      <c r="Q476" s="807"/>
      <c r="R476" s="807"/>
      <c r="S476" s="807"/>
      <c r="T476" s="807"/>
      <c r="U476" s="807"/>
      <c r="V476" s="2021" t="s">
        <v>600</v>
      </c>
      <c r="W476" s="2021"/>
      <c r="X476" s="2021"/>
      <c r="Y476" s="807"/>
      <c r="Z476" s="807"/>
      <c r="AA476" s="807"/>
      <c r="AB476" s="807"/>
      <c r="AC476" s="807"/>
      <c r="AD476" s="644"/>
      <c r="AE476" s="644"/>
      <c r="AF476" s="644"/>
      <c r="AG476" s="648">
        <f>IF(AND($C$471="Yes",$V$474="N/A", $V$481="N/A",$V$485="N/A",$V$487="N/A"),(VLOOKUP(V476,$AO$444:$AP$446,2,FALSE)),0)</f>
        <v>0</v>
      </c>
      <c r="AH476" s="675" t="s">
        <v>1500</v>
      </c>
      <c r="AI476" s="586"/>
      <c r="AJ476" s="586"/>
      <c r="AK476" s="767"/>
      <c r="AL476" s="585"/>
      <c r="AM476" s="585"/>
      <c r="AN476" s="632"/>
    </row>
    <row r="477" spans="1:50" s="585" customFormat="1" ht="12.75" hidden="1" customHeight="1">
      <c r="C477" s="798"/>
      <c r="E477" s="799"/>
      <c r="F477" s="631"/>
      <c r="G477" s="812"/>
      <c r="H477" s="812"/>
      <c r="I477" s="812"/>
      <c r="J477" s="812"/>
      <c r="K477" s="812"/>
      <c r="L477" s="812"/>
      <c r="M477" s="812"/>
      <c r="N477" s="812"/>
      <c r="O477" s="812"/>
      <c r="P477" s="812"/>
      <c r="Q477" s="586"/>
      <c r="R477" s="586"/>
      <c r="S477" s="586"/>
      <c r="T477" s="586"/>
      <c r="U477" s="586"/>
      <c r="V477" s="586"/>
      <c r="W477" s="586"/>
      <c r="X477" s="586"/>
      <c r="Y477" s="586"/>
      <c r="Z477" s="586"/>
      <c r="AA477" s="586"/>
      <c r="AB477" s="586"/>
      <c r="AC477" s="586"/>
      <c r="AG477" s="631"/>
      <c r="AH477" s="631"/>
      <c r="AI477" s="631"/>
      <c r="AJ477" s="631"/>
      <c r="AK477" s="767"/>
      <c r="AN477" s="632"/>
      <c r="AO477" s="585" t="s">
        <v>600</v>
      </c>
      <c r="AP477" s="585">
        <v>0</v>
      </c>
    </row>
    <row r="478" spans="1:50" s="585" customFormat="1" ht="12.75" hidden="1" customHeight="1">
      <c r="C478" s="798"/>
      <c r="E478" s="799"/>
      <c r="F478" s="812" t="s">
        <v>1702</v>
      </c>
      <c r="I478" s="799"/>
      <c r="J478" s="799"/>
      <c r="K478" s="799"/>
      <c r="L478" s="799"/>
      <c r="M478" s="799"/>
      <c r="N478" s="799"/>
      <c r="O478" s="799"/>
      <c r="P478" s="799"/>
      <c r="Q478" s="586"/>
      <c r="R478" s="586"/>
      <c r="S478" s="586"/>
      <c r="T478" s="586"/>
      <c r="U478" s="586"/>
      <c r="V478" s="586"/>
      <c r="W478" s="586"/>
      <c r="X478" s="586"/>
      <c r="Y478" s="586"/>
      <c r="Z478" s="586"/>
      <c r="AA478" s="586"/>
      <c r="AB478" s="586"/>
      <c r="AC478" s="586"/>
      <c r="AJ478" s="586"/>
      <c r="AK478" s="767"/>
      <c r="AN478" s="632"/>
      <c r="AO478" s="585" t="s">
        <v>1703</v>
      </c>
      <c r="AP478" s="672">
        <v>2</v>
      </c>
    </row>
    <row r="479" spans="1:50" s="585" customFormat="1" ht="12.75" hidden="1" customHeight="1">
      <c r="C479" s="798"/>
      <c r="F479" s="644" t="s">
        <v>1704</v>
      </c>
      <c r="M479" s="799"/>
      <c r="N479" s="799"/>
      <c r="O479" s="799"/>
      <c r="P479" s="799"/>
      <c r="Q479" s="586"/>
      <c r="R479" s="586"/>
      <c r="S479" s="586"/>
      <c r="T479" s="586"/>
      <c r="U479" s="586"/>
      <c r="V479" s="586"/>
      <c r="W479" s="586"/>
      <c r="X479" s="586"/>
      <c r="Y479" s="586"/>
      <c r="Z479" s="586"/>
      <c r="AA479" s="586"/>
      <c r="AB479" s="586"/>
      <c r="AC479" s="586"/>
      <c r="AG479" s="648"/>
      <c r="AH479" s="675"/>
      <c r="AI479" s="586"/>
      <c r="AJ479" s="586"/>
      <c r="AK479" s="767"/>
      <c r="AN479" s="632"/>
      <c r="AO479" s="585" t="s">
        <v>1705</v>
      </c>
      <c r="AP479" s="585">
        <v>2</v>
      </c>
    </row>
    <row r="480" spans="1:50" s="631" customFormat="1" ht="12.75" hidden="1" customHeight="1">
      <c r="A480" s="585"/>
      <c r="B480" s="585"/>
      <c r="C480" s="774"/>
      <c r="D480" s="605"/>
      <c r="E480" s="605"/>
      <c r="F480" s="644" t="s">
        <v>1706</v>
      </c>
      <c r="G480" s="585"/>
      <c r="H480" s="585"/>
      <c r="I480" s="585"/>
      <c r="J480" s="585"/>
      <c r="K480" s="585"/>
      <c r="L480" s="585"/>
      <c r="M480" s="799"/>
      <c r="N480" s="799"/>
      <c r="O480" s="799"/>
      <c r="P480" s="799"/>
      <c r="Q480" s="586"/>
      <c r="R480" s="586"/>
      <c r="S480" s="586"/>
      <c r="T480" s="586"/>
      <c r="U480" s="586"/>
      <c r="V480" s="586"/>
      <c r="W480" s="586"/>
      <c r="X480" s="586"/>
      <c r="Y480" s="586"/>
      <c r="Z480" s="586"/>
      <c r="AA480" s="586"/>
      <c r="AB480" s="586"/>
      <c r="AC480" s="586"/>
      <c r="AD480" s="585"/>
      <c r="AE480" s="585"/>
      <c r="AF480" s="585"/>
      <c r="AG480" s="648"/>
      <c r="AH480" s="675"/>
      <c r="AI480" s="586"/>
      <c r="AJ480" s="586"/>
      <c r="AK480" s="767"/>
      <c r="AL480" s="585"/>
      <c r="AM480" s="585"/>
      <c r="AN480" s="713"/>
      <c r="AO480" s="585" t="s">
        <v>1707</v>
      </c>
      <c r="AP480" s="585">
        <v>2</v>
      </c>
    </row>
    <row r="481" spans="1:81" s="585" customFormat="1" ht="12.75" hidden="1" customHeight="1">
      <c r="C481" s="813"/>
      <c r="F481" s="811" t="s">
        <v>1708</v>
      </c>
      <c r="M481" s="799"/>
      <c r="N481" s="799"/>
      <c r="O481" s="799"/>
      <c r="P481" s="799"/>
      <c r="Q481" s="586"/>
      <c r="R481" s="586"/>
      <c r="S481" s="586"/>
      <c r="T481" s="586"/>
      <c r="U481" s="586"/>
      <c r="V481" s="2021" t="s">
        <v>600</v>
      </c>
      <c r="W481" s="2021"/>
      <c r="X481" s="2021"/>
      <c r="Y481" s="586"/>
      <c r="Z481" s="586"/>
      <c r="AA481" s="586"/>
      <c r="AB481" s="586"/>
      <c r="AC481" s="586"/>
      <c r="AG481" s="648">
        <f>IF(AND($C$471="Yes",$V$474="N/A",$V$476="N/A", $V$485="N/A",$V$487="N/A"),(VLOOKUP($V$481,$AO$448:$AP$450,2,FALSE)),0)</f>
        <v>0</v>
      </c>
      <c r="AH481" s="675" t="s">
        <v>1500</v>
      </c>
      <c r="AI481" s="586"/>
      <c r="AJ481" s="586"/>
      <c r="AK481" s="767"/>
      <c r="AN481" s="570"/>
    </row>
    <row r="482" spans="1:81" s="585" customFormat="1" ht="12.75" hidden="1" customHeight="1">
      <c r="C482" s="798"/>
      <c r="M482" s="799"/>
      <c r="N482" s="799"/>
      <c r="O482" s="799"/>
      <c r="P482" s="799"/>
      <c r="Q482" s="586"/>
      <c r="R482" s="586"/>
      <c r="S482" s="586"/>
      <c r="T482" s="586"/>
      <c r="U482" s="586"/>
      <c r="V482" s="586"/>
      <c r="W482" s="586"/>
      <c r="X482" s="586"/>
      <c r="Y482" s="586"/>
      <c r="Z482" s="586"/>
      <c r="AA482" s="586"/>
      <c r="AB482" s="586"/>
      <c r="AC482" s="586"/>
      <c r="AJ482" s="586"/>
      <c r="AK482" s="767"/>
      <c r="AN482" s="814"/>
    </row>
    <row r="483" spans="1:81" s="631" customFormat="1" ht="12.75" hidden="1" customHeight="1">
      <c r="A483" s="585"/>
      <c r="B483" s="585"/>
      <c r="C483" s="815" t="s">
        <v>1709</v>
      </c>
      <c r="D483" s="749"/>
      <c r="E483" s="749"/>
      <c r="F483" s="816" t="s">
        <v>1710</v>
      </c>
      <c r="G483" s="749"/>
      <c r="H483" s="749"/>
      <c r="I483" s="749"/>
      <c r="J483" s="749"/>
      <c r="K483" s="749"/>
      <c r="L483" s="749"/>
      <c r="M483" s="749"/>
      <c r="N483" s="749"/>
      <c r="O483" s="749"/>
      <c r="P483" s="749"/>
      <c r="Q483" s="749"/>
      <c r="R483" s="749"/>
      <c r="S483" s="749"/>
      <c r="T483" s="749"/>
      <c r="U483" s="749"/>
      <c r="V483" s="749"/>
      <c r="W483" s="749"/>
      <c r="X483" s="749"/>
      <c r="Y483" s="749"/>
      <c r="Z483" s="749"/>
      <c r="AA483" s="749"/>
      <c r="AB483" s="749"/>
      <c r="AC483" s="749"/>
      <c r="AD483" s="749"/>
      <c r="AE483" s="749"/>
      <c r="AF483" s="749"/>
      <c r="AG483" s="749"/>
      <c r="AH483" s="749"/>
      <c r="AI483" s="749"/>
      <c r="AJ483" s="749"/>
      <c r="AK483" s="780"/>
      <c r="AL483" s="585"/>
      <c r="AM483" s="585"/>
      <c r="AN483" s="627"/>
      <c r="AO483" s="585" t="s">
        <v>600</v>
      </c>
      <c r="AP483" s="585">
        <v>0</v>
      </c>
      <c r="AQ483" s="574"/>
    </row>
    <row r="484" spans="1:81" s="631" customFormat="1" ht="12.75" hidden="1" customHeight="1">
      <c r="A484" s="585"/>
      <c r="B484" s="585"/>
      <c r="C484" s="817"/>
      <c r="D484" s="2020"/>
      <c r="E484" s="2020"/>
      <c r="F484" s="807" t="s">
        <v>1711</v>
      </c>
      <c r="I484" s="585"/>
      <c r="J484" s="585"/>
      <c r="K484" s="585"/>
      <c r="L484" s="585"/>
      <c r="M484" s="585"/>
      <c r="N484" s="585"/>
      <c r="O484" s="585"/>
      <c r="P484" s="585"/>
      <c r="Q484" s="585"/>
      <c r="R484" s="585"/>
      <c r="S484" s="585"/>
      <c r="T484" s="585"/>
      <c r="U484" s="585"/>
      <c r="Y484" s="585"/>
      <c r="Z484" s="585"/>
      <c r="AA484" s="585"/>
      <c r="AB484" s="585"/>
      <c r="AC484" s="585"/>
      <c r="AD484" s="585"/>
      <c r="AE484" s="585"/>
      <c r="AF484" s="585"/>
      <c r="AK484" s="767"/>
      <c r="AL484" s="585"/>
      <c r="AM484" s="585"/>
      <c r="AN484" s="627"/>
      <c r="AO484" s="585" t="s">
        <v>1712</v>
      </c>
      <c r="AP484" s="672">
        <v>5</v>
      </c>
      <c r="AQ484" s="574"/>
    </row>
    <row r="485" spans="1:81" s="605" customFormat="1" ht="12.75" hidden="1" customHeight="1">
      <c r="A485" s="714"/>
      <c r="B485" s="585"/>
      <c r="C485" s="798"/>
      <c r="D485" s="585"/>
      <c r="E485" s="585"/>
      <c r="F485" s="818" t="s">
        <v>1700</v>
      </c>
      <c r="G485" s="585"/>
      <c r="H485" s="585"/>
      <c r="I485" s="585"/>
      <c r="J485" s="585"/>
      <c r="K485" s="585"/>
      <c r="L485" s="585"/>
      <c r="M485" s="585"/>
      <c r="N485" s="585"/>
      <c r="O485" s="585"/>
      <c r="P485" s="585"/>
      <c r="Q485" s="585"/>
      <c r="R485" s="585"/>
      <c r="S485" s="585"/>
      <c r="T485" s="585"/>
      <c r="U485" s="585"/>
      <c r="V485" s="2021" t="s">
        <v>600</v>
      </c>
      <c r="W485" s="2021"/>
      <c r="X485" s="2021"/>
      <c r="Y485" s="585"/>
      <c r="Z485" s="585"/>
      <c r="AA485" s="585"/>
      <c r="AB485" s="585"/>
      <c r="AC485" s="585"/>
      <c r="AD485" s="585"/>
      <c r="AE485" s="585"/>
      <c r="AF485" s="585"/>
      <c r="AG485" s="648">
        <f>IF(AND($C$471="Yes",$V$474="N/A",V476="N/A",$V$481="N/A",$V$487="N/A"),(VLOOKUP($V$485,$AW$444:$AX$447,2,FALSE)),0)</f>
        <v>0</v>
      </c>
      <c r="AH485" s="675" t="s">
        <v>1500</v>
      </c>
      <c r="AI485" s="586"/>
      <c r="AJ485" s="585"/>
      <c r="AK485" s="767"/>
      <c r="AL485" s="585"/>
      <c r="AM485" s="585"/>
      <c r="AN485" s="719"/>
      <c r="AO485" s="585" t="s">
        <v>1713</v>
      </c>
      <c r="AP485" s="585">
        <v>5</v>
      </c>
      <c r="AS485" s="585"/>
      <c r="AT485" s="585"/>
      <c r="AU485" s="585"/>
      <c r="AV485" s="585"/>
      <c r="AW485" s="585"/>
      <c r="AX485" s="585"/>
      <c r="AY485" s="585"/>
      <c r="AZ485" s="585"/>
      <c r="BA485" s="585"/>
      <c r="BB485" s="585"/>
      <c r="BO485" s="585"/>
      <c r="BP485" s="585"/>
      <c r="BQ485" s="585"/>
      <c r="BR485" s="585"/>
      <c r="BS485" s="585"/>
      <c r="BT485" s="585"/>
      <c r="BU485" s="585"/>
      <c r="BV485" s="585"/>
      <c r="BW485" s="585"/>
      <c r="BX485" s="585"/>
      <c r="BY485" s="585"/>
      <c r="BZ485" s="585"/>
      <c r="CA485" s="585"/>
      <c r="CB485" s="585"/>
      <c r="CC485" s="585"/>
    </row>
    <row r="486" spans="1:81" s="605" customFormat="1" ht="12.75" hidden="1" customHeight="1">
      <c r="A486" s="714"/>
      <c r="B486" s="585"/>
      <c r="C486" s="798"/>
      <c r="D486" s="585"/>
      <c r="E486" s="585"/>
      <c r="I486" s="585"/>
      <c r="J486" s="585"/>
      <c r="K486" s="585"/>
      <c r="L486" s="585"/>
      <c r="M486" s="585"/>
      <c r="N486" s="585"/>
      <c r="O486" s="585"/>
      <c r="P486" s="585"/>
      <c r="Q486" s="585"/>
      <c r="R486" s="585"/>
      <c r="S486" s="585"/>
      <c r="T486" s="585"/>
      <c r="U486" s="585"/>
      <c r="V486" s="585"/>
      <c r="W486" s="585"/>
      <c r="X486" s="585"/>
      <c r="Y486" s="585"/>
      <c r="Z486" s="585"/>
      <c r="AA486" s="585"/>
      <c r="AB486" s="585"/>
      <c r="AC486" s="585"/>
      <c r="AD486" s="585"/>
      <c r="AE486" s="585"/>
      <c r="AF486" s="585"/>
      <c r="AK486" s="767"/>
      <c r="AL486" s="585"/>
      <c r="AM486" s="585"/>
      <c r="AN486" s="719"/>
      <c r="AO486" s="585" t="s">
        <v>1714</v>
      </c>
      <c r="AP486" s="585">
        <v>5</v>
      </c>
      <c r="AS486" s="585"/>
      <c r="AT486" s="585"/>
      <c r="AU486" s="585"/>
      <c r="AV486" s="585"/>
      <c r="AW486" s="585"/>
      <c r="AX486" s="585"/>
      <c r="AY486" s="585"/>
      <c r="AZ486" s="585"/>
      <c r="BA486" s="585"/>
      <c r="BB486" s="585"/>
      <c r="BC486" s="585"/>
      <c r="BD486" s="585"/>
      <c r="BE486" s="585"/>
      <c r="BF486" s="585"/>
      <c r="BG486" s="585"/>
      <c r="BH486" s="585"/>
      <c r="BI486" s="585"/>
      <c r="BJ486" s="585"/>
      <c r="BK486" s="585"/>
      <c r="BL486" s="585"/>
      <c r="BM486" s="585"/>
      <c r="BN486" s="585"/>
      <c r="BO486" s="585"/>
      <c r="BP486" s="585"/>
      <c r="BQ486" s="585"/>
      <c r="BR486" s="585"/>
      <c r="BS486" s="585"/>
      <c r="BT486" s="585"/>
      <c r="BU486" s="585"/>
      <c r="BV486" s="585"/>
      <c r="BW486" s="585"/>
      <c r="BX486" s="585"/>
      <c r="BY486" s="585"/>
      <c r="BZ486" s="585"/>
      <c r="CA486" s="585"/>
      <c r="CB486" s="585"/>
      <c r="CC486" s="585"/>
    </row>
    <row r="487" spans="1:81" s="574" customFormat="1" ht="12.75" hidden="1" customHeight="1">
      <c r="A487" s="714"/>
      <c r="B487" s="585"/>
      <c r="C487" s="800"/>
      <c r="D487" s="762"/>
      <c r="E487" s="762"/>
      <c r="F487" s="811" t="s">
        <v>1701</v>
      </c>
      <c r="G487" s="802"/>
      <c r="H487" s="802"/>
      <c r="I487" s="762"/>
      <c r="J487" s="762"/>
      <c r="K487" s="762"/>
      <c r="L487" s="762"/>
      <c r="M487" s="762"/>
      <c r="N487" s="762"/>
      <c r="O487" s="762"/>
      <c r="P487" s="762"/>
      <c r="Q487" s="762"/>
      <c r="R487" s="762"/>
      <c r="S487" s="762"/>
      <c r="T487" s="762"/>
      <c r="U487" s="762"/>
      <c r="V487" s="2021" t="s">
        <v>600</v>
      </c>
      <c r="W487" s="2021"/>
      <c r="X487" s="2021"/>
      <c r="Y487" s="762"/>
      <c r="Z487" s="762"/>
      <c r="AA487" s="762"/>
      <c r="AB487" s="762"/>
      <c r="AC487" s="762"/>
      <c r="AD487" s="762"/>
      <c r="AE487" s="762"/>
      <c r="AF487" s="762"/>
      <c r="AG487" s="819">
        <f>IF(AND($C$471="Yes",$V$474="N/A",$V$476="N/A",$V$481="N/A",$V$485="N/A"),(VLOOKUP($V$487,$BA$444:$BB$446,2,FALSE)),0)</f>
        <v>0</v>
      </c>
      <c r="AH487" s="804" t="s">
        <v>1500</v>
      </c>
      <c r="AI487" s="762"/>
      <c r="AJ487" s="762"/>
      <c r="AK487" s="777"/>
      <c r="AL487" s="585"/>
      <c r="AM487" s="585"/>
      <c r="AN487" s="820"/>
      <c r="AP487" s="631"/>
      <c r="AQ487" s="631"/>
      <c r="AR487" s="631"/>
      <c r="AS487" s="631"/>
      <c r="AT487" s="631"/>
      <c r="AU487" s="631"/>
      <c r="AV487" s="631"/>
      <c r="AW487" s="631"/>
      <c r="AX487" s="631"/>
      <c r="AY487" s="631"/>
      <c r="AZ487" s="631"/>
      <c r="BA487" s="631"/>
      <c r="BB487" s="631"/>
      <c r="BC487" s="631"/>
      <c r="BE487" s="631"/>
      <c r="BF487" s="631"/>
      <c r="BG487" s="631"/>
      <c r="BH487" s="631"/>
      <c r="BI487" s="631"/>
      <c r="BJ487" s="631"/>
      <c r="BK487" s="631"/>
      <c r="BL487" s="631"/>
      <c r="BM487" s="631"/>
      <c r="BN487" s="631"/>
      <c r="BO487" s="631"/>
      <c r="BP487" s="631"/>
      <c r="BQ487" s="631"/>
      <c r="BR487" s="631"/>
    </row>
    <row r="488" spans="1:81" s="574" customFormat="1" ht="12.75" hidden="1" customHeight="1">
      <c r="A488" s="714"/>
      <c r="B488" s="585"/>
      <c r="C488" s="586"/>
      <c r="D488" s="585"/>
      <c r="E488" s="799"/>
      <c r="F488" s="585"/>
      <c r="G488" s="585"/>
      <c r="H488" s="585"/>
      <c r="I488" s="585"/>
      <c r="J488" s="585"/>
      <c r="K488" s="585"/>
      <c r="L488" s="585"/>
      <c r="M488" s="585"/>
      <c r="N488" s="585"/>
      <c r="O488" s="585"/>
      <c r="P488" s="585"/>
      <c r="Q488" s="585"/>
      <c r="R488" s="585"/>
      <c r="S488" s="585"/>
      <c r="T488" s="585"/>
      <c r="U488" s="585"/>
      <c r="V488" s="585"/>
      <c r="W488" s="585"/>
      <c r="X488" s="585"/>
      <c r="Y488" s="585"/>
      <c r="Z488" s="585"/>
      <c r="AA488" s="585"/>
      <c r="AB488" s="585"/>
      <c r="AC488" s="585"/>
      <c r="AD488" s="585"/>
      <c r="AE488" s="585"/>
      <c r="AF488" s="585"/>
      <c r="AG488" s="585"/>
      <c r="AH488" s="585"/>
      <c r="AI488" s="585"/>
      <c r="AJ488" s="585"/>
      <c r="AK488" s="585"/>
      <c r="AL488" s="585"/>
      <c r="AM488" s="585"/>
      <c r="AN488" s="820"/>
      <c r="AO488" s="821"/>
      <c r="AP488" s="585"/>
      <c r="AQ488" s="585"/>
      <c r="AR488" s="585"/>
      <c r="AS488" s="585"/>
      <c r="AT488" s="585"/>
      <c r="AU488" s="822"/>
      <c r="AV488" s="822"/>
      <c r="AW488" s="822"/>
      <c r="AX488" s="822"/>
      <c r="AY488" s="822"/>
      <c r="AZ488" s="822"/>
      <c r="BA488" s="822"/>
      <c r="BB488" s="631"/>
      <c r="BC488" s="631"/>
      <c r="BE488" s="585"/>
      <c r="BF488" s="585"/>
      <c r="BG488" s="585"/>
      <c r="BH488" s="585"/>
      <c r="BI488" s="585"/>
      <c r="BJ488" s="822"/>
      <c r="BK488" s="822"/>
      <c r="BL488" s="822"/>
      <c r="BM488" s="822"/>
      <c r="BN488" s="822"/>
      <c r="BO488" s="822"/>
      <c r="BP488" s="822"/>
      <c r="BQ488" s="631"/>
      <c r="BR488" s="585"/>
    </row>
    <row r="489" spans="1:81" s="574" customFormat="1" ht="12.75" hidden="1" customHeight="1">
      <c r="A489" s="714"/>
      <c r="B489" s="585"/>
      <c r="C489" s="747" t="s">
        <v>1715</v>
      </c>
      <c r="D489" s="585"/>
      <c r="E489" s="799"/>
      <c r="F489" s="586"/>
      <c r="G489" s="586"/>
      <c r="H489" s="586"/>
      <c r="I489" s="586"/>
      <c r="J489" s="586"/>
      <c r="K489" s="586"/>
      <c r="L489" s="586"/>
      <c r="M489" s="586"/>
      <c r="N489" s="586"/>
      <c r="O489" s="586"/>
      <c r="P489" s="586"/>
      <c r="Q489" s="586"/>
      <c r="R489" s="586"/>
      <c r="S489" s="586"/>
      <c r="T489" s="586"/>
      <c r="U489" s="586"/>
      <c r="V489" s="586"/>
      <c r="W489" s="586"/>
      <c r="X489" s="586"/>
      <c r="Y489" s="586"/>
      <c r="Z489" s="586"/>
      <c r="AA489" s="586"/>
      <c r="AB489" s="586"/>
      <c r="AC489" s="586"/>
      <c r="AD489" s="585"/>
      <c r="AE489" s="585"/>
      <c r="AF489" s="585"/>
      <c r="AG489" s="586"/>
      <c r="AH489" s="586"/>
      <c r="AI489" s="586"/>
      <c r="AJ489" s="586"/>
      <c r="AK489" s="585"/>
      <c r="AL489" s="585"/>
      <c r="AM489" s="585"/>
      <c r="AN489" s="820"/>
      <c r="AO489" s="821"/>
      <c r="AP489" s="585"/>
      <c r="AQ489" s="585"/>
      <c r="AR489" s="585"/>
      <c r="AS489" s="585"/>
      <c r="AT489" s="585"/>
      <c r="AU489" s="822"/>
      <c r="AV489" s="822"/>
      <c r="AW489" s="822"/>
      <c r="AX489" s="822"/>
      <c r="AY489" s="822"/>
      <c r="AZ489" s="822"/>
      <c r="BA489" s="822"/>
      <c r="BB489" s="631"/>
      <c r="BC489" s="631"/>
      <c r="BE489" s="585"/>
      <c r="BF489" s="585"/>
      <c r="BG489" s="585"/>
      <c r="BH489" s="585"/>
      <c r="BI489" s="585"/>
      <c r="BJ489" s="822"/>
      <c r="BK489" s="822"/>
      <c r="BL489" s="822"/>
      <c r="BM489" s="822"/>
      <c r="BN489" s="822"/>
      <c r="BO489" s="822"/>
      <c r="BP489" s="822"/>
      <c r="BQ489" s="631"/>
      <c r="BR489" s="585"/>
    </row>
    <row r="490" spans="1:81" s="605" customFormat="1" ht="12.75" hidden="1" customHeight="1">
      <c r="A490" s="714"/>
      <c r="B490" s="585"/>
      <c r="C490" s="2009" t="s">
        <v>600</v>
      </c>
      <c r="D490" s="2010"/>
      <c r="E490" s="797" t="s">
        <v>516</v>
      </c>
      <c r="F490" s="2011" t="s">
        <v>1694</v>
      </c>
      <c r="G490" s="2011"/>
      <c r="H490" s="2011"/>
      <c r="I490" s="2011"/>
      <c r="J490" s="2011"/>
      <c r="K490" s="2011"/>
      <c r="L490" s="2011"/>
      <c r="M490" s="2011"/>
      <c r="N490" s="2011"/>
      <c r="O490" s="2011"/>
      <c r="P490" s="2011"/>
      <c r="Q490" s="2011"/>
      <c r="R490" s="2011"/>
      <c r="S490" s="2011"/>
      <c r="T490" s="2011"/>
      <c r="U490" s="2011"/>
      <c r="V490" s="2011"/>
      <c r="W490" s="2011"/>
      <c r="X490" s="2011"/>
      <c r="Y490" s="2011"/>
      <c r="Z490" s="2011"/>
      <c r="AA490" s="2011"/>
      <c r="AB490" s="2011"/>
      <c r="AC490" s="2011"/>
      <c r="AD490" s="2011"/>
      <c r="AE490" s="2011"/>
      <c r="AF490" s="749"/>
      <c r="AG490" s="751"/>
      <c r="AH490" s="751"/>
      <c r="AI490" s="751"/>
      <c r="AJ490" s="751"/>
      <c r="AK490" s="780"/>
      <c r="AL490" s="585"/>
      <c r="AM490" s="585"/>
      <c r="AN490" s="569"/>
      <c r="AO490" s="30"/>
      <c r="AP490" s="585"/>
      <c r="AQ490" s="585"/>
      <c r="AR490" s="585"/>
      <c r="AS490" s="585"/>
      <c r="AT490" s="585"/>
      <c r="AU490" s="823"/>
      <c r="AV490" s="823"/>
      <c r="AW490" s="823"/>
      <c r="AX490" s="823"/>
      <c r="AY490" s="823"/>
      <c r="AZ490" s="823"/>
      <c r="BA490" s="823"/>
      <c r="BB490" s="585"/>
      <c r="BC490" s="585"/>
      <c r="BD490" s="571"/>
      <c r="BE490" s="585"/>
      <c r="BF490" s="585"/>
      <c r="BG490" s="585"/>
      <c r="BH490" s="585"/>
      <c r="BI490" s="585"/>
      <c r="BJ490" s="823"/>
      <c r="BK490" s="823"/>
      <c r="BL490" s="823"/>
      <c r="BM490" s="823"/>
      <c r="BN490" s="823"/>
      <c r="BO490" s="823"/>
      <c r="BP490" s="823"/>
      <c r="BQ490" s="585"/>
      <c r="BR490" s="585"/>
      <c r="BS490" s="571"/>
      <c r="BT490" s="571"/>
      <c r="BU490" s="571"/>
      <c r="BV490" s="571"/>
      <c r="BW490" s="571"/>
      <c r="BX490" s="571"/>
      <c r="BY490" s="571"/>
      <c r="BZ490" s="571"/>
      <c r="CA490" s="571"/>
      <c r="CB490" s="571"/>
      <c r="CC490" s="571"/>
    </row>
    <row r="491" spans="1:81" s="605" customFormat="1" ht="12.75" hidden="1" customHeight="1">
      <c r="A491" s="714"/>
      <c r="B491" s="585"/>
      <c r="C491" s="798"/>
      <c r="D491" s="585"/>
      <c r="E491" s="799"/>
      <c r="F491" s="2012"/>
      <c r="G491" s="2012"/>
      <c r="H491" s="2012"/>
      <c r="I491" s="2012"/>
      <c r="J491" s="2012"/>
      <c r="K491" s="2012"/>
      <c r="L491" s="2012"/>
      <c r="M491" s="2012"/>
      <c r="N491" s="2012"/>
      <c r="O491" s="2012"/>
      <c r="P491" s="2012"/>
      <c r="Q491" s="2012"/>
      <c r="R491" s="2012"/>
      <c r="S491" s="2012"/>
      <c r="T491" s="2012"/>
      <c r="U491" s="2012"/>
      <c r="V491" s="2012"/>
      <c r="W491" s="2012"/>
      <c r="X491" s="2012"/>
      <c r="Y491" s="2012"/>
      <c r="Z491" s="2012"/>
      <c r="AA491" s="2012"/>
      <c r="AB491" s="2012"/>
      <c r="AC491" s="2012"/>
      <c r="AD491" s="2012"/>
      <c r="AE491" s="2012"/>
      <c r="AF491" s="585"/>
      <c r="AG491" s="586"/>
      <c r="AH491" s="586"/>
      <c r="AI491" s="586"/>
      <c r="AJ491" s="586"/>
      <c r="AK491" s="767"/>
      <c r="AL491" s="585"/>
      <c r="AM491" s="585"/>
      <c r="AN491" s="569"/>
      <c r="AO491" s="30"/>
      <c r="AP491" s="824"/>
      <c r="AQ491" s="824"/>
      <c r="AR491" s="824"/>
      <c r="AS491" s="714"/>
      <c r="AT491" s="585"/>
      <c r="AU491" s="825"/>
      <c r="AV491" s="825"/>
      <c r="AW491" s="825"/>
      <c r="AX491" s="825"/>
      <c r="AY491" s="825"/>
      <c r="AZ491" s="825"/>
      <c r="BA491" s="825"/>
      <c r="BB491" s="14"/>
      <c r="BC491" s="14"/>
      <c r="BD491" s="571"/>
      <c r="BE491" s="824"/>
      <c r="BF491" s="824"/>
      <c r="BG491" s="824"/>
      <c r="BH491" s="714"/>
      <c r="BI491" s="585"/>
      <c r="BJ491" s="826"/>
      <c r="BK491" s="825"/>
      <c r="BL491" s="825"/>
      <c r="BM491" s="825"/>
      <c r="BN491" s="825"/>
      <c r="BO491" s="825"/>
      <c r="BP491" s="825"/>
      <c r="BQ491" s="14"/>
      <c r="BR491" s="585"/>
      <c r="BS491" s="571"/>
      <c r="BT491" s="571"/>
      <c r="BU491" s="571"/>
      <c r="BV491" s="571"/>
      <c r="BW491" s="571"/>
      <c r="BX491" s="571"/>
      <c r="BY491" s="571"/>
      <c r="BZ491" s="571"/>
      <c r="CA491" s="571"/>
      <c r="CB491" s="571"/>
      <c r="CC491" s="571"/>
    </row>
    <row r="492" spans="1:81" s="605" customFormat="1" ht="12.75" hidden="1" customHeight="1">
      <c r="A492" s="714"/>
      <c r="B492" s="585"/>
      <c r="C492" s="800"/>
      <c r="D492" s="762"/>
      <c r="E492" s="801"/>
      <c r="F492" s="2016" t="s">
        <v>600</v>
      </c>
      <c r="G492" s="2016"/>
      <c r="H492" s="2016"/>
      <c r="I492" s="2016"/>
      <c r="J492" s="2016"/>
      <c r="K492" s="2016"/>
      <c r="L492" s="2016"/>
      <c r="M492" s="2016"/>
      <c r="N492" s="2016"/>
      <c r="O492" s="2016"/>
      <c r="P492" s="2016"/>
      <c r="Q492" s="2016"/>
      <c r="R492" s="2016"/>
      <c r="S492" s="2016"/>
      <c r="T492" s="2016"/>
      <c r="U492" s="2016"/>
      <c r="V492" s="2016"/>
      <c r="W492" s="2016"/>
      <c r="X492" s="2016"/>
      <c r="Y492" s="2016"/>
      <c r="Z492" s="2016"/>
      <c r="AA492" s="802"/>
      <c r="AB492" s="693"/>
      <c r="AC492" s="693"/>
      <c r="AD492" s="762"/>
      <c r="AE492" s="762"/>
      <c r="AF492" s="762"/>
      <c r="AG492" s="803">
        <f>IF($C$490="Yes",(VLOOKUP($F$492,$AO$460:$AP$468,2,FALSE)),0)</f>
        <v>0</v>
      </c>
      <c r="AH492" s="804" t="s">
        <v>1500</v>
      </c>
      <c r="AI492" s="803"/>
      <c r="AJ492" s="693"/>
      <c r="AK492" s="777"/>
      <c r="AL492" s="585"/>
      <c r="AM492" s="585"/>
      <c r="AN492" s="569"/>
      <c r="AO492" s="30"/>
      <c r="AP492" s="824"/>
      <c r="AQ492" s="824"/>
      <c r="AR492" s="824"/>
      <c r="AS492" s="714"/>
      <c r="AT492" s="585"/>
      <c r="AU492" s="825"/>
      <c r="AV492" s="825"/>
      <c r="AW492" s="825"/>
      <c r="AX492" s="825"/>
      <c r="AY492" s="825"/>
      <c r="AZ492" s="825"/>
      <c r="BA492" s="825"/>
      <c r="BB492" s="14"/>
      <c r="BC492" s="14"/>
      <c r="BD492" s="571"/>
      <c r="BE492" s="824"/>
      <c r="BF492" s="824"/>
      <c r="BG492" s="824"/>
      <c r="BH492" s="714"/>
      <c r="BI492" s="585"/>
      <c r="BJ492" s="826"/>
      <c r="BK492" s="825"/>
      <c r="BL492" s="825"/>
      <c r="BM492" s="825"/>
      <c r="BN492" s="825"/>
      <c r="BO492" s="825"/>
      <c r="BP492" s="825"/>
      <c r="BQ492" s="14"/>
      <c r="BR492" s="585"/>
      <c r="BS492" s="571"/>
      <c r="BT492" s="571"/>
      <c r="BU492" s="571"/>
      <c r="BV492" s="571"/>
      <c r="BW492" s="571"/>
      <c r="BX492" s="571"/>
      <c r="BY492" s="571"/>
      <c r="BZ492" s="571"/>
      <c r="CA492" s="571"/>
      <c r="CB492" s="571"/>
      <c r="CC492" s="571"/>
    </row>
    <row r="493" spans="1:81" s="605" customFormat="1" ht="12.75" hidden="1" customHeight="1">
      <c r="A493" s="714"/>
      <c r="B493" s="585"/>
      <c r="C493" s="747"/>
      <c r="D493" s="585"/>
      <c r="E493" s="799"/>
      <c r="F493" s="586"/>
      <c r="G493" s="586"/>
      <c r="H493" s="586"/>
      <c r="I493" s="586"/>
      <c r="J493" s="586"/>
      <c r="K493" s="586"/>
      <c r="L493" s="586"/>
      <c r="M493" s="586"/>
      <c r="N493" s="586"/>
      <c r="O493" s="586"/>
      <c r="P493" s="586"/>
      <c r="Q493" s="586"/>
      <c r="R493" s="586"/>
      <c r="S493" s="586"/>
      <c r="T493" s="586"/>
      <c r="U493" s="586"/>
      <c r="V493" s="586"/>
      <c r="W493" s="586"/>
      <c r="X493" s="586"/>
      <c r="Y493" s="586"/>
      <c r="Z493" s="586"/>
      <c r="AA493" s="586"/>
      <c r="AB493" s="586"/>
      <c r="AC493" s="586"/>
      <c r="AD493" s="585"/>
      <c r="AE493" s="585"/>
      <c r="AF493" s="585"/>
      <c r="AG493" s="586"/>
      <c r="AH493" s="586"/>
      <c r="AI493" s="586"/>
      <c r="AJ493" s="586"/>
      <c r="AK493" s="585"/>
      <c r="AL493" s="585"/>
      <c r="AM493" s="585"/>
      <c r="AN493" s="569"/>
      <c r="AO493" s="30"/>
      <c r="AP493" s="824"/>
      <c r="AQ493" s="824"/>
      <c r="AR493" s="824"/>
      <c r="AS493" s="714"/>
      <c r="AT493" s="585"/>
      <c r="AU493" s="825"/>
      <c r="AV493" s="825"/>
      <c r="AW493" s="825"/>
      <c r="AX493" s="825"/>
      <c r="AY493" s="825"/>
      <c r="AZ493" s="825"/>
      <c r="BA493" s="825"/>
      <c r="BB493" s="14"/>
      <c r="BC493" s="14"/>
      <c r="BD493" s="571"/>
      <c r="BE493" s="824"/>
      <c r="BF493" s="824"/>
      <c r="BG493" s="824"/>
      <c r="BH493" s="714"/>
      <c r="BI493" s="585"/>
      <c r="BJ493" s="826"/>
      <c r="BK493" s="825"/>
      <c r="BL493" s="825"/>
      <c r="BM493" s="825"/>
      <c r="BN493" s="825"/>
      <c r="BO493" s="825"/>
      <c r="BP493" s="825"/>
      <c r="BQ493" s="14"/>
      <c r="BR493" s="585"/>
      <c r="BS493" s="571"/>
      <c r="BT493" s="571"/>
      <c r="BU493" s="571"/>
      <c r="BV493" s="571"/>
      <c r="BW493" s="571"/>
      <c r="BX493" s="571"/>
      <c r="BY493" s="571"/>
      <c r="BZ493" s="571"/>
      <c r="CA493" s="571"/>
      <c r="CB493" s="571"/>
      <c r="CC493" s="571"/>
    </row>
    <row r="494" spans="1:81" s="605" customFormat="1" ht="12.75" hidden="1" customHeight="1">
      <c r="A494" s="585"/>
      <c r="B494" s="585"/>
      <c r="C494" s="2009" t="s">
        <v>600</v>
      </c>
      <c r="D494" s="2010"/>
      <c r="E494" s="797" t="s">
        <v>769</v>
      </c>
      <c r="F494" s="2017" t="s">
        <v>1716</v>
      </c>
      <c r="G494" s="2017"/>
      <c r="H494" s="2017"/>
      <c r="I494" s="2017"/>
      <c r="J494" s="2017"/>
      <c r="K494" s="2017"/>
      <c r="L494" s="2017"/>
      <c r="M494" s="2017"/>
      <c r="N494" s="2017"/>
      <c r="O494" s="2017"/>
      <c r="P494" s="2017"/>
      <c r="Q494" s="2017"/>
      <c r="R494" s="2017"/>
      <c r="S494" s="2017"/>
      <c r="T494" s="2017"/>
      <c r="U494" s="2017"/>
      <c r="V494" s="2017"/>
      <c r="W494" s="2017"/>
      <c r="X494" s="2017"/>
      <c r="Y494" s="2017"/>
      <c r="Z494" s="2017"/>
      <c r="AA494" s="2017"/>
      <c r="AB494" s="2017"/>
      <c r="AC494" s="2017"/>
      <c r="AD494" s="2017"/>
      <c r="AE494" s="2017"/>
      <c r="AF494" s="749"/>
      <c r="AG494" s="684"/>
      <c r="AH494" s="684"/>
      <c r="AI494" s="684"/>
      <c r="AJ494" s="684"/>
      <c r="AK494" s="780"/>
      <c r="AL494" s="585"/>
      <c r="AM494" s="585"/>
      <c r="AN494" s="569"/>
      <c r="AO494" s="30"/>
      <c r="AP494" s="824"/>
      <c r="AQ494" s="824"/>
      <c r="AR494" s="824"/>
      <c r="AS494" s="714"/>
      <c r="AT494" s="585"/>
      <c r="AU494" s="825"/>
      <c r="AV494" s="825"/>
      <c r="AW494" s="825"/>
      <c r="AX494" s="825"/>
      <c r="AY494" s="825"/>
      <c r="AZ494" s="825"/>
      <c r="BA494" s="825"/>
      <c r="BB494" s="14"/>
      <c r="BC494" s="14"/>
      <c r="BD494" s="571"/>
      <c r="BE494" s="824"/>
      <c r="BF494" s="824"/>
      <c r="BG494" s="824"/>
      <c r="BH494" s="714"/>
      <c r="BI494" s="585"/>
      <c r="BJ494" s="826"/>
      <c r="BK494" s="825"/>
      <c r="BL494" s="825"/>
      <c r="BM494" s="825"/>
      <c r="BN494" s="825"/>
      <c r="BO494" s="825"/>
      <c r="BP494" s="825"/>
      <c r="BQ494" s="14"/>
      <c r="BR494" s="585"/>
      <c r="BS494" s="571"/>
      <c r="BT494" s="571"/>
      <c r="BU494" s="571"/>
      <c r="BV494" s="571"/>
      <c r="BW494" s="571"/>
      <c r="BX494" s="571"/>
      <c r="BY494" s="571"/>
      <c r="BZ494" s="571"/>
      <c r="CA494" s="571"/>
      <c r="CB494" s="571"/>
      <c r="CC494" s="571"/>
    </row>
    <row r="495" spans="1:81" s="605" customFormat="1" ht="12.75" hidden="1" customHeight="1">
      <c r="A495" s="585"/>
      <c r="B495" s="585"/>
      <c r="C495" s="798"/>
      <c r="D495" s="585"/>
      <c r="E495" s="799"/>
      <c r="F495" s="2018"/>
      <c r="G495" s="2018"/>
      <c r="H495" s="2018"/>
      <c r="I495" s="2018"/>
      <c r="J495" s="2018"/>
      <c r="K495" s="2018"/>
      <c r="L495" s="2018"/>
      <c r="M495" s="2018"/>
      <c r="N495" s="2018"/>
      <c r="O495" s="2018"/>
      <c r="P495" s="2018"/>
      <c r="Q495" s="2018"/>
      <c r="R495" s="2018"/>
      <c r="S495" s="2018"/>
      <c r="T495" s="2018"/>
      <c r="U495" s="2018"/>
      <c r="V495" s="2018"/>
      <c r="W495" s="2018"/>
      <c r="X495" s="2018"/>
      <c r="Y495" s="2018"/>
      <c r="Z495" s="2018"/>
      <c r="AA495" s="2018"/>
      <c r="AB495" s="2018"/>
      <c r="AC495" s="2018"/>
      <c r="AD495" s="2018"/>
      <c r="AE495" s="2018"/>
      <c r="AF495" s="585"/>
      <c r="AG495" s="586"/>
      <c r="AH495" s="586"/>
      <c r="AI495" s="586"/>
      <c r="AJ495" s="586"/>
      <c r="AK495" s="767"/>
      <c r="AL495" s="585"/>
      <c r="AM495" s="585"/>
      <c r="AN495" s="569"/>
      <c r="AO495" s="30"/>
      <c r="AP495" s="824"/>
      <c r="AQ495" s="824"/>
      <c r="AR495" s="824"/>
      <c r="AS495" s="714"/>
      <c r="AT495" s="585"/>
      <c r="AU495" s="825"/>
      <c r="AV495" s="825"/>
      <c r="AW495" s="825"/>
      <c r="AX495" s="825"/>
      <c r="AY495" s="825"/>
      <c r="AZ495" s="825"/>
      <c r="BA495" s="825"/>
      <c r="BB495" s="14"/>
      <c r="BC495" s="14"/>
      <c r="BD495" s="571"/>
      <c r="BE495" s="824"/>
      <c r="BF495" s="824"/>
      <c r="BG495" s="824"/>
      <c r="BH495" s="714"/>
      <c r="BI495" s="585"/>
      <c r="BJ495" s="826"/>
      <c r="BK495" s="825"/>
      <c r="BL495" s="825"/>
      <c r="BM495" s="825"/>
      <c r="BN495" s="825"/>
      <c r="BO495" s="825"/>
      <c r="BP495" s="825"/>
      <c r="BQ495" s="14"/>
      <c r="BR495" s="585"/>
      <c r="BS495" s="571"/>
      <c r="BT495" s="571"/>
      <c r="BU495" s="571"/>
      <c r="BV495" s="571"/>
      <c r="BW495" s="571"/>
      <c r="BX495" s="571"/>
      <c r="BY495" s="571"/>
      <c r="BZ495" s="571"/>
      <c r="CA495" s="571"/>
      <c r="CB495" s="571"/>
      <c r="CC495" s="571"/>
    </row>
    <row r="496" spans="1:81" s="605" customFormat="1" ht="12.75" hidden="1" customHeight="1">
      <c r="A496" s="585"/>
      <c r="B496" s="585"/>
      <c r="C496" s="774"/>
      <c r="D496" s="585"/>
      <c r="E496" s="585"/>
      <c r="F496" s="818" t="s">
        <v>1717</v>
      </c>
      <c r="G496" s="586"/>
      <c r="H496" s="586"/>
      <c r="I496" s="586"/>
      <c r="J496" s="586"/>
      <c r="K496" s="586"/>
      <c r="L496" s="586"/>
      <c r="M496" s="586"/>
      <c r="N496" s="586"/>
      <c r="O496" s="586"/>
      <c r="P496" s="586"/>
      <c r="Q496" s="586"/>
      <c r="R496" s="586"/>
      <c r="S496" s="586"/>
      <c r="T496" s="586"/>
      <c r="U496" s="586"/>
      <c r="V496" s="586"/>
      <c r="W496" s="586"/>
      <c r="X496" s="586"/>
      <c r="Y496" s="586"/>
      <c r="Z496" s="586"/>
      <c r="AA496" s="586"/>
      <c r="AB496" s="586"/>
      <c r="AC496" s="626"/>
      <c r="AD496" s="585"/>
      <c r="AE496" s="585"/>
      <c r="AF496" s="585"/>
      <c r="AG496" s="648"/>
      <c r="AH496" s="648"/>
      <c r="AI496" s="648"/>
      <c r="AJ496" s="648"/>
      <c r="AK496" s="767"/>
      <c r="AL496" s="585"/>
      <c r="AM496" s="585"/>
      <c r="AN496" s="569"/>
      <c r="AO496" s="571"/>
      <c r="AP496" s="824"/>
      <c r="AQ496" s="824"/>
      <c r="AR496" s="824"/>
      <c r="AS496" s="714"/>
      <c r="AT496" s="585"/>
      <c r="AU496" s="825"/>
      <c r="AV496" s="825"/>
      <c r="AW496" s="825"/>
      <c r="AX496" s="825"/>
      <c r="AY496" s="825"/>
      <c r="AZ496" s="825"/>
      <c r="BA496" s="825"/>
      <c r="BB496" s="571"/>
      <c r="BC496" s="571"/>
      <c r="BD496" s="571"/>
      <c r="BE496" s="824"/>
      <c r="BF496" s="824"/>
      <c r="BG496" s="824"/>
      <c r="BH496" s="714"/>
      <c r="BI496" s="585"/>
      <c r="BJ496" s="826"/>
      <c r="BK496" s="825"/>
      <c r="BL496" s="825"/>
      <c r="BM496" s="825"/>
      <c r="BN496" s="825"/>
      <c r="BO496" s="825"/>
      <c r="BP496" s="825"/>
      <c r="BQ496" s="571"/>
      <c r="BR496" s="585"/>
      <c r="BS496" s="571"/>
      <c r="BT496" s="571"/>
      <c r="BU496" s="571"/>
      <c r="BV496" s="571"/>
      <c r="BW496" s="571"/>
      <c r="BX496" s="571"/>
      <c r="BY496" s="571"/>
      <c r="BZ496" s="571"/>
      <c r="CA496" s="571"/>
      <c r="CB496" s="571"/>
      <c r="CC496" s="571"/>
    </row>
    <row r="497" spans="1:81" s="605" customFormat="1" ht="13.5" hidden="1" thickTop="1">
      <c r="A497" s="585"/>
      <c r="B497" s="585"/>
      <c r="C497" s="800"/>
      <c r="D497" s="762"/>
      <c r="E497" s="801"/>
      <c r="F497" s="2019" t="s">
        <v>600</v>
      </c>
      <c r="G497" s="2019"/>
      <c r="H497" s="2019"/>
      <c r="I497" s="693"/>
      <c r="J497" s="693"/>
      <c r="K497" s="693"/>
      <c r="L497" s="693"/>
      <c r="M497" s="693"/>
      <c r="N497" s="693"/>
      <c r="O497" s="693"/>
      <c r="P497" s="693"/>
      <c r="Q497" s="693"/>
      <c r="R497" s="693"/>
      <c r="S497" s="693"/>
      <c r="T497" s="693"/>
      <c r="U497" s="693"/>
      <c r="V497" s="693"/>
      <c r="W497" s="693"/>
      <c r="X497" s="693"/>
      <c r="Y497" s="693"/>
      <c r="Z497" s="693"/>
      <c r="AA497" s="693"/>
      <c r="AB497" s="693"/>
      <c r="AC497" s="693"/>
      <c r="AD497" s="762"/>
      <c r="AE497" s="762"/>
      <c r="AF497" s="762"/>
      <c r="AG497" s="803">
        <f>IF($C$494="Yes",(VLOOKUP($F$497,$AO$470:$AP$472,2,FALSE)),0)</f>
        <v>0</v>
      </c>
      <c r="AH497" s="804" t="s">
        <v>1500</v>
      </c>
      <c r="AI497" s="693"/>
      <c r="AJ497" s="693"/>
      <c r="AK497" s="777"/>
      <c r="AL497" s="585"/>
      <c r="AM497" s="585"/>
      <c r="AN497" s="569"/>
      <c r="AO497" s="571"/>
      <c r="AP497" s="824"/>
      <c r="AQ497" s="824"/>
      <c r="AR497" s="824"/>
      <c r="AS497" s="823"/>
      <c r="AT497" s="585"/>
      <c r="AU497" s="825"/>
      <c r="AV497" s="825"/>
      <c r="AW497" s="825"/>
      <c r="AX497" s="825"/>
      <c r="AY497" s="825"/>
      <c r="AZ497" s="825"/>
      <c r="BA497" s="825"/>
      <c r="BB497" s="571"/>
      <c r="BC497" s="571"/>
      <c r="BD497" s="571"/>
      <c r="BE497" s="824"/>
      <c r="BF497" s="824"/>
      <c r="BG497" s="824"/>
      <c r="BH497" s="823"/>
      <c r="BI497" s="585"/>
      <c r="BJ497" s="826"/>
      <c r="BK497" s="825"/>
      <c r="BL497" s="825"/>
      <c r="BM497" s="825"/>
      <c r="BN497" s="825"/>
      <c r="BO497" s="825"/>
      <c r="BP497" s="825"/>
      <c r="BQ497" s="571"/>
      <c r="BR497" s="585"/>
      <c r="BS497" s="571"/>
      <c r="BT497" s="571"/>
      <c r="BU497" s="571"/>
      <c r="BV497" s="571"/>
      <c r="BW497" s="571"/>
      <c r="BX497" s="571"/>
      <c r="BY497" s="571"/>
      <c r="BZ497" s="571"/>
      <c r="CA497" s="571"/>
      <c r="CB497" s="571"/>
      <c r="CC497" s="571"/>
    </row>
    <row r="498" spans="1:81" s="605" customFormat="1" ht="13.5" hidden="1" thickTop="1">
      <c r="A498" s="586"/>
      <c r="B498" s="586"/>
      <c r="C498" s="586"/>
      <c r="D498" s="586"/>
      <c r="E498" s="586"/>
      <c r="F498" s="586"/>
      <c r="G498" s="586"/>
      <c r="H498" s="586"/>
      <c r="I498" s="586"/>
      <c r="J498" s="586"/>
      <c r="K498" s="586"/>
      <c r="L498" s="586"/>
      <c r="M498" s="586"/>
      <c r="N498" s="586"/>
      <c r="O498" s="586"/>
      <c r="P498" s="586"/>
      <c r="Q498" s="586"/>
      <c r="R498" s="586"/>
      <c r="S498" s="586"/>
      <c r="T498" s="586"/>
      <c r="U498" s="586"/>
      <c r="V498" s="586"/>
      <c r="W498" s="586"/>
      <c r="X498" s="586"/>
      <c r="Y498" s="586"/>
      <c r="Z498" s="586"/>
      <c r="AA498" s="586"/>
      <c r="AB498" s="586"/>
      <c r="AC498" s="586"/>
      <c r="AD498" s="586"/>
      <c r="AE498" s="585"/>
      <c r="AF498" s="585"/>
      <c r="AG498" s="648"/>
      <c r="AH498" s="675"/>
      <c r="AI498" s="586"/>
      <c r="AJ498" s="586"/>
      <c r="AK498" s="585"/>
      <c r="AL498" s="585"/>
      <c r="AM498" s="585"/>
      <c r="AN498" s="569"/>
      <c r="AO498" s="571"/>
      <c r="AP498" s="824"/>
      <c r="AQ498" s="824"/>
      <c r="AR498" s="824"/>
      <c r="AS498" s="823"/>
      <c r="AT498" s="585"/>
      <c r="AU498" s="825"/>
      <c r="AV498" s="825"/>
      <c r="AW498" s="825"/>
      <c r="AX498" s="825"/>
      <c r="AY498" s="825"/>
      <c r="AZ498" s="825"/>
      <c r="BA498" s="825"/>
      <c r="BB498" s="571"/>
      <c r="BC498" s="571"/>
      <c r="BD498" s="571"/>
      <c r="BE498" s="824"/>
      <c r="BF498" s="824"/>
      <c r="BG498" s="824"/>
      <c r="BH498" s="823"/>
      <c r="BI498" s="585"/>
      <c r="BJ498" s="826"/>
      <c r="BK498" s="825"/>
      <c r="BL498" s="825"/>
      <c r="BM498" s="825"/>
      <c r="BN498" s="825"/>
      <c r="BO498" s="825"/>
      <c r="BP498" s="825"/>
      <c r="BQ498" s="571"/>
      <c r="BR498" s="585"/>
      <c r="BS498" s="571"/>
      <c r="BT498" s="571"/>
      <c r="BU498" s="571"/>
      <c r="BV498" s="571"/>
      <c r="BW498" s="571"/>
      <c r="BX498" s="571"/>
      <c r="BY498" s="571"/>
      <c r="BZ498" s="571"/>
      <c r="CA498" s="571"/>
      <c r="CB498" s="571"/>
      <c r="CC498" s="571"/>
    </row>
    <row r="499" spans="1:81" s="605" customFormat="1" ht="13.5" hidden="1" thickTop="1">
      <c r="A499" s="585"/>
      <c r="B499" s="585"/>
      <c r="C499" s="2009" t="s">
        <v>600</v>
      </c>
      <c r="D499" s="2010"/>
      <c r="E499" s="797" t="s">
        <v>1718</v>
      </c>
      <c r="F499" s="816" t="s">
        <v>1719</v>
      </c>
      <c r="G499" s="684"/>
      <c r="H499" s="684"/>
      <c r="I499" s="684"/>
      <c r="J499" s="684"/>
      <c r="K499" s="684"/>
      <c r="L499" s="684"/>
      <c r="M499" s="684"/>
      <c r="N499" s="684"/>
      <c r="O499" s="684"/>
      <c r="P499" s="684"/>
      <c r="Q499" s="684"/>
      <c r="R499" s="684"/>
      <c r="S499" s="684"/>
      <c r="T499" s="684"/>
      <c r="U499" s="684"/>
      <c r="V499" s="684"/>
      <c r="W499" s="684"/>
      <c r="X499" s="684"/>
      <c r="Y499" s="684"/>
      <c r="Z499" s="684"/>
      <c r="AA499" s="684"/>
      <c r="AB499" s="684"/>
      <c r="AC499" s="827"/>
      <c r="AD499" s="749"/>
      <c r="AE499" s="749"/>
      <c r="AF499" s="749"/>
      <c r="AG499" s="828"/>
      <c r="AH499" s="828"/>
      <c r="AI499" s="828"/>
      <c r="AJ499" s="828"/>
      <c r="AK499" s="780"/>
      <c r="AL499" s="585"/>
      <c r="AM499" s="585"/>
      <c r="AN499" s="569"/>
      <c r="AO499" s="571"/>
      <c r="AP499" s="824"/>
      <c r="AQ499" s="824"/>
      <c r="AR499" s="824"/>
      <c r="AS499" s="823"/>
      <c r="AT499" s="585"/>
      <c r="AU499" s="825"/>
      <c r="AV499" s="825"/>
      <c r="AW499" s="825"/>
      <c r="AX499" s="825"/>
      <c r="AY499" s="825"/>
      <c r="AZ499" s="825"/>
      <c r="BA499" s="825"/>
      <c r="BB499" s="571"/>
      <c r="BC499" s="571"/>
      <c r="BD499" s="571"/>
      <c r="BE499" s="824"/>
      <c r="BF499" s="824"/>
      <c r="BG499" s="824"/>
      <c r="BH499" s="823"/>
      <c r="BI499" s="585"/>
      <c r="BJ499" s="826"/>
      <c r="BK499" s="825"/>
      <c r="BL499" s="825"/>
      <c r="BM499" s="825"/>
      <c r="BN499" s="825"/>
      <c r="BO499" s="825"/>
      <c r="BP499" s="825"/>
      <c r="BQ499" s="571"/>
      <c r="BR499" s="585"/>
      <c r="BS499" s="571"/>
      <c r="BT499" s="571"/>
      <c r="BU499" s="571"/>
      <c r="BV499" s="571"/>
      <c r="BW499" s="571"/>
      <c r="BX499" s="571"/>
      <c r="BY499" s="571"/>
      <c r="BZ499" s="571"/>
      <c r="CA499" s="571"/>
      <c r="CB499" s="571"/>
      <c r="CC499" s="571"/>
    </row>
    <row r="500" spans="1:81" s="605" customFormat="1" ht="13.5" hidden="1" thickTop="1">
      <c r="A500" s="585"/>
      <c r="B500" s="585"/>
      <c r="C500" s="798"/>
      <c r="D500" s="585"/>
      <c r="E500" s="799"/>
      <c r="F500" s="586"/>
      <c r="G500" s="586"/>
      <c r="H500" s="586"/>
      <c r="I500" s="586"/>
      <c r="J500" s="586"/>
      <c r="K500" s="586"/>
      <c r="L500" s="586"/>
      <c r="M500" s="586"/>
      <c r="N500" s="586"/>
      <c r="O500" s="586"/>
      <c r="P500" s="586"/>
      <c r="Q500" s="586"/>
      <c r="R500" s="586"/>
      <c r="S500" s="586"/>
      <c r="T500" s="586"/>
      <c r="U500" s="586"/>
      <c r="V500" s="586"/>
      <c r="W500" s="586"/>
      <c r="X500" s="586"/>
      <c r="Y500" s="586"/>
      <c r="Z500" s="586"/>
      <c r="AA500" s="586"/>
      <c r="AB500" s="586"/>
      <c r="AC500" s="586"/>
      <c r="AD500" s="585"/>
      <c r="AE500" s="585"/>
      <c r="AF500" s="585"/>
      <c r="AG500" s="586"/>
      <c r="AH500" s="586"/>
      <c r="AI500" s="586"/>
      <c r="AJ500" s="586"/>
      <c r="AK500" s="767"/>
      <c r="AL500" s="585"/>
      <c r="AM500" s="585"/>
      <c r="AN500" s="569"/>
      <c r="AO500" s="571"/>
      <c r="AP500" s="824"/>
      <c r="AQ500" s="824"/>
      <c r="AR500" s="824"/>
      <c r="AS500" s="823"/>
      <c r="AT500" s="585"/>
      <c r="AU500" s="825"/>
      <c r="AV500" s="825"/>
      <c r="AW500" s="825"/>
      <c r="AX500" s="825"/>
      <c r="AY500" s="825"/>
      <c r="AZ500" s="825"/>
      <c r="BA500" s="825"/>
      <c r="BB500" s="571"/>
      <c r="BC500" s="571"/>
      <c r="BD500" s="571"/>
      <c r="BE500" s="824"/>
      <c r="BF500" s="824"/>
      <c r="BG500" s="824"/>
      <c r="BH500" s="823"/>
      <c r="BI500" s="585"/>
      <c r="BJ500" s="826"/>
      <c r="BK500" s="825"/>
      <c r="BL500" s="825"/>
      <c r="BM500" s="825"/>
      <c r="BN500" s="825"/>
      <c r="BO500" s="825"/>
      <c r="BP500" s="825"/>
      <c r="BQ500" s="571"/>
      <c r="BR500" s="14"/>
      <c r="BS500" s="571"/>
      <c r="BT500" s="571"/>
      <c r="BU500" s="571"/>
      <c r="BV500" s="571"/>
      <c r="BW500" s="571"/>
      <c r="BX500" s="571"/>
      <c r="BY500" s="571"/>
      <c r="BZ500" s="571"/>
      <c r="CA500" s="571"/>
      <c r="CB500" s="571"/>
      <c r="CC500" s="571"/>
    </row>
    <row r="501" spans="1:81" s="605" customFormat="1" ht="13.5" hidden="1" thickTop="1">
      <c r="A501" s="585"/>
      <c r="B501" s="585"/>
      <c r="C501" s="2032"/>
      <c r="D501" s="2020"/>
      <c r="E501" s="808"/>
      <c r="F501" s="586" t="s">
        <v>1720</v>
      </c>
      <c r="G501" s="586"/>
      <c r="H501" s="586"/>
      <c r="I501" s="586"/>
      <c r="J501" s="586"/>
      <c r="K501" s="586"/>
      <c r="L501" s="586"/>
      <c r="M501" s="586"/>
      <c r="N501" s="586"/>
      <c r="O501" s="586"/>
      <c r="P501" s="586"/>
      <c r="Q501" s="586"/>
      <c r="R501" s="586"/>
      <c r="S501" s="586"/>
      <c r="T501" s="586"/>
      <c r="U501" s="586"/>
      <c r="V501" s="586"/>
      <c r="W501" s="586"/>
      <c r="X501" s="586"/>
      <c r="Y501" s="586"/>
      <c r="Z501" s="586"/>
      <c r="AA501" s="586"/>
      <c r="AB501" s="586"/>
      <c r="AC501" s="626"/>
      <c r="AD501" s="585"/>
      <c r="AE501" s="585"/>
      <c r="AF501" s="585"/>
      <c r="AG501" s="648">
        <f>IF($C$499="Yes",(VLOOKUP($G$502,$AO$477:$AP$480,2,FALSE)),0)</f>
        <v>0</v>
      </c>
      <c r="AH501" s="675" t="s">
        <v>1500</v>
      </c>
      <c r="AI501" s="586"/>
      <c r="AJ501" s="648"/>
      <c r="AK501" s="767"/>
      <c r="AL501" s="585"/>
      <c r="AM501" s="585"/>
      <c r="AN501" s="569"/>
      <c r="AO501" s="571"/>
      <c r="AP501" s="824"/>
      <c r="AQ501" s="824"/>
      <c r="AR501" s="824"/>
      <c r="AS501" s="823"/>
      <c r="AT501" s="585"/>
      <c r="AU501" s="825"/>
      <c r="AV501" s="825"/>
      <c r="AW501" s="825"/>
      <c r="AX501" s="825"/>
      <c r="AY501" s="825"/>
      <c r="AZ501" s="825"/>
      <c r="BA501" s="825"/>
      <c r="BB501" s="571"/>
      <c r="BC501" s="571"/>
      <c r="BD501" s="571"/>
      <c r="BE501" s="824"/>
      <c r="BF501" s="824"/>
      <c r="BG501" s="824"/>
      <c r="BH501" s="823"/>
      <c r="BI501" s="585"/>
      <c r="BJ501" s="826"/>
      <c r="BK501" s="825"/>
      <c r="BL501" s="825"/>
      <c r="BM501" s="825"/>
      <c r="BN501" s="825"/>
      <c r="BO501" s="825"/>
      <c r="BP501" s="825"/>
      <c r="BQ501" s="571"/>
      <c r="BR501" s="585"/>
      <c r="BS501" s="571"/>
      <c r="BT501" s="571"/>
      <c r="BU501" s="571"/>
      <c r="BV501" s="571"/>
      <c r="BW501" s="571"/>
      <c r="BX501" s="571"/>
      <c r="BY501" s="571"/>
      <c r="BZ501" s="571"/>
      <c r="CA501" s="571"/>
      <c r="CB501" s="571"/>
      <c r="CC501" s="571"/>
    </row>
    <row r="502" spans="1:81" s="605" customFormat="1" ht="13.5" hidden="1" thickTop="1">
      <c r="A502" s="585"/>
      <c r="B502" s="585"/>
      <c r="C502" s="798"/>
      <c r="D502" s="585"/>
      <c r="E502" s="799"/>
      <c r="F502" s="586"/>
      <c r="G502" s="2033" t="s">
        <v>600</v>
      </c>
      <c r="H502" s="2033"/>
      <c r="I502" s="2033"/>
      <c r="J502" s="2033"/>
      <c r="K502" s="2033"/>
      <c r="L502" s="2033"/>
      <c r="M502" s="2033"/>
      <c r="N502" s="2033"/>
      <c r="O502" s="2033"/>
      <c r="P502" s="2033"/>
      <c r="Q502" s="2033"/>
      <c r="R502" s="2033"/>
      <c r="S502" s="2033"/>
      <c r="T502" s="2033"/>
      <c r="U502" s="2033"/>
      <c r="V502" s="2033"/>
      <c r="W502" s="2033"/>
      <c r="X502" s="2033"/>
      <c r="Y502" s="2033"/>
      <c r="Z502" s="2033"/>
      <c r="AA502" s="2033"/>
      <c r="AB502" s="2033"/>
      <c r="AC502" s="2033"/>
      <c r="AD502" s="2033"/>
      <c r="AE502" s="2033"/>
      <c r="AF502" s="2033"/>
      <c r="AG502" s="585"/>
      <c r="AH502" s="585"/>
      <c r="AI502" s="585"/>
      <c r="AJ502" s="586"/>
      <c r="AK502" s="767"/>
      <c r="AL502" s="585"/>
      <c r="AM502" s="585"/>
      <c r="AN502" s="569"/>
      <c r="AO502" s="571"/>
      <c r="AP502" s="824"/>
      <c r="AQ502" s="824"/>
      <c r="AR502" s="824"/>
      <c r="AS502" s="823"/>
      <c r="AT502" s="585"/>
      <c r="AU502" s="825"/>
      <c r="AV502" s="825"/>
      <c r="AW502" s="825"/>
      <c r="AX502" s="825"/>
      <c r="AY502" s="825"/>
      <c r="AZ502" s="825"/>
      <c r="BA502" s="825"/>
      <c r="BB502" s="571"/>
      <c r="BC502" s="571"/>
      <c r="BD502" s="571"/>
      <c r="BE502" s="824"/>
      <c r="BF502" s="824"/>
      <c r="BG502" s="824"/>
      <c r="BH502" s="823"/>
      <c r="BI502" s="585"/>
      <c r="BJ502" s="826"/>
      <c r="BK502" s="825"/>
      <c r="BL502" s="825"/>
      <c r="BM502" s="825"/>
      <c r="BN502" s="825"/>
      <c r="BO502" s="825"/>
      <c r="BP502" s="825"/>
      <c r="BQ502" s="571"/>
      <c r="BR502" s="585"/>
      <c r="BS502" s="571"/>
      <c r="BT502" s="571"/>
      <c r="BU502" s="571"/>
      <c r="BV502" s="571"/>
      <c r="BW502" s="571"/>
      <c r="BX502" s="571"/>
      <c r="BY502" s="571"/>
      <c r="BZ502" s="571"/>
      <c r="CA502" s="571"/>
      <c r="CB502" s="571"/>
      <c r="CC502" s="571"/>
    </row>
    <row r="503" spans="1:81" s="605" customFormat="1" ht="13.5" hidden="1" thickTop="1">
      <c r="A503" s="585"/>
      <c r="B503" s="585"/>
      <c r="C503" s="76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5"/>
      <c r="AE503" s="585"/>
      <c r="AF503" s="585"/>
      <c r="AG503" s="14"/>
      <c r="AH503" s="14"/>
      <c r="AI503" s="14"/>
      <c r="AJ503" s="14"/>
      <c r="AK503" s="767"/>
      <c r="AL503" s="585"/>
      <c r="AM503" s="585"/>
      <c r="AN503" s="569"/>
      <c r="AO503" s="571"/>
      <c r="AP503" s="824"/>
      <c r="AQ503" s="824"/>
      <c r="AR503" s="824"/>
      <c r="AS503" s="823"/>
      <c r="AT503" s="585"/>
      <c r="AU503" s="825"/>
      <c r="AV503" s="825"/>
      <c r="AW503" s="825"/>
      <c r="AX503" s="825"/>
      <c r="AY503" s="825"/>
      <c r="AZ503" s="825"/>
      <c r="BA503" s="825"/>
      <c r="BB503" s="571"/>
      <c r="BC503" s="571"/>
      <c r="BD503" s="571"/>
      <c r="BE503" s="824"/>
      <c r="BF503" s="824"/>
      <c r="BG503" s="824"/>
      <c r="BH503" s="823"/>
      <c r="BI503" s="585"/>
      <c r="BJ503" s="826"/>
      <c r="BK503" s="825"/>
      <c r="BL503" s="825"/>
      <c r="BM503" s="825"/>
      <c r="BN503" s="825"/>
      <c r="BO503" s="825"/>
      <c r="BP503" s="825"/>
      <c r="BQ503" s="571"/>
      <c r="BR503" s="585"/>
      <c r="BS503" s="571"/>
      <c r="BT503" s="571"/>
      <c r="BU503" s="571"/>
      <c r="BV503" s="571"/>
      <c r="BW503" s="571"/>
      <c r="BX503" s="571"/>
      <c r="BY503" s="571"/>
      <c r="BZ503" s="571"/>
      <c r="CA503" s="571"/>
      <c r="CB503" s="571"/>
      <c r="CC503" s="571"/>
    </row>
    <row r="504" spans="1:81" s="605" customFormat="1" ht="12.75" hidden="1" customHeight="1">
      <c r="A504" s="14"/>
      <c r="B504" s="585"/>
      <c r="C504" s="2034" t="s">
        <v>600</v>
      </c>
      <c r="D504" s="2035"/>
      <c r="F504" s="586" t="s">
        <v>1721</v>
      </c>
      <c r="G504" s="586"/>
      <c r="H504" s="586"/>
      <c r="I504" s="586"/>
      <c r="J504" s="586"/>
      <c r="K504" s="586"/>
      <c r="L504" s="586"/>
      <c r="M504" s="586"/>
      <c r="N504" s="586"/>
      <c r="O504" s="586"/>
      <c r="P504" s="586"/>
      <c r="Q504" s="586"/>
      <c r="R504" s="586"/>
      <c r="S504" s="586"/>
      <c r="T504" s="586"/>
      <c r="U504" s="586"/>
      <c r="V504" s="586"/>
      <c r="W504" s="586"/>
      <c r="X504" s="586"/>
      <c r="Y504" s="586"/>
      <c r="Z504" s="586"/>
      <c r="AA504" s="586"/>
      <c r="AB504" s="586"/>
      <c r="AC504" s="626"/>
      <c r="AD504" s="585"/>
      <c r="AE504" s="585"/>
      <c r="AF504" s="585"/>
      <c r="AG504" s="648">
        <f>IF(AND($C$504="Yes",$C$499="Yes"),2,0)</f>
        <v>0</v>
      </c>
      <c r="AH504" s="675" t="s">
        <v>1500</v>
      </c>
      <c r="AI504" s="586"/>
      <c r="AJ504" s="629"/>
      <c r="AK504" s="767"/>
      <c r="AL504" s="585"/>
      <c r="AM504" s="585"/>
      <c r="AN504" s="569"/>
      <c r="AO504" s="571"/>
      <c r="AP504" s="824"/>
      <c r="AQ504" s="824"/>
      <c r="AR504" s="824"/>
      <c r="AS504" s="823"/>
      <c r="AT504" s="585"/>
      <c r="AU504" s="825"/>
      <c r="AV504" s="825"/>
      <c r="AW504" s="825"/>
      <c r="AX504" s="825"/>
      <c r="AY504" s="825"/>
      <c r="AZ504" s="825"/>
      <c r="BA504" s="825"/>
      <c r="BB504" s="571"/>
      <c r="BC504" s="571"/>
      <c r="BD504" s="571"/>
      <c r="BE504" s="824"/>
      <c r="BF504" s="824"/>
      <c r="BG504" s="824"/>
      <c r="BH504" s="823"/>
      <c r="BI504" s="585"/>
      <c r="BJ504" s="826"/>
      <c r="BK504" s="825"/>
      <c r="BL504" s="825"/>
      <c r="BM504" s="825"/>
      <c r="BN504" s="825"/>
      <c r="BO504" s="825"/>
      <c r="BP504" s="825"/>
      <c r="BQ504" s="571"/>
      <c r="BR504" s="585"/>
      <c r="BS504" s="571"/>
      <c r="BT504" s="571"/>
      <c r="BU504" s="571"/>
      <c r="BV504" s="571"/>
      <c r="BW504" s="571"/>
      <c r="BX504" s="571"/>
      <c r="BY504" s="571"/>
      <c r="BZ504" s="571"/>
      <c r="CA504" s="571"/>
      <c r="CB504" s="571"/>
      <c r="CC504" s="571"/>
    </row>
    <row r="505" spans="1:81" s="605" customFormat="1" ht="13.5" hidden="1" thickTop="1">
      <c r="A505" s="14"/>
      <c r="B505" s="585"/>
      <c r="C505" s="817"/>
      <c r="D505" s="765"/>
      <c r="E505" s="765"/>
      <c r="F505" s="586"/>
      <c r="G505" s="586" t="s">
        <v>1722</v>
      </c>
      <c r="H505" s="586"/>
      <c r="I505" s="586"/>
      <c r="J505" s="586"/>
      <c r="K505" s="586"/>
      <c r="L505" s="586"/>
      <c r="M505" s="586"/>
      <c r="N505" s="586"/>
      <c r="O505" s="586"/>
      <c r="P505" s="586"/>
      <c r="Q505" s="586"/>
      <c r="R505" s="586"/>
      <c r="S505" s="586"/>
      <c r="T505" s="586"/>
      <c r="U505" s="586"/>
      <c r="V505" s="586"/>
      <c r="W505" s="586"/>
      <c r="X505" s="586"/>
      <c r="Y505" s="586"/>
      <c r="Z505" s="586"/>
      <c r="AA505" s="586"/>
      <c r="AB505" s="586"/>
      <c r="AC505" s="626"/>
      <c r="AD505" s="585"/>
      <c r="AE505" s="585"/>
      <c r="AF505" s="585"/>
      <c r="AG505" s="629"/>
      <c r="AH505" s="629"/>
      <c r="AI505" s="629"/>
      <c r="AJ505" s="629"/>
      <c r="AK505" s="767"/>
      <c r="AL505" s="585"/>
      <c r="AM505" s="585"/>
      <c r="AN505" s="632"/>
      <c r="AO505" s="571"/>
      <c r="AP505" s="824"/>
      <c r="AQ505" s="824"/>
      <c r="AR505" s="824"/>
      <c r="AS505" s="823"/>
      <c r="AT505" s="585"/>
      <c r="AU505" s="825"/>
      <c r="AV505" s="825"/>
      <c r="AW505" s="825"/>
      <c r="AX505" s="825"/>
      <c r="AY505" s="825"/>
      <c r="AZ505" s="825"/>
      <c r="BA505" s="825"/>
      <c r="BB505" s="571"/>
      <c r="BC505" s="571"/>
      <c r="BD505" s="571"/>
      <c r="BE505" s="824"/>
      <c r="BF505" s="824"/>
      <c r="BG505" s="824"/>
      <c r="BH505" s="823"/>
      <c r="BI505" s="585"/>
      <c r="BJ505" s="826"/>
      <c r="BK505" s="825"/>
      <c r="BL505" s="825"/>
      <c r="BM505" s="825"/>
      <c r="BN505" s="825"/>
      <c r="BO505" s="825"/>
      <c r="BP505" s="825"/>
      <c r="BQ505" s="571"/>
      <c r="BR505" s="585"/>
      <c r="BS505" s="571"/>
      <c r="BT505" s="571"/>
      <c r="BU505" s="571"/>
      <c r="BV505" s="571"/>
      <c r="BW505" s="571"/>
      <c r="BX505" s="571"/>
      <c r="BY505" s="571"/>
      <c r="BZ505" s="571"/>
      <c r="CA505" s="571"/>
      <c r="CB505" s="571"/>
      <c r="CC505" s="571"/>
    </row>
    <row r="506" spans="1:81" s="585" customFormat="1" ht="12.75" hidden="1" customHeight="1">
      <c r="A506" s="14"/>
      <c r="C506" s="817"/>
      <c r="D506" s="765"/>
      <c r="E506" s="765"/>
      <c r="F506" s="586"/>
      <c r="G506" s="586" t="s">
        <v>1723</v>
      </c>
      <c r="H506" s="586"/>
      <c r="I506" s="586"/>
      <c r="J506" s="586"/>
      <c r="K506" s="586"/>
      <c r="L506" s="586"/>
      <c r="M506" s="586"/>
      <c r="N506" s="586"/>
      <c r="O506" s="586"/>
      <c r="P506" s="586"/>
      <c r="Q506" s="586"/>
      <c r="R506" s="586"/>
      <c r="S506" s="586"/>
      <c r="T506" s="586"/>
      <c r="U506" s="586"/>
      <c r="V506" s="586"/>
      <c r="W506" s="586"/>
      <c r="X506" s="586"/>
      <c r="Y506" s="586"/>
      <c r="Z506" s="586"/>
      <c r="AA506" s="586"/>
      <c r="AB506" s="586"/>
      <c r="AC506" s="626"/>
      <c r="AG506" s="629"/>
      <c r="AH506" s="629"/>
      <c r="AI506" s="629"/>
      <c r="AJ506" s="629"/>
      <c r="AK506" s="767"/>
      <c r="AN506" s="570"/>
      <c r="AP506" s="571"/>
      <c r="AQ506" s="571"/>
      <c r="AR506" s="571"/>
    </row>
    <row r="507" spans="1:81" s="585" customFormat="1" ht="12.75" hidden="1" customHeight="1">
      <c r="A507" s="672"/>
      <c r="B507" s="14"/>
      <c r="C507" s="829"/>
      <c r="D507" s="14"/>
      <c r="G507" s="646"/>
      <c r="H507" s="646"/>
      <c r="I507" s="646"/>
      <c r="J507" s="646"/>
      <c r="K507" s="646"/>
      <c r="L507" s="646"/>
      <c r="M507" s="646"/>
      <c r="N507" s="646"/>
      <c r="O507" s="646"/>
      <c r="P507" s="646"/>
      <c r="Q507" s="646"/>
      <c r="R507" s="646"/>
      <c r="S507" s="646"/>
      <c r="T507" s="646"/>
      <c r="U507" s="646"/>
      <c r="V507" s="646"/>
      <c r="W507" s="646"/>
      <c r="X507" s="646"/>
      <c r="Y507" s="646"/>
      <c r="Z507" s="646"/>
      <c r="AA507" s="646"/>
      <c r="AB507" s="646"/>
      <c r="AC507" s="646"/>
      <c r="AD507" s="646"/>
      <c r="AE507" s="646"/>
      <c r="AF507" s="646"/>
      <c r="AG507" s="626"/>
      <c r="AH507" s="626"/>
      <c r="AI507" s="626"/>
      <c r="AJ507" s="626"/>
      <c r="AK507" s="830"/>
      <c r="AL507" s="14"/>
      <c r="AM507" s="14"/>
      <c r="AN507" s="570"/>
      <c r="AO507" s="571"/>
      <c r="AP507" s="571"/>
      <c r="AQ507" s="571"/>
      <c r="AR507" s="571"/>
    </row>
    <row r="508" spans="1:81" s="585" customFormat="1" ht="12.75" hidden="1" customHeight="1">
      <c r="A508" s="672"/>
      <c r="C508" s="2034" t="s">
        <v>600</v>
      </c>
      <c r="D508" s="2035"/>
      <c r="F508" s="831" t="s">
        <v>1724</v>
      </c>
      <c r="G508" s="1991" t="s">
        <v>1725</v>
      </c>
      <c r="H508" s="1991"/>
      <c r="I508" s="1991"/>
      <c r="J508" s="1991"/>
      <c r="K508" s="1991"/>
      <c r="L508" s="1991"/>
      <c r="M508" s="1991"/>
      <c r="N508" s="1991"/>
      <c r="O508" s="1991"/>
      <c r="P508" s="1991"/>
      <c r="Q508" s="1991"/>
      <c r="R508" s="1991"/>
      <c r="S508" s="1991"/>
      <c r="T508" s="1991"/>
      <c r="U508" s="1991"/>
      <c r="V508" s="1991"/>
      <c r="W508" s="1991"/>
      <c r="X508" s="1991"/>
      <c r="Y508" s="1991"/>
      <c r="Z508" s="1991"/>
      <c r="AA508" s="1991"/>
      <c r="AB508" s="1991"/>
      <c r="AC508" s="1991"/>
      <c r="AD508" s="1991"/>
      <c r="AE508" s="1991"/>
      <c r="AF508" s="1991"/>
      <c r="AG508" s="648">
        <f>IF(AND($C$508="Yes",$C$499="Yes"),2,0)</f>
        <v>0</v>
      </c>
      <c r="AH508" s="675" t="s">
        <v>1500</v>
      </c>
      <c r="AI508" s="586"/>
      <c r="AJ508" s="629"/>
      <c r="AK508" s="767"/>
      <c r="AN508" s="570"/>
      <c r="AZ508" s="574"/>
      <c r="BC508" s="578"/>
      <c r="BD508" s="574"/>
      <c r="BE508" s="574"/>
      <c r="BF508" s="574"/>
      <c r="BM508" s="571"/>
      <c r="BN508" s="574"/>
      <c r="BO508" s="571"/>
      <c r="BP508" s="574"/>
      <c r="BQ508" s="574"/>
      <c r="BR508" s="574"/>
      <c r="BS508" s="574"/>
      <c r="BT508" s="574"/>
      <c r="BU508" s="574"/>
      <c r="BV508" s="571"/>
      <c r="BW508" s="571"/>
      <c r="BX508" s="571"/>
      <c r="BY508" s="571"/>
      <c r="BZ508" s="571"/>
      <c r="CA508" s="571"/>
      <c r="CB508" s="571"/>
      <c r="CC508" s="571"/>
    </row>
    <row r="509" spans="1:81" s="585" customFormat="1" ht="12.75" hidden="1" customHeight="1">
      <c r="C509" s="832"/>
      <c r="D509" s="762"/>
      <c r="E509" s="801"/>
      <c r="F509" s="761"/>
      <c r="G509" s="2006"/>
      <c r="H509" s="2006"/>
      <c r="I509" s="2006"/>
      <c r="J509" s="2006"/>
      <c r="K509" s="2006"/>
      <c r="L509" s="2006"/>
      <c r="M509" s="2006"/>
      <c r="N509" s="2006"/>
      <c r="O509" s="2006"/>
      <c r="P509" s="2006"/>
      <c r="Q509" s="2006"/>
      <c r="R509" s="2006"/>
      <c r="S509" s="2006"/>
      <c r="T509" s="2006"/>
      <c r="U509" s="2006"/>
      <c r="V509" s="2006"/>
      <c r="W509" s="2006"/>
      <c r="X509" s="2006"/>
      <c r="Y509" s="2006"/>
      <c r="Z509" s="2006"/>
      <c r="AA509" s="2006"/>
      <c r="AB509" s="2006"/>
      <c r="AC509" s="2006"/>
      <c r="AD509" s="2006"/>
      <c r="AE509" s="2006"/>
      <c r="AF509" s="2006"/>
      <c r="AG509" s="693"/>
      <c r="AH509" s="693"/>
      <c r="AI509" s="693"/>
      <c r="AJ509" s="693"/>
      <c r="AK509" s="777"/>
      <c r="AN509" s="570"/>
      <c r="AZ509" s="574"/>
      <c r="BC509" s="578"/>
      <c r="BD509" s="574"/>
      <c r="BE509" s="574"/>
      <c r="BF509" s="574"/>
      <c r="BM509" s="630"/>
      <c r="BN509" s="630"/>
      <c r="BO509" s="630"/>
      <c r="BP509" s="630"/>
      <c r="BQ509" s="630"/>
      <c r="BR509" s="630"/>
      <c r="BS509" s="630"/>
      <c r="BT509" s="630"/>
      <c r="BU509" s="630"/>
      <c r="BV509" s="630"/>
      <c r="BW509" s="630"/>
      <c r="BX509" s="630"/>
      <c r="BY509" s="630"/>
      <c r="BZ509" s="630"/>
      <c r="CA509" s="630"/>
      <c r="CB509" s="630"/>
      <c r="CC509" s="630"/>
    </row>
    <row r="510" spans="1:81" s="585" customFormat="1" ht="12.75" hidden="1" customHeight="1">
      <c r="C510" s="571"/>
      <c r="E510" s="799"/>
      <c r="F510" s="638"/>
      <c r="G510" s="608"/>
      <c r="H510" s="608"/>
      <c r="I510" s="608"/>
      <c r="J510" s="608"/>
      <c r="K510" s="608"/>
      <c r="L510" s="608"/>
      <c r="M510" s="608"/>
      <c r="N510" s="608"/>
      <c r="O510" s="608"/>
      <c r="P510" s="608"/>
      <c r="Q510" s="608"/>
      <c r="R510" s="608"/>
      <c r="S510" s="608"/>
      <c r="T510" s="608"/>
      <c r="U510" s="608"/>
      <c r="V510" s="608"/>
      <c r="W510" s="608"/>
      <c r="X510" s="608"/>
      <c r="Y510" s="608"/>
      <c r="Z510" s="608"/>
      <c r="AA510" s="608"/>
      <c r="AB510" s="608"/>
      <c r="AC510" s="608"/>
      <c r="AD510" s="608"/>
      <c r="AE510" s="608"/>
      <c r="AF510" s="608"/>
      <c r="AG510" s="586"/>
      <c r="AH510" s="586"/>
      <c r="AI510" s="586"/>
      <c r="AJ510" s="586"/>
      <c r="AN510" s="570"/>
      <c r="AP510" s="574"/>
      <c r="AQ510" s="574"/>
      <c r="AR510" s="574"/>
      <c r="AS510" s="574"/>
      <c r="AT510" s="574"/>
      <c r="AU510" s="574"/>
      <c r="AV510" s="574"/>
      <c r="AW510" s="574"/>
      <c r="AX510" s="574"/>
      <c r="AY510" s="574"/>
      <c r="AZ510" s="574"/>
      <c r="BA510" s="574"/>
      <c r="BB510" s="574"/>
      <c r="BC510" s="574"/>
      <c r="BD510" s="574"/>
      <c r="BE510" s="574"/>
      <c r="BF510" s="574"/>
      <c r="BG510" s="574"/>
      <c r="BH510" s="574"/>
      <c r="BI510" s="578"/>
      <c r="BJ510" s="833"/>
      <c r="BK510" s="833"/>
      <c r="BM510" s="630"/>
      <c r="BN510" s="630"/>
      <c r="BO510" s="630"/>
      <c r="BP510" s="630"/>
      <c r="BQ510" s="630"/>
      <c r="BR510" s="630"/>
      <c r="BS510" s="630"/>
      <c r="BT510" s="630"/>
      <c r="BU510" s="630"/>
      <c r="BV510" s="630"/>
      <c r="BW510" s="630"/>
      <c r="BX510" s="630"/>
      <c r="BY510" s="630"/>
      <c r="BZ510" s="630"/>
      <c r="CA510" s="630"/>
      <c r="CB510" s="630"/>
      <c r="CC510" s="630"/>
    </row>
    <row r="511" spans="1:81" s="585" customFormat="1" ht="12.75" hidden="1" customHeight="1">
      <c r="C511" s="834" t="s">
        <v>1726</v>
      </c>
      <c r="D511" s="749"/>
      <c r="E511" s="835"/>
      <c r="F511" s="836"/>
      <c r="G511" s="837"/>
      <c r="H511" s="837"/>
      <c r="I511" s="837"/>
      <c r="J511" s="837"/>
      <c r="K511" s="837"/>
      <c r="L511" s="837"/>
      <c r="M511" s="837"/>
      <c r="N511" s="837"/>
      <c r="O511" s="837"/>
      <c r="P511" s="837"/>
      <c r="Q511" s="837"/>
      <c r="R511" s="837"/>
      <c r="S511" s="837"/>
      <c r="T511" s="837"/>
      <c r="U511" s="837"/>
      <c r="V511" s="837"/>
      <c r="W511" s="837"/>
      <c r="X511" s="837"/>
      <c r="Y511" s="837"/>
      <c r="Z511" s="837"/>
      <c r="AA511" s="837"/>
      <c r="AB511" s="837"/>
      <c r="AC511" s="837"/>
      <c r="AD511" s="837"/>
      <c r="AE511" s="837"/>
      <c r="AF511" s="837"/>
      <c r="AG511" s="684"/>
      <c r="AH511" s="684"/>
      <c r="AI511" s="684"/>
      <c r="AJ511" s="684"/>
      <c r="AK511" s="780"/>
      <c r="AN511" s="632"/>
      <c r="AP511" s="574"/>
      <c r="AQ511" s="574"/>
      <c r="AR511" s="574"/>
      <c r="AS511" s="574"/>
      <c r="AT511" s="574"/>
      <c r="AU511" s="574"/>
      <c r="AV511" s="574"/>
      <c r="AW511" s="574"/>
      <c r="AX511" s="574"/>
      <c r="AY511" s="574"/>
      <c r="AZ511" s="574"/>
      <c r="BA511" s="574"/>
      <c r="BB511" s="574"/>
      <c r="BC511" s="574"/>
      <c r="BD511" s="574"/>
      <c r="BE511" s="574"/>
      <c r="BF511" s="574"/>
      <c r="BG511" s="574"/>
      <c r="BH511" s="574"/>
      <c r="BI511" s="672"/>
      <c r="BJ511" s="833"/>
      <c r="BK511" s="833"/>
      <c r="BM511" s="630"/>
      <c r="BN511" s="630"/>
      <c r="BO511" s="630"/>
      <c r="BP511" s="630"/>
      <c r="BQ511" s="630"/>
      <c r="BR511" s="630"/>
      <c r="BS511" s="630"/>
      <c r="BT511" s="630"/>
      <c r="BU511" s="630"/>
      <c r="BV511" s="630"/>
      <c r="BW511" s="630"/>
      <c r="BX511" s="630"/>
      <c r="BY511" s="630"/>
      <c r="BZ511" s="630"/>
      <c r="CA511" s="630"/>
      <c r="CB511" s="630"/>
      <c r="CC511" s="630"/>
    </row>
    <row r="512" spans="1:81" s="585" customFormat="1" ht="12.75" hidden="1" customHeight="1">
      <c r="C512" s="2022" t="s">
        <v>600</v>
      </c>
      <c r="D512" s="2023"/>
      <c r="E512" s="838" t="s">
        <v>1727</v>
      </c>
      <c r="F512" s="807" t="s">
        <v>1728</v>
      </c>
      <c r="G512" s="608"/>
      <c r="H512" s="608"/>
      <c r="I512" s="608"/>
      <c r="J512" s="608"/>
      <c r="K512" s="608"/>
      <c r="L512" s="608"/>
      <c r="M512" s="608"/>
      <c r="N512" s="608"/>
      <c r="O512" s="608"/>
      <c r="P512" s="608"/>
      <c r="Q512" s="608"/>
      <c r="R512" s="608"/>
      <c r="S512" s="608"/>
      <c r="T512" s="608"/>
      <c r="U512" s="608"/>
      <c r="V512" s="608"/>
      <c r="W512" s="608"/>
      <c r="X512" s="608"/>
      <c r="Y512" s="608"/>
      <c r="Z512" s="608"/>
      <c r="AA512" s="608"/>
      <c r="AB512" s="608"/>
      <c r="AC512" s="608"/>
      <c r="AD512" s="608"/>
      <c r="AE512" s="608"/>
      <c r="AF512" s="608"/>
      <c r="AG512" s="648">
        <f>IF(C$512="Yes",(VLOOKUP(F$513,$AO$483:$AP$486,2,FALSE)),0)</f>
        <v>0</v>
      </c>
      <c r="AH512" s="675" t="s">
        <v>1500</v>
      </c>
      <c r="AI512" s="586"/>
      <c r="AJ512" s="586"/>
      <c r="AK512" s="767"/>
      <c r="AN512" s="632"/>
      <c r="AP512" s="574"/>
      <c r="AQ512" s="574"/>
      <c r="AR512" s="574"/>
      <c r="AS512" s="574"/>
      <c r="AT512" s="574"/>
      <c r="AU512" s="574"/>
      <c r="AV512" s="574"/>
      <c r="AW512" s="574"/>
      <c r="AX512" s="574"/>
      <c r="AY512" s="574"/>
      <c r="AZ512" s="574"/>
      <c r="BA512" s="574"/>
      <c r="BB512" s="574"/>
      <c r="BC512" s="574"/>
      <c r="BD512" s="574"/>
      <c r="BE512" s="574"/>
      <c r="BF512" s="574"/>
      <c r="BG512" s="574"/>
      <c r="BH512" s="574"/>
      <c r="BI512" s="672"/>
      <c r="BJ512" s="833"/>
      <c r="BK512" s="833"/>
      <c r="BM512" s="571"/>
      <c r="BN512" s="571"/>
      <c r="BO512" s="571"/>
      <c r="BP512" s="571"/>
      <c r="BQ512" s="571"/>
      <c r="BR512" s="571"/>
      <c r="BS512" s="571"/>
      <c r="BT512" s="571"/>
      <c r="BU512" s="571"/>
      <c r="BV512" s="571"/>
      <c r="BW512" s="571"/>
      <c r="BX512" s="571"/>
      <c r="BY512" s="571"/>
      <c r="BZ512" s="571"/>
      <c r="CA512" s="571"/>
      <c r="CB512" s="571"/>
      <c r="CC512" s="571"/>
    </row>
    <row r="513" spans="1:81" s="585" customFormat="1" ht="12.75" hidden="1" customHeight="1">
      <c r="C513" s="753"/>
      <c r="E513" s="799"/>
      <c r="F513" s="2024" t="s">
        <v>600</v>
      </c>
      <c r="G513" s="2024"/>
      <c r="H513" s="2024"/>
      <c r="I513" s="2024"/>
      <c r="J513" s="2024"/>
      <c r="K513" s="2024"/>
      <c r="L513" s="2024"/>
      <c r="M513" s="2024"/>
      <c r="N513" s="2024"/>
      <c r="O513" s="2024"/>
      <c r="P513" s="2024"/>
      <c r="Q513" s="2024"/>
      <c r="R513" s="2024"/>
      <c r="S513" s="2024"/>
      <c r="T513" s="2024"/>
      <c r="U513" s="2024"/>
      <c r="V513" s="2024"/>
      <c r="W513" s="2024"/>
      <c r="X513" s="2024"/>
      <c r="Y513" s="2024"/>
      <c r="Z513" s="2024"/>
      <c r="AA513" s="2024"/>
      <c r="AB513" s="2024"/>
      <c r="AC513" s="2024"/>
      <c r="AD513" s="2024"/>
      <c r="AE513" s="2024"/>
      <c r="AF513" s="2024"/>
      <c r="AG513" s="586"/>
      <c r="AH513" s="586"/>
      <c r="AI513" s="586"/>
      <c r="AJ513" s="586"/>
      <c r="AK513" s="767"/>
      <c r="AN513" s="632"/>
      <c r="BM513" s="571"/>
      <c r="BN513" s="571"/>
      <c r="BO513" s="571"/>
      <c r="BP513" s="571"/>
      <c r="BQ513" s="571"/>
      <c r="BR513" s="571"/>
      <c r="BS513" s="571"/>
      <c r="BT513" s="571"/>
      <c r="BU513" s="571"/>
      <c r="BV513" s="571"/>
      <c r="BW513" s="571"/>
      <c r="BX513" s="571"/>
      <c r="BY513" s="571"/>
      <c r="BZ513" s="571"/>
      <c r="CA513" s="571"/>
      <c r="CB513" s="571"/>
      <c r="CC513" s="571"/>
    </row>
    <row r="514" spans="1:81" s="585" customFormat="1" ht="12.75" hidden="1" customHeight="1">
      <c r="C514" s="832"/>
      <c r="D514" s="762"/>
      <c r="E514" s="801"/>
      <c r="F514" s="2025"/>
      <c r="G514" s="2025"/>
      <c r="H514" s="2025"/>
      <c r="I514" s="2025"/>
      <c r="J514" s="2025"/>
      <c r="K514" s="2025"/>
      <c r="L514" s="2025"/>
      <c r="M514" s="2025"/>
      <c r="N514" s="2025"/>
      <c r="O514" s="2025"/>
      <c r="P514" s="2025"/>
      <c r="Q514" s="2025"/>
      <c r="R514" s="2025"/>
      <c r="S514" s="2025"/>
      <c r="T514" s="2025"/>
      <c r="U514" s="2025"/>
      <c r="V514" s="2025"/>
      <c r="W514" s="2025"/>
      <c r="X514" s="2025"/>
      <c r="Y514" s="2025"/>
      <c r="Z514" s="2025"/>
      <c r="AA514" s="2025"/>
      <c r="AB514" s="2025"/>
      <c r="AC514" s="2025"/>
      <c r="AD514" s="2025"/>
      <c r="AE514" s="2025"/>
      <c r="AF514" s="2025"/>
      <c r="AG514" s="693"/>
      <c r="AH514" s="693"/>
      <c r="AI514" s="693"/>
      <c r="AJ514" s="693"/>
      <c r="AK514" s="777"/>
      <c r="AN514" s="632"/>
      <c r="BM514" s="571"/>
      <c r="BN514" s="571"/>
      <c r="BO514" s="571"/>
      <c r="BP514" s="571"/>
      <c r="BQ514" s="571"/>
      <c r="BR514" s="571"/>
      <c r="BS514" s="571"/>
      <c r="BT514" s="571"/>
      <c r="BU514" s="571"/>
      <c r="BV514" s="571"/>
      <c r="BW514" s="571"/>
      <c r="BX514" s="571"/>
      <c r="BY514" s="571"/>
      <c r="BZ514" s="571"/>
      <c r="CA514" s="571"/>
      <c r="CB514" s="571"/>
      <c r="CC514" s="571"/>
    </row>
    <row r="515" spans="1:81" s="585" customFormat="1" ht="12.75" hidden="1" customHeight="1">
      <c r="A515" s="672"/>
      <c r="C515" s="586"/>
      <c r="E515" s="586"/>
      <c r="F515" s="807"/>
      <c r="G515" s="586"/>
      <c r="H515" s="586"/>
      <c r="I515" s="586"/>
      <c r="J515" s="586"/>
      <c r="K515" s="586"/>
      <c r="L515" s="586"/>
      <c r="M515" s="586"/>
      <c r="N515" s="586"/>
      <c r="O515" s="586"/>
      <c r="P515" s="586"/>
      <c r="Q515" s="586"/>
      <c r="R515" s="586"/>
      <c r="S515" s="586"/>
      <c r="T515" s="586"/>
      <c r="U515" s="586"/>
      <c r="V515" s="586"/>
      <c r="W515" s="586"/>
      <c r="X515" s="586"/>
      <c r="Y515" s="586"/>
      <c r="Z515" s="586"/>
      <c r="AA515" s="586"/>
      <c r="AB515" s="586"/>
      <c r="AC515" s="586"/>
      <c r="AD515" s="651"/>
      <c r="AE515" s="586"/>
      <c r="AF515" s="586"/>
      <c r="AG515" s="586"/>
      <c r="AH515" s="586"/>
      <c r="AN515" s="632"/>
      <c r="BM515" s="571"/>
      <c r="BN515" s="571"/>
      <c r="BO515" s="571"/>
      <c r="BP515" s="571"/>
      <c r="BQ515" s="571"/>
      <c r="BR515" s="571"/>
      <c r="BS515" s="571"/>
      <c r="BT515" s="571"/>
      <c r="BU515" s="571"/>
      <c r="BV515" s="571"/>
      <c r="BW515" s="571"/>
      <c r="BX515" s="571"/>
      <c r="BY515" s="571"/>
      <c r="BZ515" s="571"/>
      <c r="CA515" s="571"/>
      <c r="CB515" s="571"/>
      <c r="CC515" s="571"/>
    </row>
    <row r="516" spans="1:81" s="585" customFormat="1" ht="12.75" hidden="1" customHeight="1">
      <c r="A516" s="672"/>
      <c r="B516" s="585" t="s">
        <v>1729</v>
      </c>
      <c r="C516" s="586"/>
      <c r="E516" s="586"/>
      <c r="F516" s="586"/>
      <c r="G516" s="586"/>
      <c r="H516" s="586"/>
      <c r="I516" s="586"/>
      <c r="J516" s="586"/>
      <c r="K516" s="586"/>
      <c r="L516" s="586"/>
      <c r="M516" s="586"/>
      <c r="N516" s="586"/>
      <c r="O516" s="586"/>
      <c r="P516" s="586"/>
      <c r="Q516" s="586"/>
      <c r="R516" s="586"/>
      <c r="S516" s="586"/>
      <c r="T516" s="586"/>
      <c r="U516" s="586"/>
      <c r="V516" s="586"/>
      <c r="W516" s="586"/>
      <c r="X516" s="586"/>
      <c r="Y516" s="586"/>
      <c r="Z516" s="586"/>
      <c r="AA516" s="586"/>
      <c r="AB516" s="586"/>
      <c r="AC516" s="586"/>
      <c r="AD516" s="651"/>
      <c r="AE516" s="586"/>
      <c r="AF516" s="586"/>
      <c r="AG516" s="586"/>
      <c r="AH516" s="586"/>
      <c r="AN516" s="632"/>
      <c r="AP516" s="822"/>
      <c r="AQ516" s="822"/>
      <c r="AR516" s="822"/>
      <c r="AS516" s="822"/>
      <c r="AT516" s="822"/>
      <c r="AU516" s="822"/>
      <c r="AV516" s="822"/>
      <c r="AW516" s="822"/>
      <c r="AX516" s="822"/>
      <c r="AY516" s="822"/>
      <c r="BM516" s="571"/>
      <c r="BN516" s="571"/>
      <c r="BO516" s="571"/>
      <c r="BP516" s="571"/>
      <c r="BQ516" s="571"/>
      <c r="BR516" s="571"/>
      <c r="BS516" s="571"/>
      <c r="BT516" s="571"/>
      <c r="BU516" s="571"/>
      <c r="BV516" s="571"/>
      <c r="BW516" s="571"/>
      <c r="BX516" s="571"/>
      <c r="BY516" s="571"/>
      <c r="BZ516" s="571"/>
      <c r="CA516" s="571"/>
      <c r="CB516" s="571"/>
      <c r="CC516" s="571"/>
    </row>
    <row r="517" spans="1:81" s="585" customFormat="1" ht="12.75" hidden="1" customHeight="1">
      <c r="A517" s="672"/>
      <c r="B517" s="585" t="s">
        <v>1730</v>
      </c>
      <c r="C517" s="586"/>
      <c r="E517" s="586"/>
      <c r="F517" s="586"/>
      <c r="G517" s="586"/>
      <c r="H517" s="586"/>
      <c r="I517" s="586"/>
      <c r="J517" s="586"/>
      <c r="K517" s="586"/>
      <c r="L517" s="586"/>
      <c r="M517" s="586"/>
      <c r="N517" s="586"/>
      <c r="O517" s="586"/>
      <c r="P517" s="586"/>
      <c r="Q517" s="586"/>
      <c r="R517" s="586"/>
      <c r="S517" s="586"/>
      <c r="T517" s="586"/>
      <c r="U517" s="586"/>
      <c r="V517" s="586"/>
      <c r="W517" s="586"/>
      <c r="X517" s="586"/>
      <c r="Y517" s="586"/>
      <c r="Z517" s="586"/>
      <c r="AA517" s="586"/>
      <c r="AB517" s="586"/>
      <c r="AC517" s="586"/>
      <c r="AD517" s="651"/>
      <c r="AE517" s="586"/>
      <c r="AF517" s="586"/>
      <c r="AG517" s="586"/>
      <c r="AH517" s="586"/>
      <c r="AN517" s="632"/>
      <c r="AP517" s="839"/>
      <c r="AQ517" s="839"/>
      <c r="AR517" s="839"/>
      <c r="AS517" s="839"/>
      <c r="AT517" s="839"/>
      <c r="AU517" s="839"/>
      <c r="AV517" s="839"/>
      <c r="AW517" s="839"/>
      <c r="AX517" s="839"/>
      <c r="AY517" s="839"/>
      <c r="BM517" s="571"/>
      <c r="BN517" s="571"/>
      <c r="BO517" s="571"/>
      <c r="BP517" s="571"/>
      <c r="BQ517" s="571"/>
      <c r="BR517" s="571"/>
      <c r="BS517" s="571"/>
      <c r="BT517" s="571"/>
      <c r="BU517" s="571"/>
      <c r="BV517" s="571"/>
      <c r="BW517" s="571"/>
      <c r="BX517" s="571"/>
      <c r="BY517" s="571"/>
      <c r="BZ517" s="571"/>
      <c r="CA517" s="571"/>
      <c r="CB517" s="571"/>
      <c r="CC517" s="571"/>
    </row>
    <row r="518" spans="1:81" s="585" customFormat="1" ht="12.75" hidden="1" customHeight="1">
      <c r="A518" s="672"/>
      <c r="B518" s="585" t="s">
        <v>2426</v>
      </c>
      <c r="C518" s="586"/>
      <c r="E518" s="586"/>
      <c r="F518" s="586"/>
      <c r="G518" s="586"/>
      <c r="H518" s="586"/>
      <c r="I518" s="586"/>
      <c r="J518" s="586"/>
      <c r="K518" s="586"/>
      <c r="L518" s="586"/>
      <c r="M518" s="586"/>
      <c r="N518" s="586"/>
      <c r="O518" s="586"/>
      <c r="P518" s="586"/>
      <c r="Q518" s="586"/>
      <c r="R518" s="586"/>
      <c r="S518" s="586"/>
      <c r="T518" s="586"/>
      <c r="U518" s="586"/>
      <c r="V518" s="586"/>
      <c r="W518" s="586"/>
      <c r="X518" s="586"/>
      <c r="Y518" s="586"/>
      <c r="Z518" s="586"/>
      <c r="AA518" s="586"/>
      <c r="AB518" s="586"/>
      <c r="AC518" s="586"/>
      <c r="AD518" s="651"/>
      <c r="AE518" s="586"/>
      <c r="AF518" s="586"/>
      <c r="AG518" s="586"/>
      <c r="AH518" s="586"/>
      <c r="AN518" s="632"/>
      <c r="AP518" s="839"/>
      <c r="AQ518" s="839"/>
      <c r="AR518" s="839"/>
      <c r="AS518" s="839"/>
      <c r="AT518" s="839"/>
      <c r="AU518" s="839"/>
      <c r="AV518" s="839"/>
      <c r="AW518" s="839"/>
      <c r="AX518" s="839"/>
      <c r="AY518" s="839"/>
      <c r="BM518" s="571"/>
      <c r="BN518" s="571"/>
      <c r="BO518" s="571"/>
      <c r="BP518" s="571"/>
      <c r="BQ518" s="571"/>
      <c r="BR518" s="571"/>
      <c r="BS518" s="571"/>
      <c r="BT518" s="571"/>
      <c r="BU518" s="571"/>
      <c r="BV518" s="571"/>
      <c r="BW518" s="571"/>
      <c r="BX518" s="571"/>
      <c r="BY518" s="571"/>
      <c r="BZ518" s="571"/>
      <c r="CA518" s="571"/>
      <c r="CB518" s="571"/>
      <c r="CC518" s="571"/>
    </row>
    <row r="519" spans="1:81" s="585" customFormat="1" ht="12.75" hidden="1" customHeight="1">
      <c r="A519" s="672"/>
      <c r="B519" s="585" t="s">
        <v>1731</v>
      </c>
      <c r="C519" s="586"/>
      <c r="E519" s="586"/>
      <c r="F519" s="586"/>
      <c r="G519" s="586"/>
      <c r="H519" s="586"/>
      <c r="I519" s="586"/>
      <c r="J519" s="586"/>
      <c r="K519" s="586"/>
      <c r="L519" s="586"/>
      <c r="M519" s="586"/>
      <c r="N519" s="586"/>
      <c r="O519" s="586"/>
      <c r="P519" s="586"/>
      <c r="Q519" s="586"/>
      <c r="R519" s="586"/>
      <c r="S519" s="586"/>
      <c r="T519" s="586"/>
      <c r="U519" s="586"/>
      <c r="V519" s="586"/>
      <c r="W519" s="586"/>
      <c r="X519" s="586"/>
      <c r="Y519" s="586"/>
      <c r="Z519" s="586"/>
      <c r="AA519" s="586"/>
      <c r="AB519" s="586"/>
      <c r="AC519" s="586"/>
      <c r="AD519" s="651"/>
      <c r="AE519" s="586"/>
      <c r="AF519" s="586"/>
      <c r="AG519" s="586"/>
      <c r="AH519" s="586"/>
      <c r="AN519" s="632"/>
      <c r="AP519" s="839"/>
      <c r="AQ519" s="839"/>
      <c r="AR519" s="839"/>
      <c r="AS519" s="839"/>
      <c r="AT519" s="839"/>
      <c r="AU519" s="839"/>
      <c r="AV519" s="839"/>
      <c r="AW519" s="839"/>
      <c r="AX519" s="839"/>
      <c r="AY519" s="839"/>
      <c r="BM519" s="571"/>
      <c r="BN519" s="571"/>
      <c r="BO519" s="571"/>
      <c r="BP519" s="571"/>
      <c r="BQ519" s="571"/>
      <c r="BR519" s="571"/>
      <c r="BS519" s="571"/>
      <c r="BT519" s="571"/>
      <c r="BU519" s="571"/>
      <c r="BV519" s="571"/>
      <c r="BW519" s="571"/>
      <c r="BX519" s="571"/>
      <c r="BY519" s="571"/>
      <c r="BZ519" s="571"/>
      <c r="CA519" s="571"/>
      <c r="CB519" s="571"/>
      <c r="CC519" s="571"/>
    </row>
    <row r="520" spans="1:81" s="585" customFormat="1" ht="12.75" hidden="1" customHeight="1">
      <c r="A520" s="672"/>
      <c r="B520" s="585" t="s">
        <v>2427</v>
      </c>
      <c r="C520" s="586"/>
      <c r="E520" s="586"/>
      <c r="F520" s="586"/>
      <c r="G520" s="586"/>
      <c r="H520" s="586"/>
      <c r="I520" s="586"/>
      <c r="J520" s="586"/>
      <c r="K520" s="586"/>
      <c r="L520" s="586"/>
      <c r="M520" s="586"/>
      <c r="N520" s="586"/>
      <c r="O520" s="586"/>
      <c r="P520" s="586"/>
      <c r="Q520" s="586"/>
      <c r="R520" s="586"/>
      <c r="S520" s="586"/>
      <c r="T520" s="586"/>
      <c r="U520" s="586"/>
      <c r="V520" s="586"/>
      <c r="W520" s="586"/>
      <c r="X520" s="586"/>
      <c r="Y520" s="586"/>
      <c r="Z520" s="586"/>
      <c r="AA520" s="586"/>
      <c r="AB520" s="586"/>
      <c r="AC520" s="586"/>
      <c r="AD520" s="651"/>
      <c r="AE520" s="586"/>
      <c r="AF520" s="586"/>
      <c r="AG520" s="586"/>
      <c r="AH520" s="586"/>
      <c r="AN520" s="632"/>
      <c r="AP520" s="839"/>
      <c r="AQ520" s="839"/>
      <c r="AR520" s="839"/>
      <c r="AS520" s="839"/>
      <c r="AT520" s="839"/>
      <c r="AU520" s="839"/>
      <c r="AV520" s="839"/>
      <c r="AW520" s="839"/>
      <c r="AX520" s="839"/>
      <c r="AY520" s="839"/>
      <c r="BM520" s="571"/>
      <c r="BN520" s="571"/>
      <c r="BO520" s="571"/>
      <c r="BP520" s="571"/>
      <c r="BQ520" s="571"/>
      <c r="BR520" s="571"/>
      <c r="BS520" s="571"/>
      <c r="BT520" s="571"/>
      <c r="BU520" s="571"/>
      <c r="BV520" s="571"/>
      <c r="BW520" s="571"/>
      <c r="BX520" s="571"/>
      <c r="BY520" s="571"/>
      <c r="BZ520" s="571"/>
      <c r="CA520" s="571"/>
      <c r="CB520" s="571"/>
      <c r="CC520" s="571"/>
    </row>
    <row r="521" spans="1:81" s="585" customFormat="1" ht="12.75" hidden="1" customHeight="1">
      <c r="A521" s="672"/>
      <c r="B521" s="585" t="s">
        <v>1732</v>
      </c>
      <c r="C521" s="586"/>
      <c r="E521" s="586"/>
      <c r="F521" s="586"/>
      <c r="G521" s="586"/>
      <c r="H521" s="586"/>
      <c r="I521" s="586"/>
      <c r="J521" s="586"/>
      <c r="K521" s="586"/>
      <c r="L521" s="586"/>
      <c r="M521" s="586"/>
      <c r="N521" s="586"/>
      <c r="O521" s="586"/>
      <c r="P521" s="586"/>
      <c r="Q521" s="586"/>
      <c r="R521" s="586"/>
      <c r="S521" s="586"/>
      <c r="T521" s="586"/>
      <c r="U521" s="586"/>
      <c r="V521" s="586"/>
      <c r="W521" s="586"/>
      <c r="X521" s="586"/>
      <c r="Y521" s="586"/>
      <c r="Z521" s="586"/>
      <c r="AA521" s="586"/>
      <c r="AB521" s="586"/>
      <c r="AC521" s="586"/>
      <c r="AD521" s="651"/>
      <c r="AE521" s="586"/>
      <c r="AF521" s="586"/>
      <c r="AG521" s="586"/>
      <c r="AH521" s="586"/>
      <c r="AN521" s="632"/>
      <c r="AP521" s="839"/>
      <c r="AQ521" s="839"/>
      <c r="AR521" s="839"/>
      <c r="AS521" s="839"/>
      <c r="AT521" s="839"/>
      <c r="AU521" s="839"/>
      <c r="AV521" s="839"/>
      <c r="AW521" s="839"/>
      <c r="AX521" s="839"/>
      <c r="AY521" s="839"/>
      <c r="BM521" s="571"/>
      <c r="BN521" s="571"/>
      <c r="BO521" s="571"/>
      <c r="BP521" s="571"/>
      <c r="BQ521" s="571"/>
      <c r="BR521" s="571"/>
      <c r="BS521" s="571"/>
      <c r="BT521" s="571"/>
      <c r="BU521" s="571"/>
      <c r="BV521" s="571"/>
      <c r="BW521" s="571"/>
      <c r="BX521" s="571"/>
      <c r="BY521" s="571"/>
      <c r="BZ521" s="571"/>
      <c r="CA521" s="571"/>
      <c r="CB521" s="571"/>
      <c r="CC521" s="571"/>
    </row>
    <row r="522" spans="1:81" s="585" customFormat="1" ht="12.75" hidden="1" customHeight="1">
      <c r="A522" s="672"/>
      <c r="B522" s="585" t="s">
        <v>1733</v>
      </c>
      <c r="C522" s="586"/>
      <c r="E522" s="586"/>
      <c r="F522" s="586"/>
      <c r="G522" s="586"/>
      <c r="H522" s="586"/>
      <c r="I522" s="586"/>
      <c r="J522" s="586"/>
      <c r="K522" s="586"/>
      <c r="L522" s="586"/>
      <c r="M522" s="586"/>
      <c r="N522" s="586"/>
      <c r="O522" s="586"/>
      <c r="P522" s="586"/>
      <c r="Q522" s="586"/>
      <c r="R522" s="586"/>
      <c r="S522" s="586"/>
      <c r="T522" s="586"/>
      <c r="U522" s="586"/>
      <c r="V522" s="586"/>
      <c r="W522" s="586"/>
      <c r="X522" s="586"/>
      <c r="Y522" s="586"/>
      <c r="Z522" s="586"/>
      <c r="AA522" s="586"/>
      <c r="AB522" s="586"/>
      <c r="AC522" s="586"/>
      <c r="AD522" s="651"/>
      <c r="AE522" s="586"/>
      <c r="AF522" s="586"/>
      <c r="AG522" s="586"/>
      <c r="AH522" s="586"/>
      <c r="AN522" s="632"/>
    </row>
    <row r="523" spans="1:81" s="585" customFormat="1" ht="12.75" hidden="1" customHeight="1">
      <c r="A523" s="840"/>
      <c r="C523" s="586"/>
      <c r="E523" s="586"/>
      <c r="F523" s="586"/>
      <c r="G523" s="586"/>
      <c r="H523" s="586"/>
      <c r="I523" s="586"/>
      <c r="J523" s="586"/>
      <c r="K523" s="586"/>
      <c r="L523" s="586"/>
      <c r="M523" s="586"/>
      <c r="N523" s="586"/>
      <c r="O523" s="586"/>
      <c r="P523" s="586"/>
      <c r="Q523" s="586"/>
      <c r="R523" s="586"/>
      <c r="S523" s="586"/>
      <c r="T523" s="586"/>
      <c r="U523" s="586"/>
      <c r="V523" s="586"/>
      <c r="W523" s="586"/>
      <c r="X523" s="586"/>
      <c r="Y523" s="586"/>
      <c r="Z523" s="586"/>
      <c r="AA523" s="586"/>
      <c r="AB523" s="586"/>
      <c r="AC523" s="586"/>
      <c r="AD523" s="651"/>
      <c r="AE523" s="586"/>
      <c r="AF523" s="586"/>
      <c r="AG523" s="586"/>
      <c r="AH523" s="586"/>
      <c r="AN523" s="632"/>
    </row>
    <row r="524" spans="1:81" s="585" customFormat="1" ht="12.75" hidden="1" customHeight="1">
      <c r="A524" s="641"/>
      <c r="B524" s="699"/>
      <c r="C524" s="699"/>
      <c r="D524" s="699"/>
      <c r="E524" s="699"/>
      <c r="F524" s="699"/>
      <c r="G524" s="699"/>
      <c r="H524" s="699"/>
      <c r="I524" s="699"/>
      <c r="J524" s="699"/>
      <c r="K524" s="699"/>
      <c r="L524" s="699"/>
      <c r="M524" s="699"/>
      <c r="N524" s="699"/>
      <c r="O524" s="699"/>
      <c r="P524" s="699"/>
      <c r="Q524" s="699"/>
      <c r="R524" s="699"/>
      <c r="S524" s="699"/>
      <c r="T524" s="699"/>
      <c r="U524" s="699"/>
      <c r="V524" s="699"/>
      <c r="W524" s="699"/>
      <c r="X524" s="699"/>
      <c r="Y524" s="699"/>
      <c r="Z524" s="699"/>
      <c r="AA524" s="699"/>
      <c r="AB524" s="699"/>
      <c r="AC524" s="700"/>
      <c r="AD524" s="699"/>
      <c r="AE524" s="699"/>
      <c r="AF524" s="699"/>
      <c r="AG524" s="699"/>
      <c r="AH524" s="599"/>
      <c r="AI524" s="600"/>
      <c r="AJ524" s="600" t="s">
        <v>1734</v>
      </c>
      <c r="AK524" s="1947">
        <f>SUM(AG468:AG513)</f>
        <v>0</v>
      </c>
      <c r="AL524" s="1948"/>
      <c r="AM524" s="1949"/>
      <c r="AN524" s="632"/>
      <c r="AP524" s="571"/>
      <c r="AQ524" s="571"/>
      <c r="AR524" s="571"/>
      <c r="AS524" s="571"/>
      <c r="AT524" s="571"/>
      <c r="AU524" s="571"/>
      <c r="AV524" s="571"/>
      <c r="AW524" s="571"/>
      <c r="AX524" s="571"/>
      <c r="AY524" s="571"/>
      <c r="AZ524" s="571"/>
    </row>
    <row r="525" spans="1:81" s="585" customFormat="1" ht="12.75" hidden="1" customHeight="1" thickBot="1">
      <c r="B525" s="586"/>
      <c r="C525" s="586"/>
      <c r="D525" s="586"/>
      <c r="E525" s="586"/>
      <c r="F525" s="586"/>
      <c r="G525" s="586"/>
      <c r="H525" s="586"/>
      <c r="I525" s="586"/>
      <c r="J525" s="586"/>
      <c r="K525" s="586"/>
      <c r="L525" s="586"/>
      <c r="M525" s="586"/>
      <c r="N525" s="586"/>
      <c r="O525" s="586"/>
      <c r="P525" s="586"/>
      <c r="Q525" s="586"/>
      <c r="R525" s="586"/>
      <c r="S525" s="586"/>
      <c r="T525" s="586"/>
      <c r="U525" s="586"/>
      <c r="V525" s="586"/>
      <c r="W525" s="586"/>
      <c r="X525" s="586"/>
      <c r="Y525" s="586"/>
      <c r="Z525" s="586"/>
      <c r="AA525" s="586"/>
      <c r="AB525" s="586"/>
      <c r="AC525" s="651"/>
      <c r="AD525" s="586"/>
      <c r="AE525" s="586"/>
      <c r="AF525" s="586"/>
      <c r="AG525" s="586"/>
      <c r="AI525" s="578"/>
      <c r="AJ525" s="578"/>
      <c r="AK525" s="630"/>
      <c r="AL525" s="630"/>
      <c r="AM525" s="630"/>
      <c r="AN525" s="632"/>
      <c r="AP525" s="571"/>
      <c r="AQ525" s="571"/>
      <c r="AR525" s="571"/>
      <c r="AS525" s="571"/>
      <c r="AT525" s="571"/>
      <c r="AU525" s="571"/>
      <c r="AV525" s="571"/>
      <c r="AW525" s="571"/>
      <c r="AX525" s="571"/>
      <c r="AY525" s="571"/>
      <c r="AZ525" s="571"/>
    </row>
    <row r="526" spans="1:81" ht="13.5" thickTop="1"/>
    <row r="527" spans="1:81" s="585" customFormat="1" ht="12.75" customHeight="1">
      <c r="A527" s="574" t="s">
        <v>1735</v>
      </c>
      <c r="B527" s="574" t="s">
        <v>1736</v>
      </c>
      <c r="C527" s="586"/>
      <c r="D527" s="586"/>
      <c r="E527" s="586"/>
      <c r="F527" s="586"/>
      <c r="G527" s="586"/>
      <c r="H527" s="586"/>
      <c r="I527" s="586"/>
      <c r="J527" s="586"/>
      <c r="K527" s="586"/>
      <c r="L527" s="586"/>
      <c r="M527" s="586"/>
      <c r="N527" s="586"/>
      <c r="O527" s="586"/>
      <c r="P527" s="586"/>
      <c r="Q527" s="586"/>
      <c r="R527" s="586"/>
      <c r="S527" s="586"/>
      <c r="T527" s="586"/>
      <c r="U527" s="586"/>
      <c r="V527" s="586"/>
      <c r="W527" s="586"/>
      <c r="X527" s="586"/>
      <c r="Y527" s="586"/>
      <c r="Z527" s="586"/>
      <c r="AA527" s="586"/>
      <c r="AB527" s="586"/>
      <c r="AC527" s="651"/>
      <c r="AD527" s="586"/>
      <c r="AE527" s="1882" t="s">
        <v>1737</v>
      </c>
      <c r="AF527" s="1882"/>
      <c r="AG527" s="1882"/>
      <c r="AH527" s="1882"/>
      <c r="AI527" s="1882"/>
      <c r="AJ527" s="1882"/>
      <c r="AK527" s="1882"/>
      <c r="AL527" s="630"/>
      <c r="AM527" s="630"/>
      <c r="AN527" s="632"/>
    </row>
    <row r="528" spans="1:81" s="585" customFormat="1" ht="12.75" customHeight="1">
      <c r="A528" s="574"/>
      <c r="B528" s="574" t="s">
        <v>1496</v>
      </c>
      <c r="C528" s="586"/>
      <c r="D528" s="586"/>
      <c r="E528" s="586"/>
      <c r="F528" s="586"/>
      <c r="G528" s="586"/>
      <c r="H528" s="586"/>
      <c r="I528" s="586"/>
      <c r="J528" s="586"/>
      <c r="K528" s="586"/>
      <c r="L528" s="586"/>
      <c r="M528" s="586"/>
      <c r="N528" s="586"/>
      <c r="O528" s="586"/>
      <c r="P528" s="586"/>
      <c r="Q528" s="586"/>
      <c r="R528" s="586"/>
      <c r="S528" s="586"/>
      <c r="T528" s="586"/>
      <c r="U528" s="586"/>
      <c r="V528" s="586"/>
      <c r="W528" s="586"/>
      <c r="X528" s="586"/>
      <c r="Y528" s="586"/>
      <c r="Z528" s="586"/>
      <c r="AA528" s="586"/>
      <c r="AB528" s="586"/>
      <c r="AC528" s="651"/>
      <c r="AD528" s="586"/>
      <c r="AE528" s="578"/>
      <c r="AF528" s="578"/>
      <c r="AG528" s="578"/>
      <c r="AH528" s="578"/>
      <c r="AI528" s="578"/>
      <c r="AJ528" s="578"/>
      <c r="AK528" s="578"/>
      <c r="AL528" s="630"/>
      <c r="AM528" s="630"/>
      <c r="AN528" s="632"/>
    </row>
    <row r="529" spans="1:49" s="585" customFormat="1" ht="12.75" customHeight="1">
      <c r="A529" s="574"/>
      <c r="B529" s="574"/>
      <c r="C529" s="586"/>
      <c r="D529" s="586"/>
      <c r="E529" s="586"/>
      <c r="F529" s="586"/>
      <c r="G529" s="586"/>
      <c r="H529" s="586"/>
      <c r="I529" s="586"/>
      <c r="J529" s="586"/>
      <c r="K529" s="586"/>
      <c r="L529" s="586"/>
      <c r="M529" s="586"/>
      <c r="N529" s="586"/>
      <c r="O529" s="586"/>
      <c r="P529" s="586"/>
      <c r="Q529" s="586"/>
      <c r="R529" s="586"/>
      <c r="S529" s="586"/>
      <c r="T529" s="586"/>
      <c r="U529" s="586"/>
      <c r="V529" s="586"/>
      <c r="W529" s="586"/>
      <c r="X529" s="586"/>
      <c r="Y529" s="586"/>
      <c r="Z529" s="586"/>
      <c r="AA529" s="586"/>
      <c r="AB529" s="586"/>
      <c r="AC529" s="651"/>
      <c r="AD529" s="586"/>
      <c r="AE529" s="578"/>
      <c r="AF529" s="578"/>
      <c r="AG529" s="578"/>
      <c r="AH529" s="578"/>
      <c r="AI529" s="578"/>
      <c r="AJ529" s="578"/>
      <c r="AK529" s="578"/>
      <c r="AL529" s="630"/>
      <c r="AM529" s="630"/>
      <c r="AN529" s="632"/>
    </row>
    <row r="530" spans="1:49" s="585" customFormat="1" ht="12.75" customHeight="1">
      <c r="A530" s="574"/>
      <c r="B530" s="574"/>
      <c r="C530" s="1944" t="s">
        <v>600</v>
      </c>
      <c r="D530" s="1944"/>
      <c r="E530" s="586"/>
      <c r="F530" s="2026" t="s">
        <v>1738</v>
      </c>
      <c r="G530" s="2027"/>
      <c r="H530" s="2027"/>
      <c r="I530" s="2027"/>
      <c r="J530" s="2027"/>
      <c r="K530" s="2027"/>
      <c r="L530" s="2027"/>
      <c r="M530" s="2027"/>
      <c r="N530" s="2027"/>
      <c r="O530" s="2027"/>
      <c r="P530" s="2027"/>
      <c r="Q530" s="2027"/>
      <c r="R530" s="2027"/>
      <c r="S530" s="2027"/>
      <c r="T530" s="2027"/>
      <c r="U530" s="2027"/>
      <c r="V530" s="2027"/>
      <c r="W530" s="2027"/>
      <c r="X530" s="2027"/>
      <c r="Y530" s="2027"/>
      <c r="Z530" s="2027"/>
      <c r="AA530" s="2027"/>
      <c r="AB530" s="2027"/>
      <c r="AC530" s="2027"/>
      <c r="AD530" s="2027"/>
      <c r="AE530" s="2027"/>
      <c r="AF530" s="2027"/>
      <c r="AG530" s="2027"/>
      <c r="AH530" s="2027"/>
      <c r="AI530" s="2027"/>
      <c r="AJ530" s="2027"/>
      <c r="AK530" s="2027"/>
      <c r="AL530" s="2028"/>
      <c r="AM530" s="630"/>
      <c r="AN530" s="632"/>
    </row>
    <row r="531" spans="1:49" s="585" customFormat="1" ht="12.75" customHeight="1">
      <c r="A531" s="574"/>
      <c r="B531" s="574"/>
      <c r="C531" s="586"/>
      <c r="D531" s="586"/>
      <c r="E531" s="586"/>
      <c r="F531" s="2029"/>
      <c r="G531" s="2030"/>
      <c r="H531" s="2030"/>
      <c r="I531" s="2030"/>
      <c r="J531" s="2030"/>
      <c r="K531" s="2030"/>
      <c r="L531" s="2030"/>
      <c r="M531" s="2030"/>
      <c r="N531" s="2030"/>
      <c r="O531" s="2030"/>
      <c r="P531" s="2030"/>
      <c r="Q531" s="2030"/>
      <c r="R531" s="2030"/>
      <c r="S531" s="2030"/>
      <c r="T531" s="2030"/>
      <c r="U531" s="2030"/>
      <c r="V531" s="2030"/>
      <c r="W531" s="2030"/>
      <c r="X531" s="2030"/>
      <c r="Y531" s="2030"/>
      <c r="Z531" s="2030"/>
      <c r="AA531" s="2030"/>
      <c r="AB531" s="2030"/>
      <c r="AC531" s="2030"/>
      <c r="AD531" s="2030"/>
      <c r="AE531" s="2030"/>
      <c r="AF531" s="2030"/>
      <c r="AG531" s="2030"/>
      <c r="AH531" s="2030"/>
      <c r="AI531" s="2030"/>
      <c r="AJ531" s="2030"/>
      <c r="AK531" s="2030"/>
      <c r="AL531" s="2031"/>
      <c r="AM531" s="630"/>
      <c r="AN531" s="632"/>
    </row>
    <row r="532" spans="1:49" s="585" customFormat="1" ht="12.75" customHeight="1">
      <c r="A532" s="574"/>
      <c r="B532" s="574"/>
      <c r="C532" s="586"/>
      <c r="D532" s="586"/>
      <c r="E532" s="586"/>
      <c r="F532" s="841"/>
      <c r="G532" s="841"/>
      <c r="H532" s="841"/>
      <c r="I532" s="841"/>
      <c r="J532" s="841"/>
      <c r="K532" s="841"/>
      <c r="L532" s="841"/>
      <c r="M532" s="841"/>
      <c r="N532" s="841"/>
      <c r="O532" s="841"/>
      <c r="P532" s="841"/>
      <c r="Q532" s="841"/>
      <c r="R532" s="841"/>
      <c r="S532" s="841"/>
      <c r="T532" s="841"/>
      <c r="U532" s="841"/>
      <c r="V532" s="841"/>
      <c r="W532" s="841"/>
      <c r="X532" s="841"/>
      <c r="Y532" s="841"/>
      <c r="Z532" s="841"/>
      <c r="AA532" s="841"/>
      <c r="AB532" s="841"/>
      <c r="AC532" s="841"/>
      <c r="AD532" s="841"/>
      <c r="AE532" s="841"/>
      <c r="AF532" s="841"/>
      <c r="AG532" s="841"/>
      <c r="AH532" s="841"/>
      <c r="AI532" s="841"/>
      <c r="AJ532" s="841"/>
      <c r="AK532" s="841"/>
      <c r="AL532" s="841"/>
      <c r="AM532" s="630"/>
      <c r="AN532" s="632"/>
    </row>
    <row r="533" spans="1:49" s="585" customFormat="1" ht="12.75" customHeight="1">
      <c r="A533" s="574"/>
      <c r="B533" s="842"/>
      <c r="C533" s="1944" t="s">
        <v>554</v>
      </c>
      <c r="D533" s="1944"/>
      <c r="E533" s="842"/>
      <c r="F533" s="679" t="s">
        <v>1739</v>
      </c>
      <c r="G533" s="843"/>
      <c r="H533" s="844"/>
      <c r="I533" s="844"/>
      <c r="J533" s="844"/>
      <c r="K533" s="844"/>
      <c r="L533" s="844"/>
      <c r="M533" s="844"/>
      <c r="N533" s="844"/>
      <c r="O533" s="844"/>
      <c r="P533" s="844"/>
      <c r="Q533" s="844"/>
      <c r="R533" s="844"/>
      <c r="S533" s="844"/>
      <c r="T533" s="844"/>
      <c r="U533" s="844"/>
      <c r="V533" s="844"/>
      <c r="W533" s="844"/>
      <c r="X533" s="844"/>
      <c r="Y533" s="844"/>
      <c r="Z533" s="844"/>
      <c r="AA533" s="844"/>
      <c r="AB533" s="844"/>
      <c r="AC533" s="844"/>
      <c r="AD533" s="844"/>
      <c r="AE533" s="844"/>
      <c r="AF533" s="844"/>
      <c r="AG533" s="844"/>
      <c r="AH533" s="844"/>
      <c r="AI533" s="844"/>
      <c r="AJ533" s="844"/>
      <c r="AK533" s="845"/>
      <c r="AL533" s="846"/>
      <c r="AM533" s="630"/>
      <c r="AN533" s="632"/>
    </row>
    <row r="534" spans="1:49" s="585" customFormat="1" ht="12.75" customHeight="1">
      <c r="B534" s="842"/>
      <c r="C534" s="842"/>
      <c r="D534" s="842"/>
      <c r="E534" s="842"/>
      <c r="F534" s="1966" t="s">
        <v>1740</v>
      </c>
      <c r="G534" s="1967"/>
      <c r="H534" s="1967"/>
      <c r="I534" s="1967"/>
      <c r="J534" s="1967"/>
      <c r="K534" s="1967"/>
      <c r="L534" s="1967"/>
      <c r="M534" s="1967"/>
      <c r="N534" s="1967"/>
      <c r="O534" s="1967"/>
      <c r="P534" s="1967"/>
      <c r="Q534" s="1967"/>
      <c r="R534" s="1967"/>
      <c r="S534" s="1967"/>
      <c r="T534" s="1967"/>
      <c r="U534" s="1967"/>
      <c r="V534" s="1967"/>
      <c r="W534" s="1967"/>
      <c r="X534" s="1967"/>
      <c r="Y534" s="1967"/>
      <c r="Z534" s="1967"/>
      <c r="AA534" s="1967"/>
      <c r="AB534" s="1967"/>
      <c r="AC534" s="1967"/>
      <c r="AD534" s="1967"/>
      <c r="AE534" s="1967"/>
      <c r="AF534" s="1967"/>
      <c r="AG534" s="1967"/>
      <c r="AH534" s="1967"/>
      <c r="AI534" s="1967"/>
      <c r="AJ534" s="1967"/>
      <c r="AK534" s="1967"/>
      <c r="AL534" s="1968"/>
      <c r="AM534" s="630"/>
      <c r="AN534" s="632"/>
      <c r="AS534" s="906"/>
      <c r="AT534" s="906"/>
      <c r="AU534" s="906"/>
      <c r="AV534" s="906"/>
      <c r="AW534" s="906"/>
    </row>
    <row r="535" spans="1:49" s="585" customFormat="1" ht="12.75" customHeight="1">
      <c r="B535" s="842"/>
      <c r="C535" s="842"/>
      <c r="D535" s="842"/>
      <c r="E535" s="842"/>
      <c r="F535" s="1966"/>
      <c r="G535" s="1967"/>
      <c r="H535" s="1967"/>
      <c r="I535" s="1967"/>
      <c r="J535" s="1967"/>
      <c r="K535" s="1967"/>
      <c r="L535" s="1967"/>
      <c r="M535" s="1967"/>
      <c r="N535" s="1967"/>
      <c r="O535" s="1967"/>
      <c r="P535" s="1967"/>
      <c r="Q535" s="1967"/>
      <c r="R535" s="1967"/>
      <c r="S535" s="1967"/>
      <c r="T535" s="1967"/>
      <c r="U535" s="1967"/>
      <c r="V535" s="1967"/>
      <c r="W535" s="1967"/>
      <c r="X535" s="1967"/>
      <c r="Y535" s="1967"/>
      <c r="Z535" s="1967"/>
      <c r="AA535" s="1967"/>
      <c r="AB535" s="1967"/>
      <c r="AC535" s="1967"/>
      <c r="AD535" s="1967"/>
      <c r="AE535" s="1967"/>
      <c r="AF535" s="1967"/>
      <c r="AG535" s="1967"/>
      <c r="AH535" s="1967"/>
      <c r="AI535" s="1967"/>
      <c r="AJ535" s="1967"/>
      <c r="AK535" s="1967"/>
      <c r="AL535" s="1968"/>
      <c r="AM535" s="630"/>
      <c r="AN535" s="632"/>
    </row>
    <row r="536" spans="1:49" s="585" customFormat="1" ht="12.75" customHeight="1">
      <c r="B536" s="842"/>
      <c r="C536" s="842"/>
      <c r="D536" s="842"/>
      <c r="E536" s="842"/>
      <c r="F536" s="847" t="s">
        <v>2428</v>
      </c>
      <c r="G536" s="651"/>
      <c r="H536" s="651"/>
      <c r="I536" s="651"/>
      <c r="J536" s="651"/>
      <c r="K536" s="651"/>
      <c r="L536" s="651"/>
      <c r="M536" s="651"/>
      <c r="N536" s="651"/>
      <c r="O536" s="651"/>
      <c r="P536" s="651"/>
      <c r="Q536" s="651"/>
      <c r="R536" s="651"/>
      <c r="S536" s="651"/>
      <c r="T536" s="651"/>
      <c r="U536" s="651"/>
      <c r="V536" s="651"/>
      <c r="W536" s="651"/>
      <c r="X536" s="651"/>
      <c r="Y536" s="651"/>
      <c r="Z536" s="651"/>
      <c r="AA536" s="651"/>
      <c r="AB536" s="651"/>
      <c r="AC536" s="651"/>
      <c r="AD536" s="651"/>
      <c r="AE536" s="651"/>
      <c r="AF536" s="651"/>
      <c r="AG536" s="651"/>
      <c r="AH536" s="651"/>
      <c r="AI536" s="651"/>
      <c r="AJ536" s="651"/>
      <c r="AK536" s="651"/>
      <c r="AL536" s="848"/>
      <c r="AM536" s="630"/>
      <c r="AN536" s="632"/>
    </row>
    <row r="537" spans="1:49" s="585" customFormat="1" ht="12.75" customHeight="1">
      <c r="B537" s="842"/>
      <c r="C537" s="842"/>
      <c r="D537" s="842"/>
      <c r="E537" s="842"/>
      <c r="F537" s="1966" t="s">
        <v>1741</v>
      </c>
      <c r="G537" s="1967"/>
      <c r="H537" s="1967"/>
      <c r="I537" s="1967"/>
      <c r="J537" s="1967"/>
      <c r="K537" s="1967"/>
      <c r="L537" s="1967"/>
      <c r="M537" s="1967"/>
      <c r="N537" s="1967"/>
      <c r="O537" s="1967"/>
      <c r="P537" s="1967"/>
      <c r="Q537" s="1967"/>
      <c r="R537" s="1967"/>
      <c r="S537" s="1967"/>
      <c r="T537" s="1967"/>
      <c r="U537" s="1967"/>
      <c r="V537" s="1967"/>
      <c r="W537" s="1967"/>
      <c r="X537" s="1967"/>
      <c r="Y537" s="1967"/>
      <c r="Z537" s="1967"/>
      <c r="AA537" s="1967"/>
      <c r="AB537" s="1967"/>
      <c r="AC537" s="1967"/>
      <c r="AD537" s="1967"/>
      <c r="AE537" s="1967"/>
      <c r="AF537" s="1967"/>
      <c r="AG537" s="1967"/>
      <c r="AH537" s="1967"/>
      <c r="AI537" s="1967"/>
      <c r="AJ537" s="1967"/>
      <c r="AK537" s="1967"/>
      <c r="AL537" s="849"/>
      <c r="AM537" s="630"/>
      <c r="AN537" s="632"/>
    </row>
    <row r="538" spans="1:49" s="585" customFormat="1" ht="12.75" customHeight="1">
      <c r="B538" s="842"/>
      <c r="C538" s="842"/>
      <c r="D538" s="842"/>
      <c r="E538" s="842"/>
      <c r="F538" s="1969"/>
      <c r="G538" s="1970"/>
      <c r="H538" s="1970"/>
      <c r="I538" s="1970"/>
      <c r="J538" s="1970"/>
      <c r="K538" s="1970"/>
      <c r="L538" s="1970"/>
      <c r="M538" s="1970"/>
      <c r="N538" s="1970"/>
      <c r="O538" s="1970"/>
      <c r="P538" s="1970"/>
      <c r="Q538" s="1970"/>
      <c r="R538" s="1970"/>
      <c r="S538" s="1970"/>
      <c r="T538" s="1970"/>
      <c r="U538" s="1970"/>
      <c r="V538" s="1970"/>
      <c r="W538" s="1970"/>
      <c r="X538" s="1970"/>
      <c r="Y538" s="1970"/>
      <c r="Z538" s="1970"/>
      <c r="AA538" s="1970"/>
      <c r="AB538" s="1970"/>
      <c r="AC538" s="1970"/>
      <c r="AD538" s="1970"/>
      <c r="AE538" s="1970"/>
      <c r="AF538" s="1970"/>
      <c r="AG538" s="1970"/>
      <c r="AH538" s="1970"/>
      <c r="AI538" s="1970"/>
      <c r="AJ538" s="1970"/>
      <c r="AK538" s="1970"/>
      <c r="AL538" s="850"/>
      <c r="AM538" s="630"/>
      <c r="AN538" s="632"/>
    </row>
    <row r="539" spans="1:49" s="585" customFormat="1" ht="12.75" customHeight="1">
      <c r="B539" s="842"/>
      <c r="C539" s="842"/>
      <c r="D539" s="842"/>
      <c r="E539" s="842"/>
      <c r="F539" s="677"/>
      <c r="G539" s="677"/>
      <c r="H539" s="677"/>
      <c r="I539" s="677"/>
      <c r="J539" s="677"/>
      <c r="K539" s="677"/>
      <c r="L539" s="677"/>
      <c r="M539" s="677"/>
      <c r="N539" s="677"/>
      <c r="O539" s="677"/>
      <c r="P539" s="677"/>
      <c r="Q539" s="677"/>
      <c r="R539" s="677"/>
      <c r="S539" s="677"/>
      <c r="T539" s="677"/>
      <c r="U539" s="677"/>
      <c r="V539" s="677"/>
      <c r="W539" s="677"/>
      <c r="X539" s="677"/>
      <c r="Y539" s="677"/>
      <c r="Z539" s="677"/>
      <c r="AA539" s="677"/>
      <c r="AB539" s="677"/>
      <c r="AC539" s="677"/>
      <c r="AD539" s="677"/>
      <c r="AE539" s="677"/>
      <c r="AF539" s="677"/>
      <c r="AG539" s="677"/>
      <c r="AH539" s="677"/>
      <c r="AI539" s="677"/>
      <c r="AJ539" s="677"/>
      <c r="AK539" s="677"/>
      <c r="AL539" s="630"/>
      <c r="AM539" s="630"/>
      <c r="AN539" s="632"/>
      <c r="AP539" s="2090">
        <f>Application!AJ961</f>
        <v>78477978</v>
      </c>
      <c r="AQ539" s="2090"/>
      <c r="AR539" s="2090"/>
    </row>
    <row r="540" spans="1:49" s="585" customFormat="1" ht="12.75" customHeight="1">
      <c r="A540" s="533"/>
      <c r="B540" s="482" t="s">
        <v>1742</v>
      </c>
      <c r="C540" s="658"/>
      <c r="D540" s="658"/>
      <c r="E540" s="658"/>
      <c r="F540" s="14"/>
      <c r="G540" s="659"/>
      <c r="H540" s="659"/>
      <c r="I540" s="659"/>
      <c r="J540" s="659"/>
      <c r="K540" s="659"/>
      <c r="L540" s="659"/>
      <c r="M540" s="659"/>
      <c r="N540" s="659"/>
      <c r="O540" s="659"/>
      <c r="P540" s="659"/>
      <c r="Q540" s="659"/>
      <c r="R540" s="14"/>
      <c r="S540" s="14"/>
      <c r="T540" s="14"/>
      <c r="U540" s="14"/>
      <c r="V540" s="14"/>
      <c r="W540" s="14"/>
      <c r="X540" s="659"/>
      <c r="Y540" s="659"/>
      <c r="Z540" s="659"/>
      <c r="AA540" s="657"/>
      <c r="AB540" s="657"/>
      <c r="AC540" s="657"/>
      <c r="AD540" s="657"/>
      <c r="AE540" s="14"/>
      <c r="AF540" s="1950">
        <f>'Sources and Uses Budget'!S107+'Sources and Uses Budget'!T107</f>
        <v>62824753</v>
      </c>
      <c r="AG540" s="1950"/>
      <c r="AH540" s="1950"/>
      <c r="AI540" s="1950"/>
      <c r="AJ540" s="1950"/>
      <c r="AK540" s="630"/>
      <c r="AL540" s="630"/>
      <c r="AM540" s="630"/>
      <c r="AN540" s="632"/>
    </row>
    <row r="541" spans="1:49" s="585" customFormat="1" ht="12.75" customHeight="1">
      <c r="A541" s="660"/>
      <c r="B541" s="660" t="s">
        <v>1743</v>
      </c>
      <c r="C541" s="659"/>
      <c r="D541" s="659"/>
      <c r="E541" s="661"/>
      <c r="F541" s="661"/>
      <c r="G541" s="661"/>
      <c r="H541" s="661"/>
      <c r="I541" s="661"/>
      <c r="J541" s="661"/>
      <c r="K541" s="661"/>
      <c r="L541" s="659"/>
      <c r="M541" s="661"/>
      <c r="N541" s="661"/>
      <c r="O541" s="661"/>
      <c r="P541" s="661"/>
      <c r="Q541" s="661"/>
      <c r="R541" s="14"/>
      <c r="S541" s="14"/>
      <c r="T541" s="14"/>
      <c r="U541" s="14"/>
      <c r="V541" s="14"/>
      <c r="W541" s="14"/>
      <c r="X541" s="659"/>
      <c r="Y541" s="659"/>
      <c r="Z541" s="659"/>
      <c r="AA541" s="657"/>
      <c r="AB541" s="657"/>
      <c r="AC541" s="657"/>
      <c r="AD541" s="657"/>
      <c r="AE541" s="14"/>
      <c r="AF541" s="2095">
        <f>IFERROR(AP548,0)</f>
        <v>133790052</v>
      </c>
      <c r="AG541" s="2095"/>
      <c r="AH541" s="2095"/>
      <c r="AI541" s="2095"/>
      <c r="AJ541" s="2095"/>
      <c r="AK541" s="630"/>
      <c r="AL541" s="630"/>
      <c r="AM541" s="630"/>
      <c r="AN541" s="632"/>
      <c r="AP541" s="2090">
        <f>Application!AJ1010</f>
        <v>23543393.399999999</v>
      </c>
      <c r="AQ541" s="2090"/>
      <c r="AR541" s="2090"/>
    </row>
    <row r="542" spans="1:49" s="585" customFormat="1" ht="12.75" customHeight="1">
      <c r="A542" s="659"/>
      <c r="B542" s="659" t="s">
        <v>13</v>
      </c>
      <c r="C542" s="659"/>
      <c r="D542" s="659"/>
      <c r="E542" s="659"/>
      <c r="F542" s="659"/>
      <c r="G542" s="659"/>
      <c r="H542" s="659"/>
      <c r="I542" s="659"/>
      <c r="J542" s="659"/>
      <c r="K542" s="659"/>
      <c r="L542" s="659"/>
      <c r="M542" s="659"/>
      <c r="N542" s="659"/>
      <c r="O542" s="659"/>
      <c r="P542" s="659"/>
      <c r="Q542" s="659"/>
      <c r="R542" s="14"/>
      <c r="S542" s="14"/>
      <c r="T542" s="14"/>
      <c r="U542" s="14"/>
      <c r="V542" s="14"/>
      <c r="W542" s="14"/>
      <c r="X542" s="659"/>
      <c r="Y542" s="659"/>
      <c r="Z542" s="659"/>
      <c r="AA542" s="657"/>
      <c r="AB542" s="657"/>
      <c r="AC542" s="657"/>
      <c r="AD542" s="657"/>
      <c r="AE542" s="14"/>
      <c r="AF542" s="2096">
        <f>IFERROR(ROUNDDOWN(IF(C533="YES",((1-(AF540/AF541))*2),(1-(AF540/AF541))),2),0)</f>
        <v>1.06</v>
      </c>
      <c r="AG542" s="2096"/>
      <c r="AH542" s="2096"/>
      <c r="AI542" s="2096"/>
      <c r="AJ542" s="2096"/>
      <c r="AK542" s="630"/>
      <c r="AL542" s="630"/>
      <c r="AM542" s="630"/>
      <c r="AN542" s="632"/>
      <c r="AP542" s="2093">
        <f>Application!AJ1014</f>
        <v>15695595.600000001</v>
      </c>
      <c r="AQ542" s="2093"/>
      <c r="AR542" s="2093"/>
    </row>
    <row r="543" spans="1:49" s="585" customFormat="1" ht="12.75" customHeight="1">
      <c r="A543" s="659"/>
      <c r="B543" s="659"/>
      <c r="C543" s="659"/>
      <c r="D543" s="659"/>
      <c r="E543" s="659"/>
      <c r="F543" s="659"/>
      <c r="G543" s="659"/>
      <c r="H543" s="659"/>
      <c r="I543" s="659"/>
      <c r="J543" s="659"/>
      <c r="K543" s="659"/>
      <c r="L543" s="659"/>
      <c r="M543" s="659"/>
      <c r="N543" s="659"/>
      <c r="O543" s="659"/>
      <c r="P543" s="659"/>
      <c r="Q543" s="659"/>
      <c r="R543" s="14"/>
      <c r="S543" s="14"/>
      <c r="T543" s="14"/>
      <c r="U543" s="14"/>
      <c r="V543" s="14"/>
      <c r="W543" s="14"/>
      <c r="X543" s="659"/>
      <c r="Y543" s="659"/>
      <c r="Z543" s="659"/>
      <c r="AA543" s="657"/>
      <c r="AB543" s="657"/>
      <c r="AC543" s="657"/>
      <c r="AD543" s="657"/>
      <c r="AE543" s="14"/>
      <c r="AF543" s="851"/>
      <c r="AG543" s="851"/>
      <c r="AH543" s="851"/>
      <c r="AI543" s="851"/>
      <c r="AJ543" s="851"/>
      <c r="AK543" s="630"/>
      <c r="AL543" s="630"/>
      <c r="AM543" s="630"/>
      <c r="AN543" s="632"/>
      <c r="AP543" s="2089">
        <f>IF(((AP541+AP542)/AP539)&gt;0.8,0.8,((AP541+AP542)/AP539))</f>
        <v>0.5</v>
      </c>
      <c r="AQ543" s="2089"/>
      <c r="AR543" s="2089"/>
    </row>
    <row r="544" spans="1:49" s="585" customFormat="1" ht="12.75" customHeight="1">
      <c r="A544" s="659"/>
      <c r="B544" s="2042" t="s">
        <v>2429</v>
      </c>
      <c r="C544" s="2043"/>
      <c r="D544" s="2043"/>
      <c r="E544" s="2043"/>
      <c r="F544" s="2043"/>
      <c r="G544" s="2043"/>
      <c r="H544" s="2043"/>
      <c r="I544" s="2043"/>
      <c r="J544" s="2043"/>
      <c r="K544" s="2043"/>
      <c r="L544" s="2043"/>
      <c r="M544" s="2043"/>
      <c r="N544" s="2043"/>
      <c r="O544" s="2043"/>
      <c r="P544" s="2043"/>
      <c r="Q544" s="2043"/>
      <c r="R544" s="2043"/>
      <c r="S544" s="2043"/>
      <c r="T544" s="2043"/>
      <c r="U544" s="2043"/>
      <c r="V544" s="2043"/>
      <c r="W544" s="2043"/>
      <c r="X544" s="2043"/>
      <c r="Y544" s="2043"/>
      <c r="Z544" s="2043"/>
      <c r="AA544" s="2043"/>
      <c r="AB544" s="2043"/>
      <c r="AC544" s="2043"/>
      <c r="AD544" s="2043"/>
      <c r="AE544" s="2043"/>
      <c r="AF544" s="2043"/>
      <c r="AG544" s="2043"/>
      <c r="AH544" s="2043"/>
      <c r="AI544" s="2043"/>
      <c r="AJ544" s="2044"/>
      <c r="AK544" s="630"/>
      <c r="AL544" s="630"/>
      <c r="AM544" s="630"/>
      <c r="AN544" s="632"/>
    </row>
    <row r="545" spans="1:44" s="585" customFormat="1" ht="12.75" customHeight="1">
      <c r="A545" s="659"/>
      <c r="B545" s="2045"/>
      <c r="C545" s="2046"/>
      <c r="D545" s="2046"/>
      <c r="E545" s="2046"/>
      <c r="F545" s="2046"/>
      <c r="G545" s="2046"/>
      <c r="H545" s="2046"/>
      <c r="I545" s="2046"/>
      <c r="J545" s="2046"/>
      <c r="K545" s="2046"/>
      <c r="L545" s="2046"/>
      <c r="M545" s="2046"/>
      <c r="N545" s="2046"/>
      <c r="O545" s="2046"/>
      <c r="P545" s="2046"/>
      <c r="Q545" s="2046"/>
      <c r="R545" s="2046"/>
      <c r="S545" s="2046"/>
      <c r="T545" s="2046"/>
      <c r="U545" s="2046"/>
      <c r="V545" s="2046"/>
      <c r="W545" s="2046"/>
      <c r="X545" s="2046"/>
      <c r="Y545" s="2046"/>
      <c r="Z545" s="2046"/>
      <c r="AA545" s="2046"/>
      <c r="AB545" s="2046"/>
      <c r="AC545" s="2046"/>
      <c r="AD545" s="2046"/>
      <c r="AE545" s="2046"/>
      <c r="AF545" s="2046"/>
      <c r="AG545" s="2046"/>
      <c r="AH545" s="2046"/>
      <c r="AI545" s="2046"/>
      <c r="AJ545" s="2047"/>
      <c r="AK545" s="630"/>
      <c r="AL545" s="630"/>
      <c r="AM545" s="630"/>
      <c r="AN545" s="632"/>
      <c r="AP545" s="2090">
        <f>AP546-AP541-AP542</f>
        <v>94551063</v>
      </c>
      <c r="AQ545" s="1999"/>
      <c r="AR545" s="1999"/>
    </row>
    <row r="546" spans="1:44" s="585" customFormat="1" ht="12.75" customHeight="1">
      <c r="A546" s="659"/>
      <c r="B546" s="2048"/>
      <c r="C546" s="2049"/>
      <c r="D546" s="2049"/>
      <c r="E546" s="2049"/>
      <c r="F546" s="2049"/>
      <c r="G546" s="2049"/>
      <c r="H546" s="2049"/>
      <c r="I546" s="2049"/>
      <c r="J546" s="2049"/>
      <c r="K546" s="2049"/>
      <c r="L546" s="2049"/>
      <c r="M546" s="2049"/>
      <c r="N546" s="2049"/>
      <c r="O546" s="2049"/>
      <c r="P546" s="2049"/>
      <c r="Q546" s="2049"/>
      <c r="R546" s="2049"/>
      <c r="S546" s="2049"/>
      <c r="T546" s="2049"/>
      <c r="U546" s="2049"/>
      <c r="V546" s="2049"/>
      <c r="W546" s="2049"/>
      <c r="X546" s="2049"/>
      <c r="Y546" s="2049"/>
      <c r="Z546" s="2049"/>
      <c r="AA546" s="2049"/>
      <c r="AB546" s="2049"/>
      <c r="AC546" s="2049"/>
      <c r="AD546" s="2049"/>
      <c r="AE546" s="2049"/>
      <c r="AF546" s="2049"/>
      <c r="AG546" s="2049"/>
      <c r="AH546" s="2049"/>
      <c r="AI546" s="2049"/>
      <c r="AJ546" s="2050"/>
      <c r="AK546" s="630"/>
      <c r="AL546" s="630"/>
      <c r="AM546" s="630"/>
      <c r="AN546" s="632"/>
      <c r="AP546" s="2090">
        <f>Application!AJ1018</f>
        <v>133790052</v>
      </c>
      <c r="AQ546" s="2090"/>
      <c r="AR546" s="2090"/>
    </row>
    <row r="547" spans="1:44" s="585" customFormat="1" ht="12.75" customHeight="1">
      <c r="B547" s="586"/>
      <c r="C547" s="586"/>
      <c r="D547" s="586"/>
      <c r="E547" s="586"/>
      <c r="F547" s="586"/>
      <c r="G547" s="586"/>
      <c r="H547" s="586"/>
      <c r="I547" s="586"/>
      <c r="J547" s="586"/>
      <c r="K547" s="586"/>
      <c r="L547" s="586"/>
      <c r="M547" s="586"/>
      <c r="N547" s="586"/>
      <c r="O547" s="586"/>
      <c r="P547" s="586"/>
      <c r="Q547" s="586"/>
      <c r="R547" s="586"/>
      <c r="S547" s="586"/>
      <c r="T547" s="586"/>
      <c r="U547" s="586"/>
      <c r="V547" s="586"/>
      <c r="W547" s="586"/>
      <c r="X547" s="586"/>
      <c r="Y547" s="586"/>
      <c r="Z547" s="586"/>
      <c r="AA547" s="586"/>
      <c r="AB547" s="586"/>
      <c r="AC547" s="651"/>
      <c r="AD547" s="586"/>
      <c r="AI547" s="578"/>
      <c r="AJ547" s="578"/>
      <c r="AK547" s="630"/>
      <c r="AL547" s="630"/>
      <c r="AM547" s="630"/>
      <c r="AN547" s="632"/>
    </row>
    <row r="548" spans="1:44" s="585" customFormat="1" ht="12.75" customHeight="1">
      <c r="A548" s="663"/>
      <c r="B548" s="663"/>
      <c r="C548" s="663"/>
      <c r="D548" s="663"/>
      <c r="E548" s="663"/>
      <c r="F548" s="663"/>
      <c r="G548" s="663"/>
      <c r="H548" s="663"/>
      <c r="I548" s="663"/>
      <c r="J548" s="663"/>
      <c r="K548" s="663"/>
      <c r="L548" s="663"/>
      <c r="M548" s="663"/>
      <c r="N548" s="663"/>
      <c r="O548" s="663"/>
      <c r="P548" s="663"/>
      <c r="Q548" s="663"/>
      <c r="R548" s="663"/>
      <c r="S548" s="663"/>
      <c r="T548" s="663"/>
      <c r="U548" s="663"/>
      <c r="V548" s="663"/>
      <c r="W548" s="663"/>
      <c r="X548" s="663"/>
      <c r="Y548" s="663"/>
      <c r="Z548" s="663"/>
      <c r="AA548" s="663"/>
      <c r="AB548" s="663"/>
      <c r="AC548" s="663"/>
      <c r="AD548" s="663"/>
      <c r="AE548" s="663"/>
      <c r="AF548" s="663"/>
      <c r="AG548" s="663"/>
      <c r="AH548" s="664"/>
      <c r="AI548" s="600"/>
      <c r="AJ548" s="600" t="s">
        <v>1744</v>
      </c>
      <c r="AK548" s="2051">
        <f>IFERROR(IF(AND(C530="N/A",C533="N/A"),0,IF(AF542=0,0,IF((AF542*100)&gt;12,12,(AF542*100)))),0)</f>
        <v>12</v>
      </c>
      <c r="AL548" s="2051"/>
      <c r="AM548" s="2052"/>
      <c r="AN548" s="632"/>
      <c r="AP548" s="2106">
        <f>AP545+(AP539*AP543)</f>
        <v>133790052</v>
      </c>
      <c r="AQ548" s="2107"/>
      <c r="AR548" s="2108"/>
    </row>
    <row r="549" spans="1:44" s="585" customFormat="1" ht="12.75" customHeight="1" thickBot="1">
      <c r="A549" s="795"/>
      <c r="B549" s="795"/>
      <c r="C549" s="795"/>
      <c r="D549" s="795"/>
      <c r="E549" s="795"/>
      <c r="F549" s="795"/>
      <c r="G549" s="795"/>
      <c r="H549" s="795"/>
      <c r="I549" s="795"/>
      <c r="J549" s="795"/>
      <c r="K549" s="795"/>
      <c r="L549" s="795"/>
      <c r="M549" s="795"/>
      <c r="N549" s="795"/>
      <c r="O549" s="795"/>
      <c r="P549" s="795"/>
      <c r="Q549" s="795"/>
      <c r="R549" s="795"/>
      <c r="S549" s="795"/>
      <c r="T549" s="795"/>
      <c r="U549" s="795"/>
      <c r="V549" s="795"/>
      <c r="W549" s="795"/>
      <c r="X549" s="795"/>
      <c r="Y549" s="795"/>
      <c r="Z549" s="795"/>
      <c r="AA549" s="795"/>
      <c r="AB549" s="795"/>
      <c r="AC549" s="795"/>
      <c r="AD549" s="795"/>
      <c r="AE549" s="795"/>
      <c r="AF549" s="795"/>
      <c r="AG549" s="795"/>
      <c r="AH549" s="795"/>
      <c r="AI549" s="795"/>
      <c r="AJ549" s="795"/>
      <c r="AK549" s="795"/>
      <c r="AL549" s="795"/>
      <c r="AM549" s="796"/>
      <c r="AN549" s="632"/>
    </row>
    <row r="550" spans="1:44" s="585" customFormat="1" ht="12.75" customHeight="1" thickTop="1">
      <c r="A550" s="701"/>
      <c r="B550" s="702"/>
      <c r="C550" s="701"/>
      <c r="D550" s="702"/>
      <c r="E550" s="702"/>
      <c r="F550" s="702"/>
      <c r="G550" s="702"/>
      <c r="H550" s="702"/>
      <c r="I550" s="702"/>
      <c r="J550" s="702"/>
      <c r="K550" s="702"/>
      <c r="L550" s="702"/>
      <c r="M550" s="702"/>
      <c r="N550" s="702"/>
      <c r="O550" s="702"/>
      <c r="P550" s="702"/>
      <c r="Q550" s="702"/>
      <c r="R550" s="702"/>
      <c r="S550" s="702"/>
      <c r="T550" s="702"/>
      <c r="U550" s="702"/>
      <c r="V550" s="702"/>
      <c r="W550" s="702"/>
      <c r="X550" s="702"/>
      <c r="Y550" s="702"/>
      <c r="Z550" s="702"/>
      <c r="AA550" s="702"/>
      <c r="AB550" s="702"/>
      <c r="AC550" s="703"/>
      <c r="AD550" s="703"/>
      <c r="AE550" s="703"/>
      <c r="AF550" s="702"/>
      <c r="AG550" s="702"/>
      <c r="AH550" s="702"/>
      <c r="AI550" s="702"/>
      <c r="AJ550" s="702"/>
      <c r="AK550" s="702"/>
      <c r="AL550" s="702"/>
      <c r="AM550" s="704"/>
      <c r="AN550" s="632"/>
    </row>
    <row r="551" spans="1:44" s="585" customFormat="1" ht="12.75" customHeight="1">
      <c r="A551" s="573" t="s">
        <v>2419</v>
      </c>
      <c r="C551" s="573"/>
      <c r="D551" s="638"/>
      <c r="E551" s="638"/>
      <c r="F551" s="638"/>
      <c r="G551" s="638"/>
      <c r="H551" s="638"/>
      <c r="I551" s="638"/>
      <c r="J551" s="638"/>
      <c r="K551" s="638"/>
      <c r="L551" s="638"/>
      <c r="M551" s="638"/>
      <c r="N551" s="638"/>
      <c r="O551" s="638"/>
      <c r="P551" s="638"/>
      <c r="Q551" s="638"/>
      <c r="R551" s="638"/>
      <c r="S551" s="638"/>
      <c r="T551" s="638"/>
      <c r="U551" s="638"/>
      <c r="V551" s="638"/>
      <c r="W551" s="638"/>
      <c r="X551" s="638"/>
      <c r="Y551" s="638"/>
      <c r="Z551" s="638"/>
      <c r="AA551" s="638"/>
      <c r="AB551" s="638"/>
      <c r="AC551" s="638"/>
      <c r="AD551" s="638"/>
      <c r="AE551" s="1882" t="s">
        <v>1486</v>
      </c>
      <c r="AF551" s="1882"/>
      <c r="AG551" s="1882"/>
      <c r="AH551" s="1882"/>
      <c r="AI551" s="1882"/>
      <c r="AJ551" s="1882"/>
      <c r="AK551" s="1882"/>
      <c r="AL551" s="626"/>
      <c r="AM551" s="638"/>
      <c r="AN551" s="632"/>
    </row>
    <row r="552" spans="1:44" s="585" customFormat="1" ht="12.75" customHeight="1">
      <c r="C552" s="638"/>
      <c r="D552" s="638"/>
      <c r="E552" s="638"/>
      <c r="F552" s="638"/>
      <c r="G552" s="638"/>
      <c r="H552" s="638"/>
      <c r="I552" s="638"/>
      <c r="J552" s="638"/>
      <c r="K552" s="638"/>
      <c r="L552" s="638"/>
      <c r="M552" s="638"/>
      <c r="N552" s="638"/>
      <c r="O552" s="638"/>
      <c r="P552" s="638"/>
      <c r="Q552" s="638"/>
      <c r="R552" s="638"/>
      <c r="S552" s="638"/>
      <c r="T552" s="638"/>
      <c r="U552" s="638"/>
      <c r="V552" s="638"/>
      <c r="W552" s="638"/>
      <c r="X552" s="638"/>
      <c r="Y552" s="638"/>
      <c r="Z552" s="638"/>
      <c r="AA552" s="638"/>
      <c r="AB552" s="638"/>
      <c r="AC552" s="638"/>
      <c r="AD552" s="638"/>
      <c r="AE552" s="638"/>
      <c r="AF552" s="638"/>
      <c r="AG552" s="638"/>
      <c r="AH552" s="638"/>
      <c r="AI552" s="638"/>
      <c r="AJ552" s="638"/>
      <c r="AK552" s="638"/>
      <c r="AL552" s="638"/>
      <c r="AM552" s="638"/>
      <c r="AN552" s="632"/>
    </row>
    <row r="553" spans="1:44" s="585" customFormat="1" ht="12.75" customHeight="1">
      <c r="A553" s="638"/>
      <c r="B553" s="1967" t="s">
        <v>2420</v>
      </c>
      <c r="C553" s="1967"/>
      <c r="D553" s="1967"/>
      <c r="E553" s="1967"/>
      <c r="F553" s="1967"/>
      <c r="G553" s="1967"/>
      <c r="H553" s="1967"/>
      <c r="I553" s="1967"/>
      <c r="J553" s="1967"/>
      <c r="K553" s="1967"/>
      <c r="L553" s="1967"/>
      <c r="M553" s="1967"/>
      <c r="N553" s="1967"/>
      <c r="O553" s="1967"/>
      <c r="P553" s="1967"/>
      <c r="Q553" s="1967"/>
      <c r="R553" s="1967"/>
      <c r="S553" s="1967"/>
      <c r="T553" s="1967"/>
      <c r="U553" s="1967"/>
      <c r="V553" s="1967"/>
      <c r="W553" s="1967"/>
      <c r="X553" s="1967"/>
      <c r="Y553" s="1967"/>
      <c r="Z553" s="1967"/>
      <c r="AA553" s="1967"/>
      <c r="AB553" s="1967"/>
      <c r="AC553" s="1967"/>
      <c r="AD553" s="1967"/>
      <c r="AE553" s="1967"/>
      <c r="AF553" s="1967"/>
      <c r="AG553" s="1967"/>
      <c r="AH553" s="1967"/>
      <c r="AI553" s="1967"/>
      <c r="AJ553" s="1967"/>
      <c r="AK553" s="677"/>
      <c r="AL553" s="608"/>
      <c r="AM553" s="638"/>
      <c r="AN553" s="632"/>
    </row>
    <row r="554" spans="1:44" s="585" customFormat="1" ht="12.75" customHeight="1">
      <c r="A554" s="638"/>
      <c r="B554" s="1967"/>
      <c r="C554" s="1967"/>
      <c r="D554" s="1967"/>
      <c r="E554" s="1967"/>
      <c r="F554" s="1967"/>
      <c r="G554" s="1967"/>
      <c r="H554" s="1967"/>
      <c r="I554" s="1967"/>
      <c r="J554" s="1967"/>
      <c r="K554" s="1967"/>
      <c r="L554" s="1967"/>
      <c r="M554" s="1967"/>
      <c r="N554" s="1967"/>
      <c r="O554" s="1967"/>
      <c r="P554" s="1967"/>
      <c r="Q554" s="1967"/>
      <c r="R554" s="1967"/>
      <c r="S554" s="1967"/>
      <c r="T554" s="1967"/>
      <c r="U554" s="1967"/>
      <c r="V554" s="1967"/>
      <c r="W554" s="1967"/>
      <c r="X554" s="1967"/>
      <c r="Y554" s="1967"/>
      <c r="Z554" s="1967"/>
      <c r="AA554" s="1967"/>
      <c r="AB554" s="1967"/>
      <c r="AC554" s="1967"/>
      <c r="AD554" s="1967"/>
      <c r="AE554" s="1967"/>
      <c r="AF554" s="1967"/>
      <c r="AG554" s="1967"/>
      <c r="AH554" s="1967"/>
      <c r="AI554" s="1967"/>
      <c r="AJ554" s="1967"/>
      <c r="AK554" s="677"/>
      <c r="AL554" s="608"/>
      <c r="AM554" s="638"/>
      <c r="AN554" s="632"/>
    </row>
    <row r="555" spans="1:44" s="585" customFormat="1" ht="12.75" customHeight="1">
      <c r="A555" s="638"/>
      <c r="B555" s="1967"/>
      <c r="C555" s="1967"/>
      <c r="D555" s="1967"/>
      <c r="E555" s="1967"/>
      <c r="F555" s="1967"/>
      <c r="G555" s="1967"/>
      <c r="H555" s="1967"/>
      <c r="I555" s="1967"/>
      <c r="J555" s="1967"/>
      <c r="K555" s="1967"/>
      <c r="L555" s="1967"/>
      <c r="M555" s="1967"/>
      <c r="N555" s="1967"/>
      <c r="O555" s="1967"/>
      <c r="P555" s="1967"/>
      <c r="Q555" s="1967"/>
      <c r="R555" s="1967"/>
      <c r="S555" s="1967"/>
      <c r="T555" s="1967"/>
      <c r="U555" s="1967"/>
      <c r="V555" s="1967"/>
      <c r="W555" s="1967"/>
      <c r="X555" s="1967"/>
      <c r="Y555" s="1967"/>
      <c r="Z555" s="1967"/>
      <c r="AA555" s="1967"/>
      <c r="AB555" s="1967"/>
      <c r="AC555" s="1967"/>
      <c r="AD555" s="1967"/>
      <c r="AE555" s="1967"/>
      <c r="AF555" s="1967"/>
      <c r="AG555" s="1967"/>
      <c r="AH555" s="1967"/>
      <c r="AI555" s="1967"/>
      <c r="AJ555" s="1967"/>
      <c r="AK555" s="677"/>
      <c r="AL555" s="608"/>
      <c r="AM555" s="638"/>
      <c r="AN555" s="632"/>
    </row>
    <row r="556" spans="1:44" s="585" customFormat="1" ht="12.75" customHeight="1">
      <c r="A556" s="638"/>
      <c r="B556" s="1967"/>
      <c r="C556" s="1967"/>
      <c r="D556" s="1967"/>
      <c r="E556" s="1967"/>
      <c r="F556" s="1967"/>
      <c r="G556" s="1967"/>
      <c r="H556" s="1967"/>
      <c r="I556" s="1967"/>
      <c r="J556" s="1967"/>
      <c r="K556" s="1967"/>
      <c r="L556" s="1967"/>
      <c r="M556" s="1967"/>
      <c r="N556" s="1967"/>
      <c r="O556" s="1967"/>
      <c r="P556" s="1967"/>
      <c r="Q556" s="1967"/>
      <c r="R556" s="1967"/>
      <c r="S556" s="1967"/>
      <c r="T556" s="1967"/>
      <c r="U556" s="1967"/>
      <c r="V556" s="1967"/>
      <c r="W556" s="1967"/>
      <c r="X556" s="1967"/>
      <c r="Y556" s="1967"/>
      <c r="Z556" s="1967"/>
      <c r="AA556" s="1967"/>
      <c r="AB556" s="1967"/>
      <c r="AC556" s="1967"/>
      <c r="AD556" s="1967"/>
      <c r="AE556" s="1967"/>
      <c r="AF556" s="1967"/>
      <c r="AG556" s="1967"/>
      <c r="AH556" s="1967"/>
      <c r="AI556" s="1967"/>
      <c r="AJ556" s="1967"/>
      <c r="AK556" s="677"/>
      <c r="AL556" s="608"/>
      <c r="AM556" s="638"/>
      <c r="AN556" s="632"/>
    </row>
    <row r="557" spans="1:44" s="585" customFormat="1" ht="12.75" customHeight="1">
      <c r="A557" s="638"/>
      <c r="B557" s="1967"/>
      <c r="C557" s="1967"/>
      <c r="D557" s="1967"/>
      <c r="E557" s="1967"/>
      <c r="F557" s="1967"/>
      <c r="G557" s="1967"/>
      <c r="H557" s="1967"/>
      <c r="I557" s="1967"/>
      <c r="J557" s="1967"/>
      <c r="K557" s="1967"/>
      <c r="L557" s="1967"/>
      <c r="M557" s="1967"/>
      <c r="N557" s="1967"/>
      <c r="O557" s="1967"/>
      <c r="P557" s="1967"/>
      <c r="Q557" s="1967"/>
      <c r="R557" s="1967"/>
      <c r="S557" s="1967"/>
      <c r="T557" s="1967"/>
      <c r="U557" s="1967"/>
      <c r="V557" s="1967"/>
      <c r="W557" s="1967"/>
      <c r="X557" s="1967"/>
      <c r="Y557" s="1967"/>
      <c r="Z557" s="1967"/>
      <c r="AA557" s="1967"/>
      <c r="AB557" s="1967"/>
      <c r="AC557" s="1967"/>
      <c r="AD557" s="1967"/>
      <c r="AE557" s="1967"/>
      <c r="AF557" s="1967"/>
      <c r="AG557" s="1967"/>
      <c r="AH557" s="1967"/>
      <c r="AI557" s="1967"/>
      <c r="AJ557" s="1967"/>
      <c r="AK557" s="677"/>
      <c r="AL557" s="608"/>
      <c r="AM557" s="638"/>
      <c r="AN557" s="632"/>
    </row>
    <row r="558" spans="1:44" s="585" customFormat="1" ht="12.75" customHeight="1">
      <c r="A558" s="638"/>
      <c r="B558" s="1967"/>
      <c r="C558" s="1967"/>
      <c r="D558" s="1967"/>
      <c r="E558" s="1967"/>
      <c r="F558" s="1967"/>
      <c r="G558" s="1967"/>
      <c r="H558" s="1967"/>
      <c r="I558" s="1967"/>
      <c r="J558" s="1967"/>
      <c r="K558" s="1967"/>
      <c r="L558" s="1967"/>
      <c r="M558" s="1967"/>
      <c r="N558" s="1967"/>
      <c r="O558" s="1967"/>
      <c r="P558" s="1967"/>
      <c r="Q558" s="1967"/>
      <c r="R558" s="1967"/>
      <c r="S558" s="1967"/>
      <c r="T558" s="1967"/>
      <c r="U558" s="1967"/>
      <c r="V558" s="1967"/>
      <c r="W558" s="1967"/>
      <c r="X558" s="1967"/>
      <c r="Y558" s="1967"/>
      <c r="Z558" s="1967"/>
      <c r="AA558" s="1967"/>
      <c r="AB558" s="1967"/>
      <c r="AC558" s="1967"/>
      <c r="AD558" s="1967"/>
      <c r="AE558" s="1967"/>
      <c r="AF558" s="1967"/>
      <c r="AG558" s="1967"/>
      <c r="AH558" s="1967"/>
      <c r="AI558" s="1967"/>
      <c r="AJ558" s="1967"/>
      <c r="AK558" s="677"/>
      <c r="AL558" s="608"/>
      <c r="AM558" s="638"/>
      <c r="AN558" s="632"/>
    </row>
    <row r="559" spans="1:44" s="585" customFormat="1" ht="12.75" customHeight="1">
      <c r="A559" s="638"/>
      <c r="B559" s="1967"/>
      <c r="C559" s="1967"/>
      <c r="D559" s="1967"/>
      <c r="E559" s="1967"/>
      <c r="F559" s="1967"/>
      <c r="G559" s="1967"/>
      <c r="H559" s="1967"/>
      <c r="I559" s="1967"/>
      <c r="J559" s="1967"/>
      <c r="K559" s="1967"/>
      <c r="L559" s="1967"/>
      <c r="M559" s="1967"/>
      <c r="N559" s="1967"/>
      <c r="O559" s="1967"/>
      <c r="P559" s="1967"/>
      <c r="Q559" s="1967"/>
      <c r="R559" s="1967"/>
      <c r="S559" s="1967"/>
      <c r="T559" s="1967"/>
      <c r="U559" s="1967"/>
      <c r="V559" s="1967"/>
      <c r="W559" s="1967"/>
      <c r="X559" s="1967"/>
      <c r="Y559" s="1967"/>
      <c r="Z559" s="1967"/>
      <c r="AA559" s="1967"/>
      <c r="AB559" s="1967"/>
      <c r="AC559" s="1967"/>
      <c r="AD559" s="1967"/>
      <c r="AE559" s="1967"/>
      <c r="AF559" s="1967"/>
      <c r="AG559" s="1967"/>
      <c r="AH559" s="1967"/>
      <c r="AI559" s="1967"/>
      <c r="AJ559" s="1967"/>
      <c r="AK559" s="677"/>
      <c r="AL559" s="608"/>
      <c r="AM559" s="638"/>
      <c r="AN559" s="632"/>
    </row>
    <row r="560" spans="1:44" ht="12.75" customHeight="1">
      <c r="A560" s="638"/>
      <c r="B560" s="1967"/>
      <c r="C560" s="1967"/>
      <c r="D560" s="1967"/>
      <c r="E560" s="1967"/>
      <c r="F560" s="1967"/>
      <c r="G560" s="1967"/>
      <c r="H560" s="1967"/>
      <c r="I560" s="1967"/>
      <c r="J560" s="1967"/>
      <c r="K560" s="1967"/>
      <c r="L560" s="1967"/>
      <c r="M560" s="1967"/>
      <c r="N560" s="1967"/>
      <c r="O560" s="1967"/>
      <c r="P560" s="1967"/>
      <c r="Q560" s="1967"/>
      <c r="R560" s="1967"/>
      <c r="S560" s="1967"/>
      <c r="T560" s="1967"/>
      <c r="U560" s="1967"/>
      <c r="V560" s="1967"/>
      <c r="W560" s="1967"/>
      <c r="X560" s="1967"/>
      <c r="Y560" s="1967"/>
      <c r="Z560" s="1967"/>
      <c r="AA560" s="1967"/>
      <c r="AB560" s="1967"/>
      <c r="AC560" s="1967"/>
      <c r="AD560" s="1967"/>
      <c r="AE560" s="1967"/>
      <c r="AF560" s="1967"/>
      <c r="AG560" s="1967"/>
      <c r="AH560" s="1967"/>
      <c r="AI560" s="1967"/>
      <c r="AJ560" s="1967"/>
      <c r="AK560" s="677"/>
      <c r="AL560" s="608"/>
      <c r="AM560" s="638"/>
    </row>
    <row r="561" spans="1:42" s="585" customFormat="1" ht="12.75" customHeight="1">
      <c r="B561" s="1967"/>
      <c r="C561" s="1967"/>
      <c r="D561" s="1967"/>
      <c r="E561" s="1967"/>
      <c r="F561" s="1967"/>
      <c r="G561" s="1967"/>
      <c r="H561" s="1967"/>
      <c r="I561" s="1967"/>
      <c r="J561" s="1967"/>
      <c r="K561" s="1967"/>
      <c r="L561" s="1967"/>
      <c r="M561" s="1967"/>
      <c r="N561" s="1967"/>
      <c r="O561" s="1967"/>
      <c r="P561" s="1967"/>
      <c r="Q561" s="1967"/>
      <c r="R561" s="1967"/>
      <c r="S561" s="1967"/>
      <c r="T561" s="1967"/>
      <c r="U561" s="1967"/>
      <c r="V561" s="1967"/>
      <c r="W561" s="1967"/>
      <c r="X561" s="1967"/>
      <c r="Y561" s="1967"/>
      <c r="Z561" s="1967"/>
      <c r="AA561" s="1967"/>
      <c r="AB561" s="1967"/>
      <c r="AC561" s="1967"/>
      <c r="AD561" s="1967"/>
      <c r="AE561" s="1967"/>
      <c r="AF561" s="1967"/>
      <c r="AG561" s="1967"/>
      <c r="AH561" s="1967"/>
      <c r="AI561" s="1967"/>
      <c r="AJ561" s="1967"/>
      <c r="AK561" s="677"/>
      <c r="AL561" s="608"/>
      <c r="AN561" s="632"/>
    </row>
    <row r="562" spans="1:42" s="585" customFormat="1" ht="12.75" customHeight="1">
      <c r="B562" s="677"/>
      <c r="C562" s="677"/>
      <c r="D562" s="677"/>
      <c r="E562" s="677"/>
      <c r="F562" s="677"/>
      <c r="G562" s="677"/>
      <c r="H562" s="677"/>
      <c r="I562" s="677"/>
      <c r="J562" s="677"/>
      <c r="K562" s="677"/>
      <c r="L562" s="677"/>
      <c r="M562" s="677"/>
      <c r="N562" s="677"/>
      <c r="O562" s="677"/>
      <c r="P562" s="677"/>
      <c r="Q562" s="677"/>
      <c r="R562" s="677"/>
      <c r="S562" s="677"/>
      <c r="T562" s="677"/>
      <c r="U562" s="677"/>
      <c r="V562" s="677"/>
      <c r="W562" s="677"/>
      <c r="X562" s="677"/>
      <c r="Y562" s="677"/>
      <c r="Z562" s="677"/>
      <c r="AA562" s="677"/>
      <c r="AB562" s="677"/>
      <c r="AC562" s="677"/>
      <c r="AD562" s="677"/>
      <c r="AE562" s="677"/>
      <c r="AF562" s="677"/>
      <c r="AG562" s="677"/>
      <c r="AH562" s="677"/>
      <c r="AI562" s="677"/>
      <c r="AJ562" s="677"/>
      <c r="AK562" s="677"/>
      <c r="AL562" s="608"/>
      <c r="AN562" s="632"/>
    </row>
    <row r="563" spans="1:42" s="585" customFormat="1" ht="12.75" customHeight="1">
      <c r="B563" s="698" t="s">
        <v>1566</v>
      </c>
      <c r="C563" s="706"/>
      <c r="D563" s="608"/>
      <c r="E563" s="608"/>
      <c r="F563" s="608"/>
      <c r="G563" s="608"/>
      <c r="H563" s="608"/>
      <c r="I563" s="608"/>
      <c r="J563" s="608"/>
      <c r="K563" s="608"/>
      <c r="L563" s="608"/>
      <c r="M563" s="608"/>
      <c r="N563" s="608"/>
      <c r="O563" s="608"/>
      <c r="P563" s="608"/>
      <c r="Q563" s="608"/>
      <c r="R563" s="608"/>
      <c r="S563" s="608"/>
      <c r="T563" s="608"/>
      <c r="U563" s="608"/>
      <c r="V563" s="608"/>
      <c r="W563" s="608"/>
      <c r="X563" s="608"/>
      <c r="Y563" s="608"/>
      <c r="Z563" s="608"/>
      <c r="AA563" s="608"/>
      <c r="AB563" s="608"/>
      <c r="AC563" s="608"/>
      <c r="AD563" s="608"/>
      <c r="AE563" s="608"/>
      <c r="AF563" s="608"/>
      <c r="AG563" s="608"/>
      <c r="AH563" s="608"/>
      <c r="AI563" s="608"/>
      <c r="AN563" s="632"/>
      <c r="AP563" s="585" t="s">
        <v>600</v>
      </c>
    </row>
    <row r="564" spans="1:42" s="585" customFormat="1" ht="12.75" customHeight="1">
      <c r="B564" s="571"/>
      <c r="C564" s="706"/>
      <c r="D564" s="608"/>
      <c r="E564" s="608"/>
      <c r="F564" s="608"/>
      <c r="G564" s="608"/>
      <c r="H564" s="608"/>
      <c r="I564" s="608"/>
      <c r="J564" s="608"/>
      <c r="K564" s="608"/>
      <c r="L564" s="608"/>
      <c r="M564" s="608"/>
      <c r="N564" s="608"/>
      <c r="O564" s="608"/>
      <c r="P564" s="608"/>
      <c r="Q564" s="608"/>
      <c r="R564" s="608"/>
      <c r="S564" s="608"/>
      <c r="T564" s="608"/>
      <c r="U564" s="608"/>
      <c r="V564" s="608"/>
      <c r="W564" s="608"/>
      <c r="X564" s="608"/>
      <c r="Y564" s="608"/>
      <c r="Z564" s="608"/>
      <c r="AA564" s="608"/>
      <c r="AB564" s="608"/>
      <c r="AC564" s="608"/>
      <c r="AD564" s="608"/>
      <c r="AE564" s="608"/>
      <c r="AF564" s="608"/>
      <c r="AG564" s="608"/>
      <c r="AH564" s="608"/>
      <c r="AI564" s="608"/>
      <c r="AN564" s="632"/>
      <c r="AP564" s="585" t="s">
        <v>554</v>
      </c>
    </row>
    <row r="565" spans="1:42" s="585" customFormat="1" ht="12.75" customHeight="1">
      <c r="C565" s="574" t="s">
        <v>1567</v>
      </c>
      <c r="D565" s="707"/>
      <c r="E565" s="608"/>
      <c r="F565" s="608"/>
      <c r="G565" s="608"/>
      <c r="H565" s="608"/>
      <c r="I565" s="608"/>
      <c r="J565" s="608"/>
      <c r="K565" s="608"/>
      <c r="L565" s="608"/>
      <c r="M565" s="608"/>
      <c r="N565" s="608"/>
      <c r="O565" s="608"/>
      <c r="P565" s="608"/>
      <c r="Q565" s="608"/>
      <c r="R565" s="608"/>
      <c r="S565" s="608"/>
      <c r="T565" s="608"/>
      <c r="U565" s="608"/>
      <c r="V565" s="608"/>
      <c r="W565" s="608"/>
      <c r="X565" s="608"/>
      <c r="Y565" s="608"/>
      <c r="Z565" s="608"/>
      <c r="AA565" s="608"/>
      <c r="AB565" s="608"/>
      <c r="AC565" s="608"/>
      <c r="AD565" s="608"/>
      <c r="AE565" s="608"/>
      <c r="AF565" s="608"/>
      <c r="AG565" s="608"/>
      <c r="AH565" s="608"/>
      <c r="AI565" s="608"/>
      <c r="AN565" s="632"/>
    </row>
    <row r="566" spans="1:42" s="585" customFormat="1" ht="12.75" customHeight="1">
      <c r="B566" s="571"/>
      <c r="C566" s="571"/>
      <c r="D566" s="675"/>
      <c r="E566" s="678"/>
      <c r="F566" s="678"/>
      <c r="G566" s="678"/>
      <c r="H566" s="678"/>
      <c r="I566" s="678"/>
      <c r="J566" s="678"/>
      <c r="K566" s="678"/>
      <c r="L566" s="678"/>
      <c r="M566" s="678"/>
      <c r="N566" s="678"/>
      <c r="O566" s="678"/>
      <c r="P566" s="678"/>
      <c r="Q566" s="678"/>
      <c r="R566" s="678"/>
      <c r="S566" s="678"/>
      <c r="T566" s="678"/>
      <c r="U566" s="678"/>
      <c r="V566" s="678"/>
      <c r="W566" s="678"/>
      <c r="X566" s="678"/>
      <c r="Y566" s="678"/>
      <c r="Z566" s="678"/>
      <c r="AA566" s="678"/>
      <c r="AB566" s="678"/>
      <c r="AC566" s="678"/>
      <c r="AD566" s="678"/>
      <c r="AE566" s="678"/>
      <c r="AF566" s="571"/>
      <c r="AG566" s="571"/>
      <c r="AH566" s="571"/>
      <c r="AI566" s="571"/>
      <c r="AJ566" s="571"/>
      <c r="AK566" s="571"/>
      <c r="AL566" s="571"/>
      <c r="AN566" s="632"/>
    </row>
    <row r="567" spans="1:42" s="585" customFormat="1" ht="12.75" customHeight="1">
      <c r="B567" s="571"/>
      <c r="C567" s="571"/>
      <c r="D567" s="698" t="s">
        <v>697</v>
      </c>
      <c r="E567" s="874" t="s">
        <v>1958</v>
      </c>
      <c r="F567" s="677"/>
      <c r="G567" s="677"/>
      <c r="H567" s="677"/>
      <c r="I567" s="677"/>
      <c r="J567" s="677"/>
      <c r="K567" s="677"/>
      <c r="L567" s="677"/>
      <c r="M567" s="677"/>
      <c r="N567" s="677"/>
      <c r="O567" s="677"/>
      <c r="P567" s="677"/>
      <c r="Q567" s="677"/>
      <c r="R567" s="677"/>
      <c r="S567" s="677"/>
      <c r="T567" s="677"/>
      <c r="U567" s="677"/>
      <c r="V567" s="677"/>
      <c r="W567" s="677"/>
      <c r="X567" s="677"/>
      <c r="Y567" s="677"/>
      <c r="Z567" s="677"/>
      <c r="AA567" s="677"/>
      <c r="AB567" s="677"/>
      <c r="AC567" s="571"/>
      <c r="AD567" s="571"/>
      <c r="AE567" s="571"/>
      <c r="AF567" s="1914" t="s">
        <v>1510</v>
      </c>
      <c r="AG567" s="1914"/>
      <c r="AH567" s="1914"/>
      <c r="AI567" s="1914"/>
      <c r="AJ567" s="1914"/>
      <c r="AK567" s="1914"/>
      <c r="AL567" s="1914"/>
      <c r="AN567" s="632"/>
    </row>
    <row r="568" spans="1:42" s="585" customFormat="1" ht="12.75" customHeight="1">
      <c r="B568" s="571"/>
      <c r="C568" s="651"/>
      <c r="D568" s="698"/>
      <c r="E568" s="874" t="s">
        <v>1959</v>
      </c>
      <c r="F568" s="677"/>
      <c r="G568" s="677"/>
      <c r="H568" s="677"/>
      <c r="I568" s="677"/>
      <c r="J568" s="677"/>
      <c r="K568" s="677"/>
      <c r="L568" s="677"/>
      <c r="M568" s="677"/>
      <c r="N568" s="677"/>
      <c r="O568" s="677"/>
      <c r="P568" s="677"/>
      <c r="Q568" s="677"/>
      <c r="R568" s="677"/>
      <c r="S568" s="677"/>
      <c r="T568" s="677"/>
      <c r="U568" s="677"/>
      <c r="V568" s="677"/>
      <c r="W568" s="677"/>
      <c r="X568" s="677"/>
      <c r="Y568" s="677"/>
      <c r="Z568" s="677"/>
      <c r="AA568" s="677"/>
      <c r="AB568" s="677"/>
      <c r="AC568" s="571"/>
      <c r="AD568" s="571"/>
      <c r="AE568" s="651"/>
      <c r="AF568" s="651"/>
      <c r="AG568" s="651"/>
      <c r="AH568" s="651"/>
      <c r="AI568" s="651"/>
      <c r="AJ568" s="651"/>
      <c r="AK568" s="651"/>
      <c r="AL568" s="651"/>
      <c r="AN568" s="632"/>
    </row>
    <row r="569" spans="1:42" s="585" customFormat="1" ht="12.75" customHeight="1">
      <c r="B569" s="571"/>
      <c r="C569" s="651"/>
      <c r="D569" s="698"/>
      <c r="E569" s="874" t="s">
        <v>1960</v>
      </c>
      <c r="F569" s="677"/>
      <c r="G569" s="677"/>
      <c r="H569" s="677"/>
      <c r="I569" s="677"/>
      <c r="J569" s="677"/>
      <c r="K569" s="677"/>
      <c r="L569" s="677"/>
      <c r="M569" s="677"/>
      <c r="N569" s="677"/>
      <c r="O569" s="677"/>
      <c r="P569" s="677"/>
      <c r="Q569" s="677"/>
      <c r="R569" s="677"/>
      <c r="S569" s="677"/>
      <c r="T569" s="677"/>
      <c r="U569" s="677"/>
      <c r="V569" s="677"/>
      <c r="W569" s="677"/>
      <c r="X569" s="677"/>
      <c r="Y569" s="677"/>
      <c r="Z569" s="677"/>
      <c r="AA569" s="677"/>
      <c r="AB569" s="677"/>
      <c r="AC569" s="571"/>
      <c r="AD569" s="571"/>
      <c r="AE569" s="651"/>
      <c r="AF569" s="651"/>
      <c r="AG569" s="651"/>
      <c r="AH569" s="651"/>
      <c r="AI569" s="651"/>
      <c r="AJ569" s="651"/>
      <c r="AK569" s="651"/>
      <c r="AL569" s="651"/>
      <c r="AN569" s="632"/>
    </row>
    <row r="570" spans="1:42" s="585" customFormat="1" ht="12.75" customHeight="1">
      <c r="B570" s="571"/>
      <c r="C570" s="651"/>
      <c r="D570" s="698"/>
      <c r="E570" s="874" t="s">
        <v>1961</v>
      </c>
      <c r="F570" s="677"/>
      <c r="G570" s="677"/>
      <c r="H570" s="677"/>
      <c r="I570" s="677"/>
      <c r="J570" s="677"/>
      <c r="K570" s="677"/>
      <c r="L570" s="677"/>
      <c r="M570" s="677"/>
      <c r="N570" s="677"/>
      <c r="O570" s="677"/>
      <c r="P570" s="677"/>
      <c r="Q570" s="677"/>
      <c r="R570" s="677"/>
      <c r="S570" s="677"/>
      <c r="T570" s="677"/>
      <c r="U570" s="677"/>
      <c r="V570" s="677"/>
      <c r="W570" s="677"/>
      <c r="X570" s="677"/>
      <c r="Y570" s="677"/>
      <c r="Z570" s="677"/>
      <c r="AA570" s="677"/>
      <c r="AB570" s="677"/>
      <c r="AC570" s="571"/>
      <c r="AD570" s="571"/>
      <c r="AE570" s="651"/>
      <c r="AF570" s="651"/>
      <c r="AG570" s="651"/>
      <c r="AH570" s="651"/>
      <c r="AI570" s="651"/>
      <c r="AJ570" s="651"/>
      <c r="AK570" s="651"/>
      <c r="AL570" s="651"/>
      <c r="AN570" s="632"/>
    </row>
    <row r="571" spans="1:42" s="585" customFormat="1" ht="12.75" customHeight="1">
      <c r="B571" s="571"/>
      <c r="C571" s="651"/>
      <c r="D571" s="698"/>
      <c r="E571" s="874" t="s">
        <v>1962</v>
      </c>
      <c r="F571" s="677"/>
      <c r="G571" s="677"/>
      <c r="H571" s="677"/>
      <c r="I571" s="677"/>
      <c r="J571" s="677"/>
      <c r="K571" s="677"/>
      <c r="L571" s="677"/>
      <c r="M571" s="677"/>
      <c r="N571" s="677"/>
      <c r="O571" s="677"/>
      <c r="P571" s="677"/>
      <c r="Q571" s="677"/>
      <c r="R571" s="677"/>
      <c r="S571" s="677"/>
      <c r="T571" s="677"/>
      <c r="U571" s="677"/>
      <c r="V571" s="677"/>
      <c r="W571" s="677"/>
      <c r="X571" s="677"/>
      <c r="Y571" s="677"/>
      <c r="Z571" s="677"/>
      <c r="AA571" s="677"/>
      <c r="AB571" s="677"/>
      <c r="AC571" s="571"/>
      <c r="AD571" s="571"/>
      <c r="AE571" s="651"/>
      <c r="AF571" s="651"/>
      <c r="AG571" s="651"/>
      <c r="AH571" s="651"/>
      <c r="AI571" s="651"/>
      <c r="AJ571" s="651"/>
      <c r="AK571" s="651"/>
      <c r="AL571" s="651"/>
      <c r="AN571" s="632"/>
    </row>
    <row r="572" spans="1:42" s="585" customFormat="1" ht="12.75" customHeight="1">
      <c r="B572" s="571"/>
      <c r="C572" s="651"/>
      <c r="D572" s="698"/>
      <c r="E572" s="874" t="s">
        <v>1963</v>
      </c>
      <c r="F572" s="677"/>
      <c r="G572" s="677"/>
      <c r="H572" s="677"/>
      <c r="I572" s="677"/>
      <c r="J572" s="677"/>
      <c r="K572" s="677"/>
      <c r="L572" s="677"/>
      <c r="M572" s="677"/>
      <c r="N572" s="677"/>
      <c r="O572" s="677"/>
      <c r="P572" s="677"/>
      <c r="Q572" s="677"/>
      <c r="R572" s="677"/>
      <c r="S572" s="677"/>
      <c r="T572" s="677"/>
      <c r="U572" s="677"/>
      <c r="V572" s="677"/>
      <c r="W572" s="677"/>
      <c r="X572" s="677"/>
      <c r="Y572" s="677"/>
      <c r="Z572" s="677"/>
      <c r="AA572" s="677"/>
      <c r="AB572" s="677"/>
      <c r="AC572" s="571"/>
      <c r="AD572" s="571"/>
      <c r="AE572" s="651"/>
      <c r="AF572" s="651"/>
      <c r="AG572" s="651"/>
      <c r="AH572" s="651"/>
      <c r="AI572" s="651"/>
      <c r="AJ572" s="651"/>
      <c r="AK572" s="651"/>
      <c r="AL572" s="651"/>
      <c r="AN572" s="632"/>
    </row>
    <row r="573" spans="1:42" s="585" customFormat="1" ht="12.75" customHeight="1">
      <c r="B573" s="571"/>
      <c r="C573" s="651"/>
      <c r="D573" s="698"/>
      <c r="E573" s="874"/>
      <c r="F573" s="677"/>
      <c r="G573" s="677"/>
      <c r="H573" s="677"/>
      <c r="I573" s="677"/>
      <c r="J573" s="677"/>
      <c r="K573" s="677"/>
      <c r="L573" s="677"/>
      <c r="M573" s="677"/>
      <c r="N573" s="677"/>
      <c r="O573" s="677"/>
      <c r="P573" s="677"/>
      <c r="Q573" s="677"/>
      <c r="R573" s="677"/>
      <c r="S573" s="677"/>
      <c r="T573" s="677"/>
      <c r="U573" s="677"/>
      <c r="V573" s="677"/>
      <c r="W573" s="677"/>
      <c r="X573" s="677"/>
      <c r="Y573" s="677"/>
      <c r="Z573" s="677"/>
      <c r="AA573" s="677"/>
      <c r="AB573" s="677"/>
      <c r="AC573" s="571"/>
      <c r="AD573" s="571"/>
      <c r="AE573" s="651"/>
      <c r="AF573" s="571"/>
      <c r="AG573" s="571"/>
      <c r="AH573" s="571"/>
      <c r="AI573" s="571"/>
      <c r="AJ573" s="571"/>
      <c r="AK573" s="571"/>
      <c r="AL573" s="571"/>
      <c r="AN573" s="632"/>
    </row>
    <row r="574" spans="1:42" s="585" customFormat="1" ht="12.75" customHeight="1">
      <c r="A574" s="672"/>
      <c r="B574" s="571"/>
      <c r="C574" s="968"/>
      <c r="D574" s="698" t="s">
        <v>518</v>
      </c>
      <c r="E574" s="874" t="s">
        <v>1964</v>
      </c>
      <c r="F574" s="969"/>
      <c r="G574" s="969"/>
      <c r="H574" s="969"/>
      <c r="I574" s="969"/>
      <c r="J574" s="969"/>
      <c r="K574" s="969"/>
      <c r="L574" s="969"/>
      <c r="M574" s="969"/>
      <c r="N574" s="969"/>
      <c r="O574" s="969"/>
      <c r="P574" s="969"/>
      <c r="Q574" s="969"/>
      <c r="R574" s="969"/>
      <c r="S574" s="969"/>
      <c r="T574" s="969"/>
      <c r="U574" s="969"/>
      <c r="V574" s="969"/>
      <c r="W574" s="969"/>
      <c r="X574" s="969"/>
      <c r="Y574" s="969"/>
      <c r="Z574" s="969"/>
      <c r="AA574" s="969"/>
      <c r="AB574" s="969"/>
      <c r="AC574" s="571"/>
      <c r="AD574" s="571"/>
      <c r="AE574" s="571"/>
      <c r="AF574" s="1914" t="s">
        <v>1568</v>
      </c>
      <c r="AG574" s="1914"/>
      <c r="AH574" s="1914"/>
      <c r="AI574" s="1914"/>
      <c r="AJ574" s="1914"/>
      <c r="AK574" s="1914"/>
      <c r="AL574" s="1914"/>
      <c r="AN574" s="632"/>
    </row>
    <row r="575" spans="1:42" s="585" customFormat="1" ht="12.75" customHeight="1">
      <c r="B575" s="571"/>
      <c r="C575" s="970"/>
      <c r="D575" s="698"/>
      <c r="E575" s="874" t="s">
        <v>1965</v>
      </c>
      <c r="F575" s="969"/>
      <c r="G575" s="969"/>
      <c r="H575" s="969"/>
      <c r="I575" s="969"/>
      <c r="J575" s="969"/>
      <c r="K575" s="969"/>
      <c r="L575" s="969"/>
      <c r="M575" s="969"/>
      <c r="N575" s="969"/>
      <c r="O575" s="969"/>
      <c r="P575" s="969"/>
      <c r="Q575" s="969"/>
      <c r="R575" s="969"/>
      <c r="S575" s="969"/>
      <c r="T575" s="969"/>
      <c r="U575" s="969"/>
      <c r="V575" s="969"/>
      <c r="W575" s="969"/>
      <c r="X575" s="969"/>
      <c r="Y575" s="969"/>
      <c r="Z575" s="969"/>
      <c r="AA575" s="969"/>
      <c r="AB575" s="969"/>
      <c r="AC575" s="571"/>
      <c r="AD575" s="571"/>
      <c r="AE575" s="571"/>
      <c r="AF575" s="571"/>
      <c r="AG575" s="571"/>
      <c r="AH575" s="571"/>
      <c r="AI575" s="571"/>
      <c r="AJ575" s="571"/>
      <c r="AK575" s="571"/>
      <c r="AL575" s="571"/>
      <c r="AN575" s="632"/>
      <c r="AO575" s="585" t="s">
        <v>600</v>
      </c>
      <c r="AP575" s="708">
        <v>0</v>
      </c>
    </row>
    <row r="576" spans="1:42" s="585" customFormat="1" ht="12.75" customHeight="1">
      <c r="B576" s="645"/>
      <c r="C576" s="968"/>
      <c r="D576" s="698"/>
      <c r="E576" s="874" t="s">
        <v>1966</v>
      </c>
      <c r="F576" s="969"/>
      <c r="G576" s="969"/>
      <c r="H576" s="969"/>
      <c r="I576" s="969"/>
      <c r="J576" s="969"/>
      <c r="K576" s="969"/>
      <c r="L576" s="969"/>
      <c r="M576" s="969"/>
      <c r="N576" s="969"/>
      <c r="O576" s="969"/>
      <c r="P576" s="969"/>
      <c r="Q576" s="969"/>
      <c r="R576" s="969"/>
      <c r="S576" s="969"/>
      <c r="T576" s="969"/>
      <c r="U576" s="969"/>
      <c r="V576" s="969"/>
      <c r="W576" s="969"/>
      <c r="X576" s="969"/>
      <c r="Y576" s="969"/>
      <c r="Z576" s="969"/>
      <c r="AA576" s="969"/>
      <c r="AB576" s="969"/>
      <c r="AC576" s="571"/>
      <c r="AD576" s="571"/>
      <c r="AE576" s="571"/>
      <c r="AF576" s="571"/>
      <c r="AG576" s="571"/>
      <c r="AH576" s="571"/>
      <c r="AI576" s="571"/>
      <c r="AJ576" s="571"/>
      <c r="AK576" s="571"/>
      <c r="AL576" s="571"/>
      <c r="AN576" s="632"/>
      <c r="AO576" s="646" t="s">
        <v>697</v>
      </c>
      <c r="AP576" s="585">
        <v>7</v>
      </c>
    </row>
    <row r="577" spans="1:53" s="585" customFormat="1" ht="12.75" customHeight="1">
      <c r="B577" s="645"/>
      <c r="C577" s="968"/>
      <c r="D577" s="698"/>
      <c r="E577" s="874" t="s">
        <v>1968</v>
      </c>
      <c r="F577" s="969"/>
      <c r="G577" s="969"/>
      <c r="H577" s="969"/>
      <c r="I577" s="969"/>
      <c r="J577" s="969"/>
      <c r="K577" s="969"/>
      <c r="L577" s="969"/>
      <c r="M577" s="969"/>
      <c r="N577" s="969"/>
      <c r="O577" s="969"/>
      <c r="P577" s="969"/>
      <c r="Q577" s="969"/>
      <c r="R577" s="969"/>
      <c r="S577" s="969"/>
      <c r="T577" s="969"/>
      <c r="U577" s="969"/>
      <c r="V577" s="969"/>
      <c r="W577" s="969"/>
      <c r="X577" s="969"/>
      <c r="Y577" s="969"/>
      <c r="Z577" s="969"/>
      <c r="AA577" s="969"/>
      <c r="AB577" s="969"/>
      <c r="AC577" s="571"/>
      <c r="AD577" s="571"/>
      <c r="AE577" s="571"/>
      <c r="AF577" s="571"/>
      <c r="AG577" s="571"/>
      <c r="AH577" s="571"/>
      <c r="AI577" s="571"/>
      <c r="AJ577" s="571"/>
      <c r="AK577" s="571"/>
      <c r="AL577" s="571"/>
      <c r="AN577" s="632"/>
      <c r="AO577" s="646" t="s">
        <v>518</v>
      </c>
      <c r="AP577" s="585">
        <v>6</v>
      </c>
    </row>
    <row r="578" spans="1:53" s="585" customFormat="1" ht="12.75" customHeight="1">
      <c r="B578" s="645"/>
      <c r="C578" s="968"/>
      <c r="D578" s="698"/>
      <c r="E578" s="874" t="s">
        <v>1967</v>
      </c>
      <c r="F578" s="969"/>
      <c r="G578" s="969"/>
      <c r="H578" s="969"/>
      <c r="I578" s="969"/>
      <c r="J578" s="969"/>
      <c r="K578" s="969"/>
      <c r="L578" s="969"/>
      <c r="M578" s="969"/>
      <c r="N578" s="969"/>
      <c r="O578" s="969"/>
      <c r="P578" s="969"/>
      <c r="Q578" s="969"/>
      <c r="R578" s="969"/>
      <c r="S578" s="969"/>
      <c r="T578" s="969"/>
      <c r="U578" s="969"/>
      <c r="V578" s="969"/>
      <c r="W578" s="969"/>
      <c r="X578" s="969"/>
      <c r="Y578" s="969"/>
      <c r="Z578" s="969"/>
      <c r="AA578" s="969"/>
      <c r="AB578" s="969"/>
      <c r="AC578" s="571"/>
      <c r="AD578" s="571"/>
      <c r="AE578" s="571"/>
      <c r="AF578" s="571"/>
      <c r="AG578" s="571"/>
      <c r="AH578" s="571"/>
      <c r="AI578" s="571"/>
      <c r="AJ578" s="571"/>
      <c r="AK578" s="571"/>
      <c r="AL578" s="571"/>
      <c r="AN578" s="632"/>
      <c r="AO578" s="646" t="s">
        <v>279</v>
      </c>
      <c r="AP578" s="585">
        <v>5</v>
      </c>
    </row>
    <row r="579" spans="1:53" s="585" customFormat="1" ht="12.75" customHeight="1">
      <c r="B579" s="645"/>
      <c r="C579" s="968"/>
      <c r="D579" s="698"/>
      <c r="E579" s="971"/>
      <c r="F579" s="972"/>
      <c r="G579" s="972"/>
      <c r="H579" s="972"/>
      <c r="I579" s="651"/>
      <c r="J579" s="651"/>
      <c r="K579" s="651"/>
      <c r="L579" s="651"/>
      <c r="M579" s="651"/>
      <c r="N579" s="651"/>
      <c r="O579" s="651"/>
      <c r="P579" s="651"/>
      <c r="Q579" s="651"/>
      <c r="R579" s="651"/>
      <c r="S579" s="651"/>
      <c r="T579" s="651"/>
      <c r="U579" s="651"/>
      <c r="V579" s="651"/>
      <c r="W579" s="651"/>
      <c r="X579" s="651"/>
      <c r="Y579" s="651"/>
      <c r="Z579" s="651"/>
      <c r="AA579" s="651"/>
      <c r="AB579" s="651"/>
      <c r="AC579" s="571"/>
      <c r="AD579" s="571"/>
      <c r="AE579" s="651"/>
      <c r="AF579" s="571"/>
      <c r="AG579" s="571"/>
      <c r="AH579" s="571"/>
      <c r="AI579" s="571"/>
      <c r="AJ579" s="571"/>
      <c r="AK579" s="571"/>
      <c r="AL579" s="571"/>
      <c r="AN579" s="632"/>
      <c r="AO579" s="646" t="s">
        <v>1569</v>
      </c>
      <c r="AP579" s="585">
        <v>4</v>
      </c>
    </row>
    <row r="580" spans="1:53" s="585" customFormat="1" ht="12.75" customHeight="1">
      <c r="B580" s="571"/>
      <c r="C580" s="968"/>
      <c r="D580" s="698" t="s">
        <v>279</v>
      </c>
      <c r="E580" s="874" t="s">
        <v>1969</v>
      </c>
      <c r="F580" s="969"/>
      <c r="G580" s="969"/>
      <c r="H580" s="969"/>
      <c r="I580" s="969"/>
      <c r="J580" s="969"/>
      <c r="K580" s="969"/>
      <c r="L580" s="969"/>
      <c r="M580" s="969"/>
      <c r="N580" s="969"/>
      <c r="O580" s="969"/>
      <c r="P580" s="969"/>
      <c r="Q580" s="969"/>
      <c r="R580" s="969"/>
      <c r="S580" s="969"/>
      <c r="T580" s="969"/>
      <c r="U580" s="969"/>
      <c r="V580" s="969"/>
      <c r="W580" s="969"/>
      <c r="X580" s="969"/>
      <c r="Y580" s="969"/>
      <c r="Z580" s="969"/>
      <c r="AA580" s="969"/>
      <c r="AB580" s="969"/>
      <c r="AC580" s="571"/>
      <c r="AD580" s="571"/>
      <c r="AE580" s="571"/>
      <c r="AF580" s="1914" t="s">
        <v>1550</v>
      </c>
      <c r="AG580" s="1914"/>
      <c r="AH580" s="1914"/>
      <c r="AI580" s="1914"/>
      <c r="AJ580" s="1914"/>
      <c r="AK580" s="1914"/>
      <c r="AL580" s="1914"/>
      <c r="AN580" s="632"/>
      <c r="AO580" s="646" t="s">
        <v>1570</v>
      </c>
      <c r="AP580" s="585">
        <v>3</v>
      </c>
    </row>
    <row r="581" spans="1:53" s="585" customFormat="1" ht="12.75" customHeight="1">
      <c r="B581" s="571"/>
      <c r="C581" s="970"/>
      <c r="D581" s="698"/>
      <c r="E581" s="874" t="s">
        <v>1965</v>
      </c>
      <c r="F581" s="969"/>
      <c r="G581" s="969"/>
      <c r="H581" s="969"/>
      <c r="I581" s="969"/>
      <c r="J581" s="969"/>
      <c r="K581" s="969"/>
      <c r="L581" s="969"/>
      <c r="M581" s="969"/>
      <c r="N581" s="969"/>
      <c r="O581" s="969"/>
      <c r="P581" s="969"/>
      <c r="Q581" s="969"/>
      <c r="R581" s="969"/>
      <c r="S581" s="969"/>
      <c r="T581" s="969"/>
      <c r="U581" s="969"/>
      <c r="V581" s="969"/>
      <c r="W581" s="969"/>
      <c r="X581" s="969"/>
      <c r="Y581" s="969"/>
      <c r="Z581" s="969"/>
      <c r="AA581" s="969"/>
      <c r="AB581" s="969"/>
      <c r="AC581" s="571"/>
      <c r="AD581" s="571"/>
      <c r="AE581" s="571"/>
      <c r="AF581" s="571"/>
      <c r="AG581" s="571"/>
      <c r="AH581" s="571"/>
      <c r="AI581" s="571"/>
      <c r="AJ581" s="571"/>
      <c r="AK581" s="571"/>
      <c r="AL581" s="571"/>
      <c r="AN581" s="632"/>
    </row>
    <row r="582" spans="1:53" s="585" customFormat="1" ht="12.75" customHeight="1">
      <c r="B582" s="571"/>
      <c r="C582" s="970"/>
      <c r="D582" s="698"/>
      <c r="E582" s="874" t="s">
        <v>1966</v>
      </c>
      <c r="F582" s="969"/>
      <c r="G582" s="969"/>
      <c r="H582" s="969"/>
      <c r="I582" s="969"/>
      <c r="J582" s="969"/>
      <c r="K582" s="969"/>
      <c r="L582" s="969"/>
      <c r="M582" s="969"/>
      <c r="N582" s="969"/>
      <c r="O582" s="969"/>
      <c r="P582" s="969"/>
      <c r="Q582" s="969"/>
      <c r="R582" s="969"/>
      <c r="S582" s="969"/>
      <c r="T582" s="969"/>
      <c r="U582" s="969"/>
      <c r="V582" s="969"/>
      <c r="W582" s="969"/>
      <c r="X582" s="969"/>
      <c r="Y582" s="969"/>
      <c r="Z582" s="969"/>
      <c r="AA582" s="969"/>
      <c r="AB582" s="969"/>
      <c r="AC582" s="571"/>
      <c r="AD582" s="571"/>
      <c r="AE582" s="571"/>
      <c r="AF582" s="571"/>
      <c r="AG582" s="571"/>
      <c r="AH582" s="571"/>
      <c r="AI582" s="571"/>
      <c r="AJ582" s="571"/>
      <c r="AK582" s="571"/>
      <c r="AL582" s="571"/>
      <c r="AN582" s="632"/>
    </row>
    <row r="583" spans="1:53" s="585" customFormat="1" ht="12.75" customHeight="1">
      <c r="B583" s="571"/>
      <c r="C583" s="970"/>
      <c r="D583" s="698"/>
      <c r="E583" s="874" t="s">
        <v>1968</v>
      </c>
      <c r="F583" s="969"/>
      <c r="G583" s="969"/>
      <c r="H583" s="969"/>
      <c r="I583" s="969"/>
      <c r="J583" s="969"/>
      <c r="K583" s="969"/>
      <c r="L583" s="969"/>
      <c r="M583" s="969"/>
      <c r="N583" s="969"/>
      <c r="O583" s="969"/>
      <c r="P583" s="969"/>
      <c r="Q583" s="969"/>
      <c r="R583" s="969"/>
      <c r="S583" s="969"/>
      <c r="T583" s="969"/>
      <c r="U583" s="969"/>
      <c r="V583" s="969"/>
      <c r="W583" s="969"/>
      <c r="X583" s="969"/>
      <c r="Y583" s="969"/>
      <c r="Z583" s="969"/>
      <c r="AA583" s="969"/>
      <c r="AB583" s="969"/>
      <c r="AC583" s="571"/>
      <c r="AD583" s="571"/>
      <c r="AE583" s="571"/>
      <c r="AF583" s="571"/>
      <c r="AG583" s="571"/>
      <c r="AH583" s="571"/>
      <c r="AI583" s="571"/>
      <c r="AJ583" s="571"/>
      <c r="AK583" s="571"/>
      <c r="AL583" s="571"/>
      <c r="AN583" s="632"/>
    </row>
    <row r="584" spans="1:53" s="585" customFormat="1" ht="12.75" customHeight="1">
      <c r="B584" s="571"/>
      <c r="C584" s="970"/>
      <c r="D584" s="698"/>
      <c r="E584" s="874" t="s">
        <v>1967</v>
      </c>
      <c r="F584" s="969"/>
      <c r="G584" s="969"/>
      <c r="H584" s="969"/>
      <c r="I584" s="969"/>
      <c r="J584" s="969"/>
      <c r="K584" s="969"/>
      <c r="L584" s="969"/>
      <c r="M584" s="969"/>
      <c r="N584" s="969"/>
      <c r="O584" s="969"/>
      <c r="P584" s="969"/>
      <c r="Q584" s="969"/>
      <c r="R584" s="969"/>
      <c r="S584" s="969"/>
      <c r="T584" s="969"/>
      <c r="U584" s="969"/>
      <c r="V584" s="969"/>
      <c r="W584" s="969"/>
      <c r="X584" s="969"/>
      <c r="Y584" s="969"/>
      <c r="Z584" s="969"/>
      <c r="AA584" s="969"/>
      <c r="AB584" s="969"/>
      <c r="AC584" s="571"/>
      <c r="AD584" s="571"/>
      <c r="AE584" s="571"/>
      <c r="AF584" s="571"/>
      <c r="AG584" s="571"/>
      <c r="AH584" s="571"/>
      <c r="AI584" s="571"/>
      <c r="AJ584" s="571"/>
      <c r="AK584" s="571"/>
      <c r="AL584" s="571"/>
      <c r="AN584" s="632"/>
    </row>
    <row r="585" spans="1:53" s="585" customFormat="1" ht="12.75" customHeight="1">
      <c r="A585" s="14"/>
      <c r="B585" s="14"/>
      <c r="C585" s="14"/>
      <c r="D585" s="698"/>
      <c r="E585" s="70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1"/>
      <c r="AD585" s="571"/>
      <c r="AE585" s="14"/>
      <c r="AF585" s="571"/>
      <c r="AG585" s="571"/>
      <c r="AH585" s="571"/>
      <c r="AI585" s="571"/>
      <c r="AJ585" s="571"/>
      <c r="AK585" s="571"/>
      <c r="AL585" s="571"/>
      <c r="AM585" s="14"/>
      <c r="AN585" s="632"/>
    </row>
    <row r="586" spans="1:53" s="585" customFormat="1" ht="12.75" customHeight="1">
      <c r="B586" s="571"/>
      <c r="C586" s="968"/>
      <c r="D586" s="698" t="s">
        <v>1569</v>
      </c>
      <c r="E586" s="874" t="s">
        <v>1970</v>
      </c>
      <c r="F586" s="969"/>
      <c r="G586" s="969"/>
      <c r="H586" s="969"/>
      <c r="I586" s="969"/>
      <c r="J586" s="969"/>
      <c r="K586" s="969"/>
      <c r="L586" s="969"/>
      <c r="M586" s="969"/>
      <c r="N586" s="969"/>
      <c r="O586" s="969"/>
      <c r="P586" s="969"/>
      <c r="Q586" s="969"/>
      <c r="R586" s="969"/>
      <c r="S586" s="969"/>
      <c r="T586" s="969"/>
      <c r="U586" s="969"/>
      <c r="V586" s="969"/>
      <c r="W586" s="969"/>
      <c r="X586" s="969"/>
      <c r="Y586" s="969"/>
      <c r="Z586" s="969"/>
      <c r="AA586" s="969"/>
      <c r="AB586" s="969"/>
      <c r="AC586" s="571"/>
      <c r="AD586" s="571"/>
      <c r="AE586" s="571"/>
      <c r="AF586" s="1914" t="s">
        <v>1571</v>
      </c>
      <c r="AG586" s="1914"/>
      <c r="AH586" s="1914"/>
      <c r="AI586" s="1914"/>
      <c r="AJ586" s="1914"/>
      <c r="AK586" s="1914"/>
      <c r="AL586" s="1914"/>
      <c r="AN586" s="632"/>
      <c r="AO586" s="585" t="str">
        <f>X623</f>
        <v>N/A</v>
      </c>
    </row>
    <row r="587" spans="1:53" s="585" customFormat="1" ht="12.75" customHeight="1">
      <c r="B587" s="571"/>
      <c r="C587" s="970"/>
      <c r="D587" s="698"/>
      <c r="E587" s="874" t="s">
        <v>1971</v>
      </c>
      <c r="F587" s="969"/>
      <c r="G587" s="969"/>
      <c r="H587" s="969"/>
      <c r="I587" s="969"/>
      <c r="J587" s="969"/>
      <c r="K587" s="969"/>
      <c r="L587" s="969"/>
      <c r="M587" s="969"/>
      <c r="N587" s="969"/>
      <c r="O587" s="969"/>
      <c r="P587" s="969"/>
      <c r="Q587" s="969"/>
      <c r="R587" s="969"/>
      <c r="S587" s="969"/>
      <c r="T587" s="969"/>
      <c r="U587" s="969"/>
      <c r="V587" s="969"/>
      <c r="W587" s="969"/>
      <c r="X587" s="969"/>
      <c r="Y587" s="969"/>
      <c r="Z587" s="969"/>
      <c r="AA587" s="969"/>
      <c r="AB587" s="969"/>
      <c r="AC587" s="14"/>
      <c r="AD587" s="14"/>
      <c r="AE587" s="571"/>
      <c r="AF587" s="571"/>
      <c r="AG587" s="571"/>
      <c r="AH587" s="571"/>
      <c r="AI587" s="571"/>
      <c r="AJ587" s="571"/>
      <c r="AK587" s="571"/>
      <c r="AL587" s="571"/>
      <c r="AN587" s="632"/>
      <c r="AU587" s="629"/>
      <c r="AV587" s="629"/>
      <c r="AW587" s="629"/>
      <c r="AX587" s="629"/>
      <c r="AY587" s="629"/>
      <c r="AZ587" s="629"/>
      <c r="BA587" s="629"/>
    </row>
    <row r="588" spans="1:53" s="585" customFormat="1" ht="12.75" customHeight="1">
      <c r="B588" s="645"/>
      <c r="C588" s="968"/>
      <c r="D588" s="698"/>
      <c r="E588" s="874" t="s">
        <v>1972</v>
      </c>
      <c r="F588" s="969"/>
      <c r="G588" s="969"/>
      <c r="H588" s="969"/>
      <c r="I588" s="969"/>
      <c r="J588" s="969"/>
      <c r="K588" s="969"/>
      <c r="L588" s="969"/>
      <c r="M588" s="969"/>
      <c r="N588" s="969"/>
      <c r="O588" s="969"/>
      <c r="P588" s="969"/>
      <c r="Q588" s="969"/>
      <c r="R588" s="969"/>
      <c r="S588" s="969"/>
      <c r="T588" s="969"/>
      <c r="U588" s="969"/>
      <c r="V588" s="969"/>
      <c r="W588" s="969"/>
      <c r="X588" s="969"/>
      <c r="Y588" s="969"/>
      <c r="Z588" s="969"/>
      <c r="AA588" s="969"/>
      <c r="AB588" s="969"/>
      <c r="AC588" s="571"/>
      <c r="AD588" s="571"/>
      <c r="AE588" s="571"/>
      <c r="AF588" s="571"/>
      <c r="AG588" s="571"/>
      <c r="AH588" s="571"/>
      <c r="AI588" s="571"/>
      <c r="AJ588" s="571"/>
      <c r="AK588" s="571"/>
      <c r="AL588" s="571"/>
      <c r="AN588" s="632"/>
    </row>
    <row r="589" spans="1:53" s="585" customFormat="1" ht="12.75" customHeight="1">
      <c r="B589" s="645"/>
      <c r="C589" s="968"/>
      <c r="D589" s="698"/>
      <c r="E589" s="874"/>
      <c r="F589" s="969"/>
      <c r="G589" s="969"/>
      <c r="H589" s="969"/>
      <c r="I589" s="969"/>
      <c r="J589" s="969"/>
      <c r="K589" s="969"/>
      <c r="L589" s="969"/>
      <c r="M589" s="969"/>
      <c r="N589" s="969"/>
      <c r="O589" s="969"/>
      <c r="P589" s="969"/>
      <c r="Q589" s="969"/>
      <c r="R589" s="969"/>
      <c r="S589" s="969"/>
      <c r="T589" s="969"/>
      <c r="U589" s="969"/>
      <c r="V589" s="969"/>
      <c r="W589" s="969"/>
      <c r="X589" s="969"/>
      <c r="Y589" s="969"/>
      <c r="Z589" s="969"/>
      <c r="AA589" s="969"/>
      <c r="AB589" s="969"/>
      <c r="AC589" s="571"/>
      <c r="AD589" s="571"/>
      <c r="AE589" s="571"/>
      <c r="AF589" s="571"/>
      <c r="AG589" s="571"/>
      <c r="AH589" s="571"/>
      <c r="AI589" s="571"/>
      <c r="AJ589" s="571"/>
      <c r="AK589" s="571"/>
      <c r="AL589" s="571"/>
      <c r="AN589" s="632"/>
    </row>
    <row r="590" spans="1:53" s="585" customFormat="1" ht="12.75" customHeight="1">
      <c r="B590" s="645"/>
      <c r="C590" s="968"/>
      <c r="D590" s="698"/>
      <c r="E590" s="571" t="s">
        <v>2130</v>
      </c>
      <c r="O590" s="1998" t="s">
        <v>1327</v>
      </c>
      <c r="P590" s="1998"/>
      <c r="Q590" s="1998"/>
      <c r="R590" s="1998"/>
      <c r="S590" s="1998"/>
      <c r="T590" s="1998"/>
      <c r="U590" s="1998"/>
      <c r="V590" s="1998"/>
      <c r="W590" s="1998"/>
      <c r="X590" s="1998"/>
      <c r="Y590" s="1998"/>
      <c r="Z590" s="1998"/>
      <c r="AA590" s="1998"/>
      <c r="AB590" s="1998"/>
      <c r="AH590" s="571"/>
      <c r="AI590" s="571"/>
      <c r="AJ590" s="571"/>
      <c r="AK590" s="571"/>
      <c r="AL590" s="571"/>
      <c r="AN590" s="632"/>
    </row>
    <row r="591" spans="1:53" s="585" customFormat="1" ht="12.75" customHeight="1">
      <c r="B591" s="645"/>
      <c r="C591" s="968"/>
      <c r="D591" s="698"/>
      <c r="E591" s="874"/>
      <c r="F591" s="969"/>
      <c r="G591" s="969"/>
      <c r="H591" s="969"/>
      <c r="I591" s="969"/>
      <c r="J591" s="969"/>
      <c r="K591" s="969"/>
      <c r="L591" s="969"/>
      <c r="M591" s="969"/>
      <c r="N591" s="969"/>
      <c r="O591" s="969"/>
      <c r="P591" s="969"/>
      <c r="Q591" s="969"/>
      <c r="R591" s="969"/>
      <c r="S591" s="969"/>
      <c r="T591" s="969"/>
      <c r="U591" s="969"/>
      <c r="V591" s="969"/>
      <c r="W591" s="969"/>
      <c r="X591" s="969"/>
      <c r="Y591" s="969"/>
      <c r="Z591" s="969"/>
      <c r="AA591" s="969"/>
      <c r="AB591" s="969"/>
      <c r="AC591" s="571"/>
      <c r="AD591" s="571"/>
      <c r="AE591" s="571"/>
      <c r="AF591" s="571"/>
      <c r="AG591" s="571"/>
      <c r="AH591" s="571"/>
      <c r="AI591" s="571"/>
      <c r="AJ591" s="571"/>
      <c r="AK591" s="571"/>
      <c r="AL591" s="571"/>
      <c r="AN591" s="632"/>
    </row>
    <row r="592" spans="1:53" s="585" customFormat="1" ht="12.75" customHeight="1">
      <c r="B592" s="571"/>
      <c r="C592" s="968"/>
      <c r="D592" s="698" t="s">
        <v>1570</v>
      </c>
      <c r="E592" s="874" t="s">
        <v>1974</v>
      </c>
      <c r="F592" s="969"/>
      <c r="G592" s="969"/>
      <c r="H592" s="969"/>
      <c r="I592" s="969"/>
      <c r="J592" s="969"/>
      <c r="K592" s="969"/>
      <c r="L592" s="969"/>
      <c r="M592" s="969"/>
      <c r="N592" s="969"/>
      <c r="O592" s="969"/>
      <c r="P592" s="969"/>
      <c r="Q592" s="969"/>
      <c r="R592" s="969"/>
      <c r="S592" s="969"/>
      <c r="T592" s="969"/>
      <c r="U592" s="969"/>
      <c r="V592" s="969"/>
      <c r="W592" s="969"/>
      <c r="X592" s="969"/>
      <c r="Y592" s="969"/>
      <c r="Z592" s="969"/>
      <c r="AA592" s="969"/>
      <c r="AB592" s="969"/>
      <c r="AC592" s="571"/>
      <c r="AD592" s="571"/>
      <c r="AE592" s="571"/>
      <c r="AF592" s="1914" t="s">
        <v>1524</v>
      </c>
      <c r="AG592" s="1914"/>
      <c r="AH592" s="1914"/>
      <c r="AI592" s="1914"/>
      <c r="AJ592" s="1914"/>
      <c r="AK592" s="1914"/>
      <c r="AL592" s="1914"/>
      <c r="AN592" s="632"/>
    </row>
    <row r="593" spans="2:47" s="585" customFormat="1" ht="12.75" customHeight="1">
      <c r="B593" s="571"/>
      <c r="C593" s="968"/>
      <c r="D593" s="698"/>
      <c r="E593" s="874" t="s">
        <v>1973</v>
      </c>
      <c r="F593" s="969"/>
      <c r="G593" s="969"/>
      <c r="H593" s="969"/>
      <c r="I593" s="969"/>
      <c r="J593" s="969"/>
      <c r="K593" s="969"/>
      <c r="L593" s="969"/>
      <c r="M593" s="969"/>
      <c r="N593" s="969"/>
      <c r="O593" s="969"/>
      <c r="P593" s="969"/>
      <c r="Q593" s="969"/>
      <c r="R593" s="969"/>
      <c r="S593" s="969"/>
      <c r="T593" s="969"/>
      <c r="U593" s="969"/>
      <c r="V593" s="969"/>
      <c r="W593" s="969"/>
      <c r="X593" s="969"/>
      <c r="Y593" s="969"/>
      <c r="Z593" s="969"/>
      <c r="AA593" s="969"/>
      <c r="AB593" s="969"/>
      <c r="AC593" s="571"/>
      <c r="AD593" s="571"/>
      <c r="AE593" s="629"/>
      <c r="AF593" s="571"/>
      <c r="AG593" s="571"/>
      <c r="AH593" s="571"/>
      <c r="AI593" s="571"/>
      <c r="AJ593" s="571"/>
      <c r="AK593" s="571"/>
      <c r="AL593" s="571"/>
      <c r="AN593" s="632"/>
    </row>
    <row r="594" spans="2:47" s="585" customFormat="1" ht="12.75" customHeight="1">
      <c r="B594" s="571"/>
      <c r="C594" s="970"/>
      <c r="D594" s="571"/>
      <c r="E594" s="651"/>
      <c r="F594" s="973"/>
      <c r="G594" s="973"/>
      <c r="H594" s="973"/>
      <c r="I594" s="973"/>
      <c r="J594" s="973"/>
      <c r="K594" s="973"/>
      <c r="L594" s="973"/>
      <c r="M594" s="973"/>
      <c r="N594" s="973"/>
      <c r="O594" s="973"/>
      <c r="P594" s="973"/>
      <c r="Q594" s="973"/>
      <c r="R594" s="973"/>
      <c r="S594" s="973"/>
      <c r="T594" s="973"/>
      <c r="U594" s="973"/>
      <c r="V594" s="973"/>
      <c r="W594" s="973"/>
      <c r="X594" s="973"/>
      <c r="Y594" s="973"/>
      <c r="Z594" s="973"/>
      <c r="AA594" s="973"/>
      <c r="AB594" s="973"/>
      <c r="AC594" s="571"/>
      <c r="AD594" s="571"/>
      <c r="AE594" s="571"/>
      <c r="AF594" s="571"/>
      <c r="AG594" s="571"/>
      <c r="AH594" s="571"/>
      <c r="AI594" s="571"/>
      <c r="AJ594" s="571"/>
      <c r="AK594" s="571"/>
      <c r="AL594" s="571"/>
      <c r="AN594" s="632"/>
      <c r="AO594" s="585" t="s">
        <v>600</v>
      </c>
      <c r="AP594" s="708">
        <v>0</v>
      </c>
      <c r="AT594" s="585" t="s">
        <v>600</v>
      </c>
      <c r="AU594" s="708">
        <v>0</v>
      </c>
    </row>
    <row r="595" spans="2:47" s="585" customFormat="1" ht="12.75" customHeight="1">
      <c r="B595" s="571"/>
      <c r="C595" s="970"/>
      <c r="D595" s="571" t="s">
        <v>1572</v>
      </c>
      <c r="E595" s="973"/>
      <c r="F595" s="973"/>
      <c r="G595" s="973"/>
      <c r="H595" s="1996" t="s">
        <v>600</v>
      </c>
      <c r="I595" s="1996"/>
      <c r="J595" s="973"/>
      <c r="K595" s="973"/>
      <c r="L595" s="973"/>
      <c r="M595" s="973"/>
      <c r="N595" s="571"/>
      <c r="O595" s="571"/>
      <c r="P595" s="571"/>
      <c r="Q595" s="571"/>
      <c r="R595" s="571"/>
      <c r="S595" s="571"/>
      <c r="T595" s="571"/>
      <c r="U595" s="571"/>
      <c r="V595" s="571"/>
      <c r="W595" s="571"/>
      <c r="X595" s="571"/>
      <c r="Y595" s="571"/>
      <c r="Z595" s="571"/>
      <c r="AA595" s="571"/>
      <c r="AB595" s="571"/>
      <c r="AC595" s="571"/>
      <c r="AD595" s="571"/>
      <c r="AE595" s="571"/>
      <c r="AF595" s="571"/>
      <c r="AG595" s="571"/>
      <c r="AH595" s="571"/>
      <c r="AI595" s="571"/>
      <c r="AJ595" s="571"/>
      <c r="AK595" s="571"/>
      <c r="AL595" s="571"/>
      <c r="AN595" s="632"/>
      <c r="AO595" s="646" t="s">
        <v>697</v>
      </c>
      <c r="AP595" s="585">
        <v>3</v>
      </c>
      <c r="AT595" s="646" t="s">
        <v>697</v>
      </c>
      <c r="AU595" s="585">
        <v>3</v>
      </c>
    </row>
    <row r="596" spans="2:47" s="585" customFormat="1" ht="12.75" customHeight="1">
      <c r="B596" s="571"/>
      <c r="C596" s="970"/>
      <c r="D596" s="571"/>
      <c r="E596" s="973"/>
      <c r="F596" s="973"/>
      <c r="G596" s="973"/>
      <c r="H596" s="973"/>
      <c r="I596" s="973"/>
      <c r="J596" s="973"/>
      <c r="K596" s="973"/>
      <c r="L596" s="973"/>
      <c r="M596" s="973"/>
      <c r="N596" s="571"/>
      <c r="O596" s="571"/>
      <c r="P596" s="571"/>
      <c r="Q596" s="571"/>
      <c r="R596" s="571"/>
      <c r="S596" s="571"/>
      <c r="T596" s="571"/>
      <c r="U596" s="571"/>
      <c r="V596" s="571"/>
      <c r="W596" s="571"/>
      <c r="X596" s="571"/>
      <c r="Y596" s="571"/>
      <c r="Z596" s="571"/>
      <c r="AA596" s="571"/>
      <c r="AB596" s="571"/>
      <c r="AC596" s="571"/>
      <c r="AD596" s="571"/>
      <c r="AE596" s="571"/>
      <c r="AF596" s="571"/>
      <c r="AG596" s="571"/>
      <c r="AH596" s="571"/>
      <c r="AI596" s="571"/>
      <c r="AJ596" s="571"/>
      <c r="AK596" s="571"/>
      <c r="AL596" s="571"/>
      <c r="AN596" s="632"/>
      <c r="AO596" s="646" t="s">
        <v>518</v>
      </c>
      <c r="AP596" s="585">
        <v>2</v>
      </c>
      <c r="AT596" s="646" t="s">
        <v>518</v>
      </c>
      <c r="AU596" s="585">
        <v>2</v>
      </c>
    </row>
    <row r="597" spans="2:47" s="585" customFormat="1" ht="12.75" customHeight="1">
      <c r="B597" s="571"/>
      <c r="C597" s="970"/>
      <c r="D597" s="571"/>
      <c r="E597" s="973"/>
      <c r="F597" s="973"/>
      <c r="G597" s="973"/>
      <c r="H597" s="973"/>
      <c r="I597" s="973"/>
      <c r="J597" s="973"/>
      <c r="K597" s="973"/>
      <c r="L597" s="973"/>
      <c r="M597" s="973"/>
      <c r="N597" s="571"/>
      <c r="O597" s="571"/>
      <c r="P597" s="571"/>
      <c r="Q597" s="571"/>
      <c r="R597" s="571"/>
      <c r="S597" s="571"/>
      <c r="T597" s="571"/>
      <c r="U597" s="571"/>
      <c r="V597" s="571"/>
      <c r="W597" s="571"/>
      <c r="X597" s="571"/>
      <c r="Y597" s="571"/>
      <c r="Z597" s="571"/>
      <c r="AA597" s="571"/>
      <c r="AB597" s="571"/>
      <c r="AC597" s="571"/>
      <c r="AD597" s="571"/>
      <c r="AE597" s="571"/>
      <c r="AF597" s="571"/>
      <c r="AG597" s="571"/>
      <c r="AH597" s="571"/>
      <c r="AI597" s="571"/>
      <c r="AJ597" s="571"/>
      <c r="AK597" s="571"/>
      <c r="AL597" s="571"/>
      <c r="AN597" s="632"/>
      <c r="AO597" s="646"/>
      <c r="AT597" s="646"/>
    </row>
    <row r="598" spans="2:47" s="585" customFormat="1" ht="12.75" customHeight="1">
      <c r="B598" s="571"/>
      <c r="C598" s="970"/>
      <c r="D598" s="571" t="s">
        <v>1975</v>
      </c>
      <c r="E598" s="973"/>
      <c r="F598" s="973"/>
      <c r="G598" s="973"/>
      <c r="H598" s="973"/>
      <c r="I598" s="973"/>
      <c r="J598" s="973"/>
      <c r="K598" s="973"/>
      <c r="L598" s="973"/>
      <c r="M598" s="973"/>
      <c r="N598" s="571"/>
      <c r="O598" s="571"/>
      <c r="P598" s="571"/>
      <c r="Q598" s="571"/>
      <c r="R598" s="571"/>
      <c r="S598" s="571"/>
      <c r="T598" s="571"/>
      <c r="U598" s="571"/>
      <c r="V598" s="571"/>
      <c r="W598" s="571"/>
      <c r="X598" s="571"/>
      <c r="Y598" s="571"/>
      <c r="Z598" s="571"/>
      <c r="AA598" s="571"/>
      <c r="AB598" s="571"/>
      <c r="AC598" s="571"/>
      <c r="AD598" s="571"/>
      <c r="AE598" s="571"/>
      <c r="AF598" s="571"/>
      <c r="AG598" s="571"/>
      <c r="AH598" s="571"/>
      <c r="AI598" s="571"/>
      <c r="AJ598" s="571"/>
      <c r="AK598" s="571"/>
      <c r="AL598" s="571"/>
      <c r="AN598" s="632"/>
    </row>
    <row r="599" spans="2:47" s="585" customFormat="1" ht="12.75" customHeight="1">
      <c r="B599" s="571"/>
      <c r="C599" s="970"/>
      <c r="D599" s="571" t="s">
        <v>1976</v>
      </c>
      <c r="E599" s="973"/>
      <c r="F599" s="973"/>
      <c r="G599" s="973"/>
      <c r="H599" s="973"/>
      <c r="I599" s="973"/>
      <c r="J599" s="973"/>
      <c r="K599" s="973"/>
      <c r="L599" s="973"/>
      <c r="M599" s="973"/>
      <c r="N599" s="571"/>
      <c r="O599" s="571"/>
      <c r="P599" s="571"/>
      <c r="Q599" s="571"/>
      <c r="R599" s="571"/>
      <c r="S599" s="571"/>
      <c r="T599" s="571"/>
      <c r="U599" s="571"/>
      <c r="V599" s="571"/>
      <c r="W599" s="571"/>
      <c r="X599" s="571"/>
      <c r="Y599" s="571"/>
      <c r="Z599" s="571"/>
      <c r="AA599" s="571"/>
      <c r="AB599" s="571"/>
      <c r="AC599" s="571"/>
      <c r="AD599" s="571"/>
      <c r="AE599" s="571"/>
      <c r="AF599" s="571"/>
      <c r="AG599" s="571"/>
      <c r="AH599" s="571"/>
      <c r="AI599" s="571"/>
      <c r="AJ599" s="571"/>
      <c r="AK599" s="571"/>
      <c r="AL599" s="571"/>
      <c r="AN599" s="632"/>
    </row>
    <row r="600" spans="2:47" s="585" customFormat="1" ht="12.75" customHeight="1">
      <c r="B600" s="571"/>
      <c r="C600" s="970"/>
      <c r="D600" s="571" t="s">
        <v>1977</v>
      </c>
      <c r="E600" s="973"/>
      <c r="F600" s="973"/>
      <c r="G600" s="973"/>
      <c r="H600" s="973"/>
      <c r="I600" s="973"/>
      <c r="J600" s="973"/>
      <c r="K600" s="973"/>
      <c r="L600" s="973"/>
      <c r="M600" s="973"/>
      <c r="N600" s="571"/>
      <c r="O600" s="571"/>
      <c r="P600" s="571"/>
      <c r="Q600" s="571"/>
      <c r="R600" s="571"/>
      <c r="S600" s="571"/>
      <c r="T600" s="571"/>
      <c r="U600" s="571"/>
      <c r="V600" s="571"/>
      <c r="W600" s="571"/>
      <c r="X600" s="571"/>
      <c r="Y600" s="571"/>
      <c r="Z600" s="571"/>
      <c r="AA600" s="571"/>
      <c r="AB600" s="571"/>
      <c r="AC600" s="571"/>
      <c r="AD600" s="571"/>
      <c r="AE600" s="571"/>
      <c r="AF600" s="571"/>
      <c r="AG600" s="571"/>
      <c r="AH600" s="571"/>
      <c r="AI600" s="571"/>
      <c r="AJ600" s="571"/>
      <c r="AK600" s="571"/>
      <c r="AL600" s="571"/>
      <c r="AN600" s="632"/>
    </row>
    <row r="601" spans="2:47" s="585" customFormat="1" ht="12.75" customHeight="1">
      <c r="B601" s="571"/>
      <c r="C601" s="970"/>
      <c r="D601" s="640" t="s">
        <v>1978</v>
      </c>
      <c r="E601" s="973"/>
      <c r="F601" s="973"/>
      <c r="G601" s="973"/>
      <c r="H601" s="973"/>
      <c r="I601" s="973"/>
      <c r="J601" s="973"/>
      <c r="K601" s="973"/>
      <c r="L601" s="973"/>
      <c r="M601" s="973"/>
      <c r="N601" s="571"/>
      <c r="O601" s="571"/>
      <c r="P601" s="571"/>
      <c r="Q601" s="571"/>
      <c r="R601" s="571"/>
      <c r="S601" s="571"/>
      <c r="T601" s="571"/>
      <c r="U601" s="571"/>
      <c r="V601" s="571"/>
      <c r="W601" s="571"/>
      <c r="X601" s="571"/>
      <c r="Y601" s="571"/>
      <c r="Z601" s="571"/>
      <c r="AA601" s="571"/>
      <c r="AB601" s="571"/>
      <c r="AC601" s="571"/>
      <c r="AD601" s="571"/>
      <c r="AE601" s="571"/>
      <c r="AF601" s="571"/>
      <c r="AG601" s="571"/>
      <c r="AH601" s="571"/>
      <c r="AI601" s="571"/>
      <c r="AJ601" s="571"/>
      <c r="AK601" s="571"/>
      <c r="AL601" s="571"/>
      <c r="AN601" s="632"/>
    </row>
    <row r="602" spans="2:47" s="585" customFormat="1" ht="12.75" customHeight="1">
      <c r="B602" s="571"/>
      <c r="C602" s="970"/>
      <c r="D602" s="571"/>
      <c r="E602" s="571"/>
      <c r="F602" s="571"/>
      <c r="G602" s="571"/>
      <c r="H602" s="571"/>
      <c r="I602" s="571"/>
      <c r="J602" s="571"/>
      <c r="K602" s="571"/>
      <c r="L602" s="571"/>
      <c r="M602" s="571"/>
      <c r="N602" s="571"/>
      <c r="O602" s="571"/>
      <c r="P602" s="571"/>
      <c r="Q602" s="571"/>
      <c r="R602" s="571"/>
      <c r="S602" s="571"/>
      <c r="T602" s="571"/>
      <c r="U602" s="571"/>
      <c r="V602" s="571"/>
      <c r="W602" s="571"/>
      <c r="X602" s="571"/>
      <c r="Y602" s="571"/>
      <c r="Z602" s="571"/>
      <c r="AA602" s="571"/>
      <c r="AB602" s="571"/>
      <c r="AC602" s="571"/>
      <c r="AD602" s="571"/>
      <c r="AE602" s="571"/>
      <c r="AF602" s="571"/>
      <c r="AG602" s="571"/>
      <c r="AH602" s="571"/>
      <c r="AI602" s="571"/>
      <c r="AJ602" s="571"/>
      <c r="AK602" s="571"/>
      <c r="AL602" s="571"/>
      <c r="AN602" s="632"/>
      <c r="AO602" s="585" t="s">
        <v>600</v>
      </c>
      <c r="AP602" s="708">
        <v>0</v>
      </c>
    </row>
    <row r="603" spans="2:47" s="585" customFormat="1" ht="12.75" customHeight="1">
      <c r="B603" s="571"/>
      <c r="C603" s="970"/>
      <c r="D603" s="571"/>
      <c r="E603" s="571" t="s">
        <v>1572</v>
      </c>
      <c r="F603" s="973"/>
      <c r="G603" s="973"/>
      <c r="I603" s="1997" t="s">
        <v>600</v>
      </c>
      <c r="J603" s="1997"/>
      <c r="K603" s="1997"/>
      <c r="L603" s="1997"/>
      <c r="M603" s="1997"/>
      <c r="N603" s="1997"/>
      <c r="O603" s="1997"/>
      <c r="P603" s="1997"/>
      <c r="Q603" s="1997"/>
      <c r="R603" s="1997"/>
      <c r="S603" s="1997"/>
      <c r="T603" s="1997"/>
      <c r="U603" s="1997"/>
      <c r="V603" s="1997"/>
      <c r="W603" s="1997"/>
      <c r="X603" s="1997"/>
      <c r="Y603" s="1997"/>
      <c r="Z603" s="1997"/>
      <c r="AA603" s="1997"/>
      <c r="AB603" s="1997"/>
      <c r="AC603" s="1997"/>
      <c r="AD603" s="1997"/>
      <c r="AE603" s="1997"/>
      <c r="AF603" s="571"/>
      <c r="AG603" s="571"/>
      <c r="AH603" s="571"/>
      <c r="AI603" s="571"/>
      <c r="AJ603" s="571"/>
      <c r="AK603" s="571"/>
      <c r="AL603" s="571"/>
      <c r="AN603" s="632"/>
      <c r="AO603" s="585" t="s">
        <v>1573</v>
      </c>
      <c r="AP603" s="585">
        <v>3</v>
      </c>
    </row>
    <row r="604" spans="2:47" s="585" customFormat="1" ht="12.75" customHeight="1">
      <c r="B604" s="571"/>
      <c r="C604" s="571"/>
      <c r="D604" s="571"/>
      <c r="E604" s="571"/>
      <c r="F604" s="677"/>
      <c r="G604" s="677"/>
      <c r="H604" s="677"/>
      <c r="I604" s="677"/>
      <c r="J604" s="677"/>
      <c r="K604" s="677"/>
      <c r="L604" s="677"/>
      <c r="M604" s="677"/>
      <c r="N604" s="677"/>
      <c r="O604" s="677"/>
      <c r="P604" s="677"/>
      <c r="Q604" s="677"/>
      <c r="R604" s="677"/>
      <c r="S604" s="677"/>
      <c r="T604" s="677"/>
      <c r="U604" s="677"/>
      <c r="V604" s="677"/>
      <c r="W604" s="677"/>
      <c r="X604" s="677"/>
      <c r="Y604" s="677"/>
      <c r="Z604" s="677"/>
      <c r="AA604" s="677"/>
      <c r="AB604" s="677"/>
      <c r="AC604" s="677"/>
      <c r="AD604" s="677"/>
      <c r="AE604" s="677"/>
      <c r="AF604" s="677"/>
      <c r="AG604" s="677"/>
      <c r="AH604" s="677"/>
      <c r="AI604" s="677"/>
      <c r="AJ604" s="677"/>
      <c r="AK604" s="677"/>
      <c r="AL604" s="677"/>
      <c r="AN604" s="632"/>
      <c r="AO604" s="585" t="s">
        <v>1574</v>
      </c>
      <c r="AP604" s="585">
        <v>2</v>
      </c>
    </row>
    <row r="605" spans="2:47" s="585" customFormat="1" ht="12.75" customHeight="1">
      <c r="B605" s="1941" t="s">
        <v>600</v>
      </c>
      <c r="C605" s="1941"/>
      <c r="D605" s="677"/>
      <c r="E605" s="1967" t="s">
        <v>1575</v>
      </c>
      <c r="F605" s="1967"/>
      <c r="G605" s="1967"/>
      <c r="H605" s="1967"/>
      <c r="I605" s="1967"/>
      <c r="J605" s="1967"/>
      <c r="K605" s="1967"/>
      <c r="L605" s="1967"/>
      <c r="M605" s="1967"/>
      <c r="N605" s="1967"/>
      <c r="O605" s="1967"/>
      <c r="P605" s="1967"/>
      <c r="Q605" s="1967"/>
      <c r="R605" s="1967"/>
      <c r="S605" s="1967"/>
      <c r="T605" s="1967"/>
      <c r="U605" s="1967"/>
      <c r="V605" s="1967"/>
      <c r="W605" s="1967"/>
      <c r="X605" s="1967"/>
      <c r="Y605" s="1967"/>
      <c r="Z605" s="1967"/>
      <c r="AA605" s="1967"/>
      <c r="AB605" s="1967"/>
      <c r="AC605" s="1967"/>
      <c r="AD605" s="1967"/>
      <c r="AE605" s="1967"/>
      <c r="AF605" s="1967"/>
      <c r="AG605" s="1967"/>
      <c r="AH605" s="677"/>
      <c r="AI605" s="677"/>
      <c r="AJ605" s="677"/>
      <c r="AK605" s="677"/>
      <c r="AL605" s="677"/>
      <c r="AN605" s="632"/>
    </row>
    <row r="606" spans="2:47" s="585" customFormat="1" ht="12.75" customHeight="1">
      <c r="B606" s="571"/>
      <c r="C606" s="970"/>
      <c r="D606" s="677"/>
      <c r="E606" s="1967"/>
      <c r="F606" s="1967"/>
      <c r="G606" s="1967"/>
      <c r="H606" s="1967"/>
      <c r="I606" s="1967"/>
      <c r="J606" s="1967"/>
      <c r="K606" s="1967"/>
      <c r="L606" s="1967"/>
      <c r="M606" s="1967"/>
      <c r="N606" s="1967"/>
      <c r="O606" s="1967"/>
      <c r="P606" s="1967"/>
      <c r="Q606" s="1967"/>
      <c r="R606" s="1967"/>
      <c r="S606" s="1967"/>
      <c r="T606" s="1967"/>
      <c r="U606" s="1967"/>
      <c r="V606" s="1967"/>
      <c r="W606" s="1967"/>
      <c r="X606" s="1967"/>
      <c r="Y606" s="1967"/>
      <c r="Z606" s="1967"/>
      <c r="AA606" s="1967"/>
      <c r="AB606" s="1967"/>
      <c r="AC606" s="1967"/>
      <c r="AD606" s="1967"/>
      <c r="AE606" s="1967"/>
      <c r="AF606" s="1967"/>
      <c r="AG606" s="1967"/>
      <c r="AH606" s="677"/>
      <c r="AI606" s="677"/>
      <c r="AJ606" s="677"/>
      <c r="AK606" s="677"/>
      <c r="AL606" s="677"/>
      <c r="AN606" s="632"/>
    </row>
    <row r="607" spans="2:47" s="585" customFormat="1" ht="12.75" customHeight="1">
      <c r="B607" s="571"/>
      <c r="C607" s="970"/>
      <c r="D607" s="677"/>
      <c r="E607" s="1967"/>
      <c r="F607" s="1967"/>
      <c r="G607" s="1967"/>
      <c r="H607" s="1967"/>
      <c r="I607" s="1967"/>
      <c r="J607" s="1967"/>
      <c r="K607" s="1967"/>
      <c r="L607" s="1967"/>
      <c r="M607" s="1967"/>
      <c r="N607" s="1967"/>
      <c r="O607" s="1967"/>
      <c r="P607" s="1967"/>
      <c r="Q607" s="1967"/>
      <c r="R607" s="1967"/>
      <c r="S607" s="1967"/>
      <c r="T607" s="1967"/>
      <c r="U607" s="1967"/>
      <c r="V607" s="1967"/>
      <c r="W607" s="1967"/>
      <c r="X607" s="1967"/>
      <c r="Y607" s="1967"/>
      <c r="Z607" s="1967"/>
      <c r="AA607" s="1967"/>
      <c r="AB607" s="1967"/>
      <c r="AC607" s="1967"/>
      <c r="AD607" s="1967"/>
      <c r="AE607" s="1967"/>
      <c r="AF607" s="1967"/>
      <c r="AG607" s="1967"/>
      <c r="AH607" s="677"/>
      <c r="AI607" s="677"/>
      <c r="AJ607" s="677"/>
      <c r="AK607" s="677"/>
      <c r="AL607" s="677"/>
      <c r="AN607" s="632"/>
    </row>
    <row r="608" spans="2:47" s="585" customFormat="1" ht="12.75" customHeight="1">
      <c r="B608" s="571"/>
      <c r="C608" s="970"/>
      <c r="D608" s="677"/>
      <c r="E608" s="1967"/>
      <c r="F608" s="1967"/>
      <c r="G608" s="1967"/>
      <c r="H608" s="1967"/>
      <c r="I608" s="1967"/>
      <c r="J608" s="1967"/>
      <c r="K608" s="1967"/>
      <c r="L608" s="1967"/>
      <c r="M608" s="1967"/>
      <c r="N608" s="1967"/>
      <c r="O608" s="1967"/>
      <c r="P608" s="1967"/>
      <c r="Q608" s="1967"/>
      <c r="R608" s="1967"/>
      <c r="S608" s="1967"/>
      <c r="T608" s="1967"/>
      <c r="U608" s="1967"/>
      <c r="V608" s="1967"/>
      <c r="W608" s="1967"/>
      <c r="X608" s="1967"/>
      <c r="Y608" s="1967"/>
      <c r="Z608" s="1967"/>
      <c r="AA608" s="1967"/>
      <c r="AB608" s="1967"/>
      <c r="AC608" s="1967"/>
      <c r="AD608" s="1967"/>
      <c r="AE608" s="1967"/>
      <c r="AF608" s="1967"/>
      <c r="AG608" s="1967"/>
      <c r="AH608" s="677"/>
      <c r="AI608" s="677"/>
      <c r="AJ608" s="677"/>
      <c r="AK608" s="677"/>
      <c r="AL608" s="677"/>
      <c r="AN608" s="632"/>
    </row>
    <row r="609" spans="1:42" s="585" customFormat="1" ht="12.75" customHeight="1">
      <c r="B609" s="571"/>
      <c r="C609" s="970"/>
      <c r="D609" s="974"/>
      <c r="E609" s="994"/>
      <c r="F609" s="994"/>
      <c r="G609" s="994"/>
      <c r="H609" s="994"/>
      <c r="I609" s="994"/>
      <c r="J609" s="994"/>
      <c r="K609" s="994"/>
      <c r="L609" s="994"/>
      <c r="M609" s="994"/>
      <c r="N609" s="994"/>
      <c r="O609" s="994"/>
      <c r="P609" s="994"/>
      <c r="Q609" s="994"/>
      <c r="R609" s="994"/>
      <c r="S609" s="994"/>
      <c r="T609" s="994"/>
      <c r="U609" s="994"/>
      <c r="V609" s="994"/>
      <c r="W609" s="994"/>
      <c r="X609" s="994"/>
      <c r="Y609" s="994"/>
      <c r="Z609" s="994"/>
      <c r="AA609" s="994"/>
      <c r="AB609" s="994"/>
      <c r="AC609" s="994"/>
      <c r="AD609" s="994"/>
      <c r="AE609" s="994"/>
      <c r="AF609" s="994"/>
      <c r="AG609" s="994"/>
      <c r="AH609" s="974"/>
      <c r="AI609" s="974"/>
      <c r="AJ609" s="974"/>
      <c r="AK609" s="974"/>
      <c r="AL609" s="677"/>
      <c r="AN609" s="632"/>
    </row>
    <row r="610" spans="1:42" s="585" customFormat="1" ht="12.75" customHeight="1">
      <c r="A610" s="641"/>
      <c r="B610" s="636"/>
      <c r="C610" s="975"/>
      <c r="D610" s="636"/>
      <c r="E610" s="976"/>
      <c r="F610" s="976"/>
      <c r="G610" s="976"/>
      <c r="H610" s="976"/>
      <c r="I610" s="976"/>
      <c r="J610" s="976"/>
      <c r="K610" s="976"/>
      <c r="L610" s="976"/>
      <c r="M610" s="976"/>
      <c r="N610" s="976"/>
      <c r="O610" s="976"/>
      <c r="P610" s="976"/>
      <c r="Q610" s="976"/>
      <c r="R610" s="976"/>
      <c r="S610" s="976"/>
      <c r="T610" s="976"/>
      <c r="U610" s="976"/>
      <c r="V610" s="976"/>
      <c r="W610" s="976"/>
      <c r="X610" s="976"/>
      <c r="Y610" s="976"/>
      <c r="Z610" s="976"/>
      <c r="AA610" s="976"/>
      <c r="AB610" s="636"/>
      <c r="AC610" s="636"/>
      <c r="AD610" s="636"/>
      <c r="AE610" s="636"/>
      <c r="AF610" s="636"/>
      <c r="AG610" s="636"/>
      <c r="AH610" s="636"/>
      <c r="AI610" s="600" t="s">
        <v>1576</v>
      </c>
      <c r="AJ610" s="1947">
        <f>VLOOKUP($H$595,$AO$575:$AP$580,2,FALSE)+VLOOKUP($I$603,$AO$602:$AP$604,2,FALSE)</f>
        <v>0</v>
      </c>
      <c r="AK610" s="1949"/>
      <c r="AL610" s="630"/>
      <c r="AM610" s="710"/>
      <c r="AN610" s="632"/>
    </row>
    <row r="611" spans="1:42" s="585" customFormat="1" ht="12.75" customHeight="1">
      <c r="B611" s="571"/>
      <c r="C611" s="970"/>
      <c r="D611" s="571"/>
      <c r="E611" s="973"/>
      <c r="F611" s="973"/>
      <c r="G611" s="973"/>
      <c r="H611" s="973"/>
      <c r="I611" s="973"/>
      <c r="J611" s="973"/>
      <c r="K611" s="973"/>
      <c r="L611" s="973"/>
      <c r="M611" s="973"/>
      <c r="N611" s="973"/>
      <c r="O611" s="973"/>
      <c r="P611" s="973"/>
      <c r="Q611" s="973"/>
      <c r="R611" s="973"/>
      <c r="S611" s="973"/>
      <c r="T611" s="973"/>
      <c r="U611" s="973"/>
      <c r="V611" s="973"/>
      <c r="W611" s="973"/>
      <c r="X611" s="973"/>
      <c r="Y611" s="973"/>
      <c r="Z611" s="973"/>
      <c r="AA611" s="973"/>
      <c r="AB611" s="973"/>
      <c r="AC611" s="571"/>
      <c r="AD611" s="571"/>
      <c r="AE611" s="973"/>
      <c r="AF611" s="973"/>
      <c r="AG611" s="973"/>
      <c r="AH611" s="973"/>
      <c r="AI611" s="973"/>
      <c r="AJ611" s="973"/>
      <c r="AK611" s="973"/>
      <c r="AL611" s="973"/>
      <c r="AM611" s="710"/>
      <c r="AN611" s="632"/>
    </row>
    <row r="612" spans="1:42" s="585" customFormat="1" ht="12.75" customHeight="1">
      <c r="B612" s="571"/>
      <c r="C612" s="574" t="s">
        <v>1577</v>
      </c>
      <c r="D612" s="574"/>
      <c r="E612" s="973"/>
      <c r="F612" s="973"/>
      <c r="G612" s="973"/>
      <c r="H612" s="973"/>
      <c r="I612" s="973"/>
      <c r="J612" s="973"/>
      <c r="K612" s="973"/>
      <c r="L612" s="973"/>
      <c r="M612" s="973"/>
      <c r="N612" s="973"/>
      <c r="O612" s="973"/>
      <c r="P612" s="973"/>
      <c r="Q612" s="973"/>
      <c r="R612" s="973"/>
      <c r="S612" s="973"/>
      <c r="T612" s="973"/>
      <c r="U612" s="973"/>
      <c r="V612" s="973"/>
      <c r="W612" s="973"/>
      <c r="X612" s="973"/>
      <c r="Y612" s="973"/>
      <c r="Z612" s="973"/>
      <c r="AA612" s="973"/>
      <c r="AB612" s="973"/>
      <c r="AC612" s="571"/>
      <c r="AD612" s="571"/>
      <c r="AE612" s="571"/>
      <c r="AF612" s="571"/>
      <c r="AG612" s="571"/>
      <c r="AH612" s="571"/>
      <c r="AI612" s="571"/>
      <c r="AJ612" s="571"/>
      <c r="AK612" s="571"/>
      <c r="AL612" s="571"/>
      <c r="AN612" s="632"/>
    </row>
    <row r="613" spans="1:42" s="585" customFormat="1" ht="12.75" customHeight="1">
      <c r="B613" s="645"/>
      <c r="C613" s="571"/>
      <c r="D613" s="972"/>
      <c r="E613" s="973"/>
      <c r="F613" s="973"/>
      <c r="G613" s="973"/>
      <c r="H613" s="973"/>
      <c r="I613" s="973"/>
      <c r="J613" s="973"/>
      <c r="K613" s="973"/>
      <c r="L613" s="973"/>
      <c r="M613" s="973"/>
      <c r="N613" s="973"/>
      <c r="O613" s="973"/>
      <c r="P613" s="973"/>
      <c r="Q613" s="973"/>
      <c r="R613" s="973"/>
      <c r="S613" s="973"/>
      <c r="T613" s="973"/>
      <c r="U613" s="973"/>
      <c r="V613" s="973"/>
      <c r="W613" s="973"/>
      <c r="X613" s="973"/>
      <c r="Y613" s="973"/>
      <c r="Z613" s="973"/>
      <c r="AA613" s="973"/>
      <c r="AB613" s="973"/>
      <c r="AC613" s="571"/>
      <c r="AD613" s="571"/>
      <c r="AE613" s="571"/>
      <c r="AF613" s="571"/>
      <c r="AG613" s="571"/>
      <c r="AH613" s="571"/>
      <c r="AI613" s="571"/>
      <c r="AJ613" s="571"/>
      <c r="AK613" s="571"/>
      <c r="AL613" s="571"/>
      <c r="AN613" s="632"/>
    </row>
    <row r="614" spans="1:42" s="631" customFormat="1" ht="12.75" customHeight="1">
      <c r="A614" s="585"/>
      <c r="B614" s="571"/>
      <c r="C614" s="571"/>
      <c r="D614" s="698" t="s">
        <v>697</v>
      </c>
      <c r="E614" s="1995" t="s">
        <v>1954</v>
      </c>
      <c r="F614" s="1995"/>
      <c r="G614" s="1995"/>
      <c r="H614" s="1995"/>
      <c r="I614" s="1995"/>
      <c r="J614" s="1995"/>
      <c r="K614" s="1995"/>
      <c r="L614" s="1995"/>
      <c r="M614" s="1995"/>
      <c r="N614" s="1995"/>
      <c r="O614" s="1995"/>
      <c r="P614" s="1995"/>
      <c r="Q614" s="1995"/>
      <c r="R614" s="1995"/>
      <c r="S614" s="1995"/>
      <c r="T614" s="1995"/>
      <c r="U614" s="1995"/>
      <c r="V614" s="1995"/>
      <c r="W614" s="1995"/>
      <c r="X614" s="1995"/>
      <c r="Y614" s="1995"/>
      <c r="Z614" s="1995"/>
      <c r="AA614" s="1995"/>
      <c r="AB614" s="1995"/>
      <c r="AC614" s="1995"/>
      <c r="AD614" s="1995"/>
      <c r="AE614" s="574"/>
      <c r="AF614" s="1914" t="s">
        <v>1524</v>
      </c>
      <c r="AG614" s="1914"/>
      <c r="AH614" s="1914"/>
      <c r="AI614" s="1914"/>
      <c r="AJ614" s="1914"/>
      <c r="AK614" s="1914"/>
      <c r="AL614" s="1914"/>
      <c r="AM614" s="585"/>
      <c r="AN614" s="713"/>
    </row>
    <row r="615" spans="1:42" s="585" customFormat="1" ht="12.75" customHeight="1">
      <c r="A615" s="714"/>
      <c r="B615" s="571"/>
      <c r="C615" s="970"/>
      <c r="D615" s="698"/>
      <c r="E615" s="1995"/>
      <c r="F615" s="1995"/>
      <c r="G615" s="1995"/>
      <c r="H615" s="1995"/>
      <c r="I615" s="1995"/>
      <c r="J615" s="1995"/>
      <c r="K615" s="1995"/>
      <c r="L615" s="1995"/>
      <c r="M615" s="1995"/>
      <c r="N615" s="1995"/>
      <c r="O615" s="1995"/>
      <c r="P615" s="1995"/>
      <c r="Q615" s="1995"/>
      <c r="R615" s="1995"/>
      <c r="S615" s="1995"/>
      <c r="T615" s="1995"/>
      <c r="U615" s="1995"/>
      <c r="V615" s="1995"/>
      <c r="W615" s="1995"/>
      <c r="X615" s="1995"/>
      <c r="Y615" s="1995"/>
      <c r="Z615" s="1995"/>
      <c r="AA615" s="1995"/>
      <c r="AB615" s="1995"/>
      <c r="AC615" s="1995"/>
      <c r="AD615" s="1995"/>
      <c r="AE615" s="571"/>
      <c r="AF615" s="571"/>
      <c r="AG615" s="571"/>
      <c r="AH615" s="571"/>
      <c r="AI615" s="571"/>
      <c r="AJ615" s="571"/>
      <c r="AK615" s="571"/>
      <c r="AL615" s="571"/>
      <c r="AN615" s="632"/>
    </row>
    <row r="616" spans="1:42" s="585" customFormat="1" ht="12.75" customHeight="1">
      <c r="B616" s="571"/>
      <c r="C616" s="968"/>
      <c r="D616" s="698"/>
      <c r="E616" s="1995"/>
      <c r="F616" s="1995"/>
      <c r="G616" s="1995"/>
      <c r="H616" s="1995"/>
      <c r="I616" s="1995"/>
      <c r="J616" s="1995"/>
      <c r="K616" s="1995"/>
      <c r="L616" s="1995"/>
      <c r="M616" s="1995"/>
      <c r="N616" s="1995"/>
      <c r="O616" s="1995"/>
      <c r="P616" s="1995"/>
      <c r="Q616" s="1995"/>
      <c r="R616" s="1995"/>
      <c r="S616" s="1995"/>
      <c r="T616" s="1995"/>
      <c r="U616" s="1995"/>
      <c r="V616" s="1995"/>
      <c r="W616" s="1995"/>
      <c r="X616" s="1995"/>
      <c r="Y616" s="1995"/>
      <c r="Z616" s="1995"/>
      <c r="AA616" s="1995"/>
      <c r="AB616" s="1995"/>
      <c r="AC616" s="1995"/>
      <c r="AD616" s="1995"/>
      <c r="AE616" s="571"/>
      <c r="AF616" s="571"/>
      <c r="AG616" s="571"/>
      <c r="AH616" s="571"/>
      <c r="AI616" s="571"/>
      <c r="AJ616" s="571"/>
      <c r="AK616" s="571"/>
      <c r="AL616" s="571"/>
      <c r="AN616" s="632"/>
    </row>
    <row r="617" spans="1:42" s="585" customFormat="1" ht="12.75" customHeight="1">
      <c r="B617" s="571"/>
      <c r="C617" s="968"/>
      <c r="D617" s="698"/>
      <c r="E617" s="1995"/>
      <c r="F617" s="1995"/>
      <c r="G617" s="1995"/>
      <c r="H617" s="1995"/>
      <c r="I617" s="1995"/>
      <c r="J617" s="1995"/>
      <c r="K617" s="1995"/>
      <c r="L617" s="1995"/>
      <c r="M617" s="1995"/>
      <c r="N617" s="1995"/>
      <c r="O617" s="1995"/>
      <c r="P617" s="1995"/>
      <c r="Q617" s="1995"/>
      <c r="R617" s="1995"/>
      <c r="S617" s="1995"/>
      <c r="T617" s="1995"/>
      <c r="U617" s="1995"/>
      <c r="V617" s="1995"/>
      <c r="W617" s="1995"/>
      <c r="X617" s="1995"/>
      <c r="Y617" s="1995"/>
      <c r="Z617" s="1995"/>
      <c r="AA617" s="1995"/>
      <c r="AB617" s="1995"/>
      <c r="AC617" s="1995"/>
      <c r="AD617" s="1995"/>
      <c r="AE617" s="571"/>
      <c r="AF617" s="571"/>
      <c r="AG617" s="571"/>
      <c r="AH617" s="571"/>
      <c r="AI617" s="571"/>
      <c r="AJ617" s="571"/>
      <c r="AK617" s="571"/>
      <c r="AL617" s="571"/>
      <c r="AN617" s="632"/>
    </row>
    <row r="618" spans="1:42" s="585" customFormat="1" ht="12.75" customHeight="1">
      <c r="B618" s="571"/>
      <c r="C618" s="968"/>
      <c r="D618" s="698"/>
      <c r="E618" s="1995"/>
      <c r="F618" s="1995"/>
      <c r="G618" s="1995"/>
      <c r="H618" s="1995"/>
      <c r="I618" s="1995"/>
      <c r="J618" s="1995"/>
      <c r="K618" s="1995"/>
      <c r="L618" s="1995"/>
      <c r="M618" s="1995"/>
      <c r="N618" s="1995"/>
      <c r="O618" s="1995"/>
      <c r="P618" s="1995"/>
      <c r="Q618" s="1995"/>
      <c r="R618" s="1995"/>
      <c r="S618" s="1995"/>
      <c r="T618" s="1995"/>
      <c r="U618" s="1995"/>
      <c r="V618" s="1995"/>
      <c r="W618" s="1995"/>
      <c r="X618" s="1995"/>
      <c r="Y618" s="1995"/>
      <c r="Z618" s="1995"/>
      <c r="AA618" s="1995"/>
      <c r="AB618" s="1995"/>
      <c r="AC618" s="1995"/>
      <c r="AD618" s="1995"/>
      <c r="AE618" s="571"/>
      <c r="AF618" s="571"/>
      <c r="AG618" s="571"/>
      <c r="AH618" s="571"/>
      <c r="AI618" s="571"/>
      <c r="AJ618" s="571"/>
      <c r="AK618" s="571"/>
      <c r="AL618" s="571"/>
      <c r="AN618" s="632"/>
    </row>
    <row r="619" spans="1:42" s="585" customFormat="1" ht="12.75" customHeight="1">
      <c r="B619" s="571"/>
      <c r="C619" s="968"/>
      <c r="D619" s="698"/>
      <c r="E619" s="1995"/>
      <c r="F619" s="1995"/>
      <c r="G619" s="1995"/>
      <c r="H619" s="1995"/>
      <c r="I619" s="1995"/>
      <c r="J619" s="1995"/>
      <c r="K619" s="1995"/>
      <c r="L619" s="1995"/>
      <c r="M619" s="1995"/>
      <c r="N619" s="1995"/>
      <c r="O619" s="1995"/>
      <c r="P619" s="1995"/>
      <c r="Q619" s="1995"/>
      <c r="R619" s="1995"/>
      <c r="S619" s="1995"/>
      <c r="T619" s="1995"/>
      <c r="U619" s="1995"/>
      <c r="V619" s="1995"/>
      <c r="W619" s="1995"/>
      <c r="X619" s="1995"/>
      <c r="Y619" s="1995"/>
      <c r="Z619" s="1995"/>
      <c r="AA619" s="1995"/>
      <c r="AB619" s="1995"/>
      <c r="AC619" s="1995"/>
      <c r="AD619" s="1995"/>
      <c r="AE619" s="571"/>
      <c r="AF619" s="571"/>
      <c r="AG619" s="571"/>
      <c r="AH619" s="571"/>
      <c r="AI619" s="571"/>
      <c r="AJ619" s="571"/>
      <c r="AK619" s="571"/>
      <c r="AL619" s="571"/>
      <c r="AN619" s="632"/>
    </row>
    <row r="620" spans="1:42" s="585" customFormat="1" ht="12.75" customHeight="1">
      <c r="A620" s="672"/>
      <c r="B620" s="651"/>
      <c r="C620" s="977"/>
      <c r="D620" s="698"/>
      <c r="E620" s="1995"/>
      <c r="F620" s="1995"/>
      <c r="G620" s="1995"/>
      <c r="H620" s="1995"/>
      <c r="I620" s="1995"/>
      <c r="J620" s="1995"/>
      <c r="K620" s="1995"/>
      <c r="L620" s="1995"/>
      <c r="M620" s="1995"/>
      <c r="N620" s="1995"/>
      <c r="O620" s="1995"/>
      <c r="P620" s="1995"/>
      <c r="Q620" s="1995"/>
      <c r="R620" s="1995"/>
      <c r="S620" s="1995"/>
      <c r="T620" s="1995"/>
      <c r="U620" s="1995"/>
      <c r="V620" s="1995"/>
      <c r="W620" s="1995"/>
      <c r="X620" s="1995"/>
      <c r="Y620" s="1995"/>
      <c r="Z620" s="1995"/>
      <c r="AA620" s="1995"/>
      <c r="AB620" s="1995"/>
      <c r="AC620" s="1995"/>
      <c r="AD620" s="1995"/>
      <c r="AE620" s="651"/>
      <c r="AF620" s="651"/>
      <c r="AG620" s="651"/>
      <c r="AH620" s="651"/>
      <c r="AI620" s="651"/>
      <c r="AJ620" s="651"/>
      <c r="AK620" s="571"/>
      <c r="AL620" s="571"/>
      <c r="AN620" s="632"/>
    </row>
    <row r="621" spans="1:42" s="585" customFormat="1" ht="12.75" customHeight="1">
      <c r="B621" s="651"/>
      <c r="C621" s="977"/>
      <c r="D621" s="698"/>
      <c r="E621" s="1995"/>
      <c r="F621" s="1995"/>
      <c r="G621" s="1995"/>
      <c r="H621" s="1995"/>
      <c r="I621" s="1995"/>
      <c r="J621" s="1995"/>
      <c r="K621" s="1995"/>
      <c r="L621" s="1995"/>
      <c r="M621" s="1995"/>
      <c r="N621" s="1995"/>
      <c r="O621" s="1995"/>
      <c r="P621" s="1995"/>
      <c r="Q621" s="1995"/>
      <c r="R621" s="1995"/>
      <c r="S621" s="1995"/>
      <c r="T621" s="1995"/>
      <c r="U621" s="1995"/>
      <c r="V621" s="1995"/>
      <c r="W621" s="1995"/>
      <c r="X621" s="1995"/>
      <c r="Y621" s="1995"/>
      <c r="Z621" s="1995"/>
      <c r="AA621" s="1995"/>
      <c r="AB621" s="1995"/>
      <c r="AC621" s="1995"/>
      <c r="AD621" s="1995"/>
      <c r="AE621" s="651"/>
      <c r="AF621" s="651"/>
      <c r="AG621" s="651"/>
      <c r="AH621" s="651"/>
      <c r="AI621" s="651"/>
      <c r="AJ621" s="651"/>
      <c r="AK621" s="571"/>
      <c r="AL621" s="571"/>
      <c r="AN621" s="632"/>
    </row>
    <row r="622" spans="1:42" s="585" customFormat="1" ht="12" customHeight="1">
      <c r="B622" s="651"/>
      <c r="C622" s="977"/>
      <c r="D622" s="698"/>
      <c r="E622" s="993"/>
      <c r="F622" s="993"/>
      <c r="G622" s="993"/>
      <c r="H622" s="993"/>
      <c r="I622" s="993"/>
      <c r="J622" s="993"/>
      <c r="K622" s="993"/>
      <c r="L622" s="993"/>
      <c r="M622" s="993"/>
      <c r="N622" s="993"/>
      <c r="O622" s="993"/>
      <c r="P622" s="993"/>
      <c r="Q622" s="993"/>
      <c r="R622" s="993"/>
      <c r="S622" s="993"/>
      <c r="T622" s="993"/>
      <c r="U622" s="993"/>
      <c r="V622" s="993"/>
      <c r="W622" s="993"/>
      <c r="X622" s="993"/>
      <c r="Y622" s="993"/>
      <c r="Z622" s="993"/>
      <c r="AA622" s="993"/>
      <c r="AB622" s="993"/>
      <c r="AC622" s="993"/>
      <c r="AD622" s="993"/>
      <c r="AE622" s="651"/>
      <c r="AF622" s="651"/>
      <c r="AG622" s="651"/>
      <c r="AH622" s="651"/>
      <c r="AI622" s="651"/>
      <c r="AJ622" s="651"/>
      <c r="AK622" s="571"/>
      <c r="AL622" s="571"/>
      <c r="AN622" s="632"/>
      <c r="AO622" s="585" t="s">
        <v>600</v>
      </c>
      <c r="AP622" s="708">
        <v>0</v>
      </c>
    </row>
    <row r="623" spans="1:42" s="585" customFormat="1" ht="12.75" customHeight="1">
      <c r="B623" s="651"/>
      <c r="C623" s="968"/>
      <c r="D623" s="698"/>
      <c r="E623" s="651" t="s">
        <v>1578</v>
      </c>
      <c r="F623" s="978"/>
      <c r="G623" s="978"/>
      <c r="H623" s="978"/>
      <c r="I623" s="978"/>
      <c r="J623" s="978"/>
      <c r="K623" s="978"/>
      <c r="L623" s="978"/>
      <c r="M623" s="978"/>
      <c r="N623" s="978"/>
      <c r="O623" s="978"/>
      <c r="P623" s="978"/>
      <c r="Q623" s="978"/>
      <c r="R623" s="978"/>
      <c r="U623" s="978"/>
      <c r="V623" s="978"/>
      <c r="W623" s="978"/>
      <c r="X623" s="1941" t="s">
        <v>600</v>
      </c>
      <c r="Y623" s="1941"/>
      <c r="Z623" s="978"/>
      <c r="AA623" s="978"/>
      <c r="AB623" s="978"/>
      <c r="AC623" s="978"/>
      <c r="AD623" s="978"/>
      <c r="AE623" s="571"/>
      <c r="AF623" s="651"/>
      <c r="AG623" s="651"/>
      <c r="AH623" s="651"/>
      <c r="AI623" s="651"/>
      <c r="AJ623" s="651"/>
      <c r="AK623" s="571"/>
      <c r="AL623" s="571"/>
      <c r="AN623" s="632"/>
      <c r="AO623" s="646" t="s">
        <v>697</v>
      </c>
      <c r="AP623" s="585">
        <v>5</v>
      </c>
    </row>
    <row r="624" spans="1:42" s="585" customFormat="1" ht="12.75" customHeight="1">
      <c r="B624" s="651"/>
      <c r="C624" s="977"/>
      <c r="D624" s="571"/>
      <c r="E624" s="571"/>
      <c r="F624" s="571"/>
      <c r="G624" s="571"/>
      <c r="H624" s="571"/>
      <c r="I624" s="571"/>
      <c r="J624" s="571"/>
      <c r="K624" s="571"/>
      <c r="L624" s="571"/>
      <c r="M624" s="571"/>
      <c r="N624" s="571"/>
      <c r="O624" s="571"/>
      <c r="P624" s="571"/>
      <c r="Q624" s="571"/>
      <c r="R624" s="571"/>
      <c r="S624" s="571"/>
      <c r="T624" s="571"/>
      <c r="U624" s="571"/>
      <c r="V624" s="571"/>
      <c r="W624" s="651"/>
      <c r="X624" s="651"/>
      <c r="Y624" s="651"/>
      <c r="Z624" s="651"/>
      <c r="AA624" s="651"/>
      <c r="AB624" s="651"/>
      <c r="AC624" s="571"/>
      <c r="AD624" s="571"/>
      <c r="AE624" s="571"/>
      <c r="AF624" s="571"/>
      <c r="AG624" s="571"/>
      <c r="AH624" s="571"/>
      <c r="AI624" s="571"/>
      <c r="AJ624" s="571"/>
      <c r="AK624" s="571"/>
      <c r="AL624" s="571"/>
      <c r="AN624" s="632"/>
      <c r="AO624" s="646" t="s">
        <v>518</v>
      </c>
      <c r="AP624" s="715">
        <v>4</v>
      </c>
    </row>
    <row r="625" spans="1:42" s="585" customFormat="1" ht="12.75" customHeight="1">
      <c r="B625" s="571"/>
      <c r="C625" s="968"/>
      <c r="D625" s="698" t="s">
        <v>518</v>
      </c>
      <c r="E625" s="590" t="s">
        <v>1579</v>
      </c>
      <c r="F625" s="979"/>
      <c r="G625" s="979"/>
      <c r="H625" s="979"/>
      <c r="I625" s="979"/>
      <c r="J625" s="979"/>
      <c r="K625" s="979"/>
      <c r="L625" s="979"/>
      <c r="M625" s="979"/>
      <c r="N625" s="979"/>
      <c r="O625" s="979"/>
      <c r="P625" s="979"/>
      <c r="Q625" s="979"/>
      <c r="R625" s="979"/>
      <c r="S625" s="979"/>
      <c r="T625" s="979"/>
      <c r="U625" s="571"/>
      <c r="V625" s="571"/>
      <c r="W625" s="979"/>
      <c r="X625" s="979"/>
      <c r="Y625" s="979"/>
      <c r="Z625" s="979"/>
      <c r="AA625" s="979"/>
      <c r="AB625" s="979"/>
      <c r="AC625" s="571"/>
      <c r="AD625" s="571"/>
      <c r="AE625" s="571"/>
      <c r="AF625" s="1914" t="s">
        <v>1580</v>
      </c>
      <c r="AG625" s="1914"/>
      <c r="AH625" s="1914"/>
      <c r="AI625" s="1914"/>
      <c r="AJ625" s="1914"/>
      <c r="AK625" s="1914"/>
      <c r="AL625" s="1914"/>
      <c r="AN625" s="632"/>
      <c r="AO625" s="646" t="s">
        <v>279</v>
      </c>
      <c r="AP625" s="585">
        <v>3</v>
      </c>
    </row>
    <row r="626" spans="1:42" s="585" customFormat="1" ht="12.75" customHeight="1">
      <c r="B626" s="571"/>
      <c r="C626" s="968"/>
      <c r="D626" s="571"/>
      <c r="E626" s="571"/>
      <c r="F626" s="979"/>
      <c r="G626" s="979"/>
      <c r="H626" s="979"/>
      <c r="I626" s="979"/>
      <c r="J626" s="979"/>
      <c r="K626" s="979"/>
      <c r="L626" s="979"/>
      <c r="M626" s="979"/>
      <c r="N626" s="979"/>
      <c r="O626" s="979"/>
      <c r="P626" s="979"/>
      <c r="Q626" s="979"/>
      <c r="R626" s="979"/>
      <c r="S626" s="979"/>
      <c r="T626" s="979"/>
      <c r="U626" s="571"/>
      <c r="V626" s="571"/>
      <c r="W626" s="571"/>
      <c r="X626" s="979"/>
      <c r="Y626" s="979"/>
      <c r="Z626" s="979"/>
      <c r="AA626" s="979"/>
      <c r="AB626" s="979"/>
      <c r="AC626" s="571"/>
      <c r="AD626" s="571"/>
      <c r="AE626" s="571"/>
      <c r="AF626" s="571"/>
      <c r="AG626" s="571"/>
      <c r="AH626" s="571"/>
      <c r="AI626" s="571"/>
      <c r="AJ626" s="571"/>
      <c r="AK626" s="571"/>
      <c r="AL626" s="571"/>
      <c r="AN626" s="632"/>
      <c r="AO626" s="646" t="s">
        <v>1569</v>
      </c>
      <c r="AP626" s="715">
        <v>4</v>
      </c>
    </row>
    <row r="627" spans="1:42" s="585" customFormat="1" ht="12.75" customHeight="1">
      <c r="B627" s="571"/>
      <c r="C627" s="968"/>
      <c r="D627" s="571" t="s">
        <v>1572</v>
      </c>
      <c r="E627" s="973"/>
      <c r="F627" s="973"/>
      <c r="G627" s="973"/>
      <c r="H627" s="1996" t="s">
        <v>697</v>
      </c>
      <c r="I627" s="1996"/>
      <c r="J627" s="979"/>
      <c r="K627" s="979"/>
      <c r="L627" s="979"/>
      <c r="M627" s="979"/>
      <c r="N627" s="979"/>
      <c r="O627" s="979"/>
      <c r="P627" s="979"/>
      <c r="Q627" s="979"/>
      <c r="R627" s="979"/>
      <c r="S627" s="979"/>
      <c r="T627" s="979"/>
      <c r="U627" s="973"/>
      <c r="V627" s="973"/>
      <c r="W627" s="973"/>
      <c r="X627" s="571"/>
      <c r="Y627" s="571"/>
      <c r="Z627" s="571"/>
      <c r="AA627" s="571"/>
      <c r="AB627" s="571"/>
      <c r="AC627" s="571"/>
      <c r="AD627" s="571"/>
      <c r="AE627" s="571"/>
      <c r="AF627" s="571"/>
      <c r="AG627" s="571"/>
      <c r="AH627" s="571"/>
      <c r="AI627" s="571"/>
      <c r="AJ627" s="571"/>
      <c r="AK627" s="571"/>
      <c r="AL627" s="571"/>
      <c r="AN627" s="632"/>
      <c r="AO627" s="646" t="s">
        <v>1570</v>
      </c>
      <c r="AP627" s="585">
        <v>3</v>
      </c>
    </row>
    <row r="628" spans="1:42" s="585" customFormat="1" ht="12.75" customHeight="1">
      <c r="B628" s="571"/>
      <c r="C628" s="968"/>
      <c r="D628" s="571"/>
      <c r="E628" s="973"/>
      <c r="F628" s="979"/>
      <c r="G628" s="979"/>
      <c r="H628" s="979"/>
      <c r="I628" s="980"/>
      <c r="J628" s="979"/>
      <c r="K628" s="979"/>
      <c r="L628" s="979"/>
      <c r="M628" s="979"/>
      <c r="N628" s="979"/>
      <c r="O628" s="979"/>
      <c r="P628" s="979"/>
      <c r="Q628" s="979"/>
      <c r="R628" s="571"/>
      <c r="S628" s="571"/>
      <c r="T628" s="979"/>
      <c r="U628" s="973"/>
      <c r="V628" s="973"/>
      <c r="W628" s="973"/>
      <c r="X628" s="973"/>
      <c r="Y628" s="973"/>
      <c r="Z628" s="973"/>
      <c r="AA628" s="973"/>
      <c r="AB628" s="973"/>
      <c r="AC628" s="571"/>
      <c r="AD628" s="571"/>
      <c r="AE628" s="571"/>
      <c r="AF628" s="571"/>
      <c r="AG628" s="571"/>
      <c r="AH628" s="571"/>
      <c r="AI628" s="979"/>
      <c r="AJ628" s="979"/>
      <c r="AK628" s="979"/>
      <c r="AL628" s="979"/>
      <c r="AM628" s="716"/>
      <c r="AN628" s="632"/>
      <c r="AO628" s="646" t="s">
        <v>1581</v>
      </c>
      <c r="AP628" s="585">
        <v>2</v>
      </c>
    </row>
    <row r="629" spans="1:42" s="585" customFormat="1" ht="12.75" customHeight="1">
      <c r="A629" s="641"/>
      <c r="B629" s="636"/>
      <c r="C629" s="981"/>
      <c r="D629" s="636"/>
      <c r="E629" s="976"/>
      <c r="F629" s="976"/>
      <c r="G629" s="982"/>
      <c r="H629" s="982"/>
      <c r="I629" s="982"/>
      <c r="J629" s="982"/>
      <c r="K629" s="982"/>
      <c r="L629" s="982"/>
      <c r="M629" s="982"/>
      <c r="N629" s="982"/>
      <c r="O629" s="982"/>
      <c r="P629" s="982"/>
      <c r="Q629" s="982"/>
      <c r="R629" s="982"/>
      <c r="S629" s="982"/>
      <c r="T629" s="976"/>
      <c r="U629" s="976"/>
      <c r="V629" s="976"/>
      <c r="W629" s="976"/>
      <c r="X629" s="976"/>
      <c r="Y629" s="976"/>
      <c r="Z629" s="976"/>
      <c r="AA629" s="976"/>
      <c r="AB629" s="636"/>
      <c r="AC629" s="636"/>
      <c r="AD629" s="636"/>
      <c r="AE629" s="636"/>
      <c r="AF629" s="636"/>
      <c r="AG629" s="636"/>
      <c r="AH629" s="636"/>
      <c r="AI629" s="600" t="s">
        <v>1582</v>
      </c>
      <c r="AJ629" s="1947">
        <f>VLOOKUP($H$627,$AO$594:$AP$596,2,FALSE)</f>
        <v>3</v>
      </c>
      <c r="AK629" s="1949"/>
      <c r="AL629" s="630"/>
      <c r="AN629" s="632"/>
      <c r="AO629" s="646" t="s">
        <v>1583</v>
      </c>
      <c r="AP629" s="585">
        <v>1</v>
      </c>
    </row>
    <row r="630" spans="1:42" s="585" customFormat="1" ht="12.75" customHeight="1">
      <c r="B630" s="571"/>
      <c r="C630" s="968"/>
      <c r="D630" s="571"/>
      <c r="E630" s="973"/>
      <c r="F630" s="973"/>
      <c r="G630" s="973"/>
      <c r="H630" s="571"/>
      <c r="I630" s="571"/>
      <c r="J630" s="979"/>
      <c r="K630" s="979"/>
      <c r="L630" s="979"/>
      <c r="M630" s="979"/>
      <c r="N630" s="979"/>
      <c r="O630" s="979"/>
      <c r="P630" s="979"/>
      <c r="Q630" s="979"/>
      <c r="R630" s="979"/>
      <c r="S630" s="979"/>
      <c r="T630" s="979"/>
      <c r="U630" s="973"/>
      <c r="V630" s="973"/>
      <c r="W630" s="973"/>
      <c r="X630" s="973"/>
      <c r="Y630" s="973"/>
      <c r="Z630" s="973"/>
      <c r="AA630" s="973"/>
      <c r="AB630" s="973"/>
      <c r="AC630" s="571"/>
      <c r="AD630" s="571"/>
      <c r="AE630" s="571"/>
      <c r="AF630" s="571"/>
      <c r="AG630" s="571"/>
      <c r="AH630" s="571"/>
      <c r="AI630" s="571"/>
      <c r="AJ630" s="578"/>
      <c r="AK630" s="571"/>
      <c r="AL630" s="571"/>
      <c r="AN630" s="632"/>
    </row>
    <row r="631" spans="1:42" s="585" customFormat="1" ht="12.75" customHeight="1">
      <c r="B631" s="571"/>
      <c r="C631" s="574" t="s">
        <v>1584</v>
      </c>
      <c r="D631" s="571"/>
      <c r="E631" s="973"/>
      <c r="F631" s="979"/>
      <c r="G631" s="979"/>
      <c r="H631" s="979"/>
      <c r="I631" s="979"/>
      <c r="J631" s="979"/>
      <c r="K631" s="979"/>
      <c r="L631" s="979"/>
      <c r="M631" s="979"/>
      <c r="N631" s="979"/>
      <c r="O631" s="979"/>
      <c r="P631" s="979"/>
      <c r="Q631" s="979"/>
      <c r="R631" s="979"/>
      <c r="S631" s="979"/>
      <c r="T631" s="979"/>
      <c r="U631" s="571"/>
      <c r="V631" s="571"/>
      <c r="W631" s="979"/>
      <c r="X631" s="979"/>
      <c r="Y631" s="979"/>
      <c r="Z631" s="979"/>
      <c r="AA631" s="979"/>
      <c r="AB631" s="979"/>
      <c r="AC631" s="629"/>
      <c r="AD631" s="629"/>
      <c r="AE631" s="629"/>
      <c r="AF631" s="629"/>
      <c r="AG631" s="629"/>
      <c r="AH631" s="629"/>
      <c r="AI631" s="629"/>
      <c r="AJ631" s="571"/>
      <c r="AK631" s="571"/>
      <c r="AL631" s="571"/>
      <c r="AN631" s="632"/>
    </row>
    <row r="632" spans="1:42" s="585" customFormat="1" ht="12.75" customHeight="1">
      <c r="A632" s="672"/>
      <c r="B632" s="571"/>
      <c r="C632" s="970"/>
      <c r="D632" s="571"/>
      <c r="E632" s="979"/>
      <c r="F632" s="979"/>
      <c r="G632" s="979"/>
      <c r="H632" s="979"/>
      <c r="I632" s="979"/>
      <c r="J632" s="979"/>
      <c r="K632" s="979"/>
      <c r="L632" s="979"/>
      <c r="M632" s="979"/>
      <c r="N632" s="979"/>
      <c r="O632" s="979"/>
      <c r="P632" s="979"/>
      <c r="Q632" s="979"/>
      <c r="R632" s="979"/>
      <c r="S632" s="979"/>
      <c r="T632" s="979"/>
      <c r="U632" s="979"/>
      <c r="V632" s="979"/>
      <c r="W632" s="979"/>
      <c r="X632" s="979"/>
      <c r="Y632" s="979"/>
      <c r="Z632" s="979"/>
      <c r="AA632" s="979"/>
      <c r="AB632" s="979"/>
      <c r="AC632" s="571"/>
      <c r="AD632" s="571"/>
      <c r="AE632" s="571"/>
      <c r="AF632" s="571"/>
      <c r="AG632" s="571"/>
      <c r="AH632" s="571"/>
      <c r="AI632" s="571"/>
      <c r="AJ632" s="571"/>
      <c r="AK632" s="571"/>
      <c r="AL632" s="571"/>
      <c r="AN632" s="632"/>
    </row>
    <row r="633" spans="1:42" s="585" customFormat="1" ht="12.75" customHeight="1">
      <c r="B633" s="571"/>
      <c r="C633" s="571"/>
      <c r="D633" s="698" t="s">
        <v>697</v>
      </c>
      <c r="E633" s="1967" t="s">
        <v>2524</v>
      </c>
      <c r="F633" s="1967"/>
      <c r="G633" s="1967"/>
      <c r="H633" s="1967"/>
      <c r="I633" s="1967"/>
      <c r="J633" s="1967"/>
      <c r="K633" s="1967"/>
      <c r="L633" s="1967"/>
      <c r="M633" s="1967"/>
      <c r="N633" s="1967"/>
      <c r="O633" s="1967"/>
      <c r="P633" s="1967"/>
      <c r="Q633" s="1967"/>
      <c r="R633" s="1967"/>
      <c r="S633" s="1967"/>
      <c r="T633" s="1967"/>
      <c r="U633" s="1967"/>
      <c r="V633" s="1967"/>
      <c r="W633" s="1967"/>
      <c r="X633" s="1967"/>
      <c r="Y633" s="1967"/>
      <c r="Z633" s="1967"/>
      <c r="AA633" s="1967"/>
      <c r="AB633" s="1967"/>
      <c r="AC633" s="1967"/>
      <c r="AD633" s="1967"/>
      <c r="AE633" s="571"/>
      <c r="AF633" s="1914" t="s">
        <v>1524</v>
      </c>
      <c r="AG633" s="1914"/>
      <c r="AH633" s="1914"/>
      <c r="AI633" s="1914"/>
      <c r="AJ633" s="1914"/>
      <c r="AK633" s="1914"/>
      <c r="AL633" s="1914"/>
      <c r="AN633" s="632"/>
    </row>
    <row r="634" spans="1:42" s="585" customFormat="1" ht="12.75" customHeight="1">
      <c r="B634" s="571"/>
      <c r="C634" s="571"/>
      <c r="D634" s="698"/>
      <c r="E634" s="1967"/>
      <c r="F634" s="1967"/>
      <c r="G634" s="1967"/>
      <c r="H634" s="1967"/>
      <c r="I634" s="1967"/>
      <c r="J634" s="1967"/>
      <c r="K634" s="1967"/>
      <c r="L634" s="1967"/>
      <c r="M634" s="1967"/>
      <c r="N634" s="1967"/>
      <c r="O634" s="1967"/>
      <c r="P634" s="1967"/>
      <c r="Q634" s="1967"/>
      <c r="R634" s="1967"/>
      <c r="S634" s="1967"/>
      <c r="T634" s="1967"/>
      <c r="U634" s="1967"/>
      <c r="V634" s="1967"/>
      <c r="W634" s="1967"/>
      <c r="X634" s="1967"/>
      <c r="Y634" s="1967"/>
      <c r="Z634" s="1967"/>
      <c r="AA634" s="1967"/>
      <c r="AB634" s="1967"/>
      <c r="AC634" s="1967"/>
      <c r="AD634" s="1967"/>
      <c r="AE634" s="629"/>
      <c r="AF634" s="629"/>
      <c r="AG634" s="629"/>
      <c r="AH634" s="629"/>
      <c r="AI634" s="629"/>
      <c r="AJ634" s="629"/>
      <c r="AK634" s="629"/>
      <c r="AL634" s="629"/>
      <c r="AN634" s="632"/>
    </row>
    <row r="635" spans="1:42" s="585" customFormat="1" ht="12.75" customHeight="1">
      <c r="B635" s="651"/>
      <c r="C635" s="977"/>
      <c r="D635" s="698"/>
      <c r="E635" s="651"/>
      <c r="F635" s="651"/>
      <c r="G635" s="651"/>
      <c r="H635" s="651"/>
      <c r="I635" s="651"/>
      <c r="J635" s="651"/>
      <c r="K635" s="651"/>
      <c r="L635" s="651"/>
      <c r="M635" s="651"/>
      <c r="N635" s="651"/>
      <c r="O635" s="651"/>
      <c r="P635" s="651"/>
      <c r="Q635" s="651"/>
      <c r="R635" s="651"/>
      <c r="S635" s="651"/>
      <c r="T635" s="651"/>
      <c r="U635" s="651"/>
      <c r="V635" s="651"/>
      <c r="W635" s="651"/>
      <c r="X635" s="651"/>
      <c r="Y635" s="651"/>
      <c r="Z635" s="651"/>
      <c r="AA635" s="651"/>
      <c r="AB635" s="651"/>
      <c r="AC635" s="571"/>
      <c r="AD635" s="571"/>
      <c r="AE635" s="651"/>
      <c r="AF635" s="571"/>
      <c r="AG635" s="571"/>
      <c r="AH635" s="571"/>
      <c r="AI635" s="571"/>
      <c r="AJ635" s="571"/>
      <c r="AK635" s="571"/>
      <c r="AL635" s="571"/>
      <c r="AN635" s="632"/>
    </row>
    <row r="636" spans="1:42" s="585" customFormat="1" ht="12.75" customHeight="1">
      <c r="B636" s="571"/>
      <c r="C636" s="968"/>
      <c r="D636" s="698" t="s">
        <v>518</v>
      </c>
      <c r="E636" s="651" t="s">
        <v>1585</v>
      </c>
      <c r="F636" s="651"/>
      <c r="G636" s="651"/>
      <c r="H636" s="651"/>
      <c r="I636" s="651"/>
      <c r="J636" s="651"/>
      <c r="K636" s="651"/>
      <c r="L636" s="651"/>
      <c r="M636" s="651"/>
      <c r="N636" s="651"/>
      <c r="O636" s="651"/>
      <c r="P636" s="651"/>
      <c r="Q636" s="651"/>
      <c r="R636" s="651"/>
      <c r="S636" s="651"/>
      <c r="T636" s="651"/>
      <c r="U636" s="651"/>
      <c r="V636" s="651"/>
      <c r="W636" s="651"/>
      <c r="X636" s="651"/>
      <c r="Y636" s="651"/>
      <c r="Z636" s="651"/>
      <c r="AA636" s="651"/>
      <c r="AB636" s="651"/>
      <c r="AC636" s="571"/>
      <c r="AD636" s="571"/>
      <c r="AE636" s="571"/>
      <c r="AF636" s="1914" t="s">
        <v>1580</v>
      </c>
      <c r="AG636" s="1914"/>
      <c r="AH636" s="1914"/>
      <c r="AI636" s="1914"/>
      <c r="AJ636" s="1914"/>
      <c r="AK636" s="1914"/>
      <c r="AL636" s="1914"/>
      <c r="AN636" s="632"/>
    </row>
    <row r="637" spans="1:42" s="585" customFormat="1" ht="12.75" customHeight="1">
      <c r="B637" s="571"/>
      <c r="C637" s="968"/>
      <c r="D637" s="698"/>
      <c r="E637" s="651" t="s">
        <v>1586</v>
      </c>
      <c r="F637" s="651"/>
      <c r="G637" s="651"/>
      <c r="H637" s="651"/>
      <c r="I637" s="651"/>
      <c r="J637" s="651"/>
      <c r="K637" s="651"/>
      <c r="L637" s="651"/>
      <c r="M637" s="651"/>
      <c r="N637" s="651"/>
      <c r="O637" s="651"/>
      <c r="P637" s="651"/>
      <c r="Q637" s="651"/>
      <c r="R637" s="651"/>
      <c r="S637" s="651"/>
      <c r="T637" s="651"/>
      <c r="U637" s="651"/>
      <c r="V637" s="651"/>
      <c r="W637" s="651"/>
      <c r="X637" s="651"/>
      <c r="Y637" s="651"/>
      <c r="Z637" s="651"/>
      <c r="AA637" s="651"/>
      <c r="AB637" s="651"/>
      <c r="AC637" s="571"/>
      <c r="AD637" s="571"/>
      <c r="AE637" s="629"/>
      <c r="AF637" s="629"/>
      <c r="AG637" s="629"/>
      <c r="AH637" s="629"/>
      <c r="AI637" s="629"/>
      <c r="AJ637" s="629"/>
      <c r="AK637" s="629"/>
      <c r="AL637" s="629"/>
      <c r="AN637" s="632"/>
    </row>
    <row r="638" spans="1:42" s="585" customFormat="1" ht="12.75" customHeight="1">
      <c r="B638" s="571"/>
      <c r="C638" s="968"/>
      <c r="D638" s="571"/>
      <c r="E638" s="651"/>
      <c r="F638" s="651"/>
      <c r="G638" s="651"/>
      <c r="H638" s="651"/>
      <c r="I638" s="651"/>
      <c r="J638" s="651"/>
      <c r="K638" s="651"/>
      <c r="L638" s="651"/>
      <c r="M638" s="651"/>
      <c r="N638" s="651"/>
      <c r="O638" s="651"/>
      <c r="P638" s="651"/>
      <c r="Q638" s="651"/>
      <c r="R638" s="651"/>
      <c r="S638" s="651"/>
      <c r="T638" s="651"/>
      <c r="U638" s="651"/>
      <c r="V638" s="651"/>
      <c r="W638" s="651"/>
      <c r="X638" s="651"/>
      <c r="Y638" s="651"/>
      <c r="Z638" s="651"/>
      <c r="AA638" s="651"/>
      <c r="AB638" s="651"/>
      <c r="AC638" s="571"/>
      <c r="AD638" s="571"/>
      <c r="AE638" s="571"/>
      <c r="AF638" s="571"/>
      <c r="AG638" s="571"/>
      <c r="AH638" s="571"/>
      <c r="AI638" s="571"/>
      <c r="AJ638" s="571"/>
      <c r="AK638" s="571"/>
      <c r="AL638" s="571"/>
      <c r="AN638" s="632"/>
      <c r="AP638" s="715"/>
    </row>
    <row r="639" spans="1:42" s="585" customFormat="1" ht="12.75" customHeight="1">
      <c r="B639" s="571"/>
      <c r="C639" s="968"/>
      <c r="D639" s="571" t="s">
        <v>1572</v>
      </c>
      <c r="E639" s="973"/>
      <c r="F639" s="973"/>
      <c r="G639" s="973"/>
      <c r="H639" s="1996" t="s">
        <v>600</v>
      </c>
      <c r="I639" s="1996"/>
      <c r="J639" s="651"/>
      <c r="K639" s="651"/>
      <c r="L639" s="651"/>
      <c r="M639" s="651"/>
      <c r="N639" s="651"/>
      <c r="O639" s="651"/>
      <c r="P639" s="651"/>
      <c r="Q639" s="651"/>
      <c r="R639" s="651"/>
      <c r="S639" s="651"/>
      <c r="T639" s="651"/>
      <c r="U639" s="651"/>
      <c r="V639" s="651"/>
      <c r="W639" s="571"/>
      <c r="X639" s="571"/>
      <c r="Y639" s="571"/>
      <c r="Z639" s="571"/>
      <c r="AA639" s="571"/>
      <c r="AB639" s="571"/>
      <c r="AC639" s="571"/>
      <c r="AD639" s="571"/>
      <c r="AE639" s="571"/>
      <c r="AF639" s="571"/>
      <c r="AG639" s="571"/>
      <c r="AH639" s="571"/>
      <c r="AI639" s="571"/>
      <c r="AJ639" s="571"/>
      <c r="AK639" s="571"/>
      <c r="AL639" s="571"/>
      <c r="AN639" s="632"/>
    </row>
    <row r="640" spans="1:42" s="585" customFormat="1" ht="12.75" customHeight="1">
      <c r="B640" s="571"/>
      <c r="C640" s="968"/>
      <c r="D640" s="571"/>
      <c r="E640" s="973"/>
      <c r="F640" s="973"/>
      <c r="G640" s="651"/>
      <c r="H640" s="651"/>
      <c r="I640" s="651"/>
      <c r="J640" s="651"/>
      <c r="K640" s="651"/>
      <c r="L640" s="651"/>
      <c r="M640" s="651"/>
      <c r="N640" s="651"/>
      <c r="O640" s="651"/>
      <c r="P640" s="651"/>
      <c r="Q640" s="651"/>
      <c r="R640" s="651"/>
      <c r="S640" s="651"/>
      <c r="T640" s="651"/>
      <c r="U640" s="651"/>
      <c r="V640" s="651"/>
      <c r="W640" s="651"/>
      <c r="X640" s="651"/>
      <c r="Y640" s="651"/>
      <c r="Z640" s="973"/>
      <c r="AA640" s="973"/>
      <c r="AB640" s="973"/>
      <c r="AC640" s="571"/>
      <c r="AD640" s="571"/>
      <c r="AE640" s="571"/>
      <c r="AF640" s="571"/>
      <c r="AG640" s="571"/>
      <c r="AH640" s="571"/>
      <c r="AI640" s="571"/>
      <c r="AJ640" s="651"/>
      <c r="AK640" s="651"/>
      <c r="AL640" s="651"/>
      <c r="AM640" s="586"/>
      <c r="AN640" s="632"/>
    </row>
    <row r="641" spans="1:42" s="585" customFormat="1" ht="12.75" customHeight="1">
      <c r="A641" s="641"/>
      <c r="B641" s="636"/>
      <c r="C641" s="981"/>
      <c r="D641" s="636"/>
      <c r="E641" s="976"/>
      <c r="F641" s="976"/>
      <c r="G641" s="700"/>
      <c r="H641" s="700"/>
      <c r="I641" s="700"/>
      <c r="J641" s="700"/>
      <c r="K641" s="700"/>
      <c r="L641" s="700"/>
      <c r="M641" s="700"/>
      <c r="N641" s="700"/>
      <c r="O641" s="700"/>
      <c r="P641" s="700"/>
      <c r="Q641" s="700"/>
      <c r="R641" s="700"/>
      <c r="S641" s="700"/>
      <c r="T641" s="700"/>
      <c r="U641" s="700"/>
      <c r="V641" s="700"/>
      <c r="W641" s="700"/>
      <c r="X641" s="700"/>
      <c r="Y641" s="976"/>
      <c r="Z641" s="976"/>
      <c r="AA641" s="976"/>
      <c r="AB641" s="636"/>
      <c r="AC641" s="636"/>
      <c r="AD641" s="636"/>
      <c r="AE641" s="636"/>
      <c r="AF641" s="636"/>
      <c r="AG641" s="636"/>
      <c r="AH641" s="636"/>
      <c r="AI641" s="600" t="s">
        <v>1587</v>
      </c>
      <c r="AJ641" s="1947">
        <f>VLOOKUP(H639,AT594:AU596,2,FALSE)</f>
        <v>0</v>
      </c>
      <c r="AK641" s="1949"/>
      <c r="AL641" s="630"/>
      <c r="AN641" s="632"/>
      <c r="AO641" s="585" t="s">
        <v>600</v>
      </c>
      <c r="AP641" s="708">
        <v>0</v>
      </c>
    </row>
    <row r="642" spans="1:42" s="585" customFormat="1" ht="12.75" customHeight="1">
      <c r="B642" s="571"/>
      <c r="C642" s="968"/>
      <c r="D642" s="571"/>
      <c r="E642" s="571"/>
      <c r="F642" s="571"/>
      <c r="G642" s="571"/>
      <c r="H642" s="571"/>
      <c r="I642" s="571"/>
      <c r="J642" s="571"/>
      <c r="K642" s="571"/>
      <c r="L642" s="571"/>
      <c r="M642" s="571"/>
      <c r="N642" s="571"/>
      <c r="O642" s="571"/>
      <c r="P642" s="571"/>
      <c r="Q642" s="571"/>
      <c r="R642" s="571"/>
      <c r="S642" s="571"/>
      <c r="T642" s="571"/>
      <c r="U642" s="571"/>
      <c r="V642" s="571"/>
      <c r="W642" s="571"/>
      <c r="X642" s="571"/>
      <c r="Y642" s="571"/>
      <c r="Z642" s="571"/>
      <c r="AA642" s="571"/>
      <c r="AB642" s="571"/>
      <c r="AC642" s="571"/>
      <c r="AD642" s="571"/>
      <c r="AE642" s="571"/>
      <c r="AF642" s="571"/>
      <c r="AG642" s="571"/>
      <c r="AH642" s="571"/>
      <c r="AI642" s="571"/>
      <c r="AJ642" s="571"/>
      <c r="AK642" s="571"/>
      <c r="AL642" s="571"/>
      <c r="AN642" s="632"/>
      <c r="AO642" s="646" t="s">
        <v>697</v>
      </c>
      <c r="AP642" s="585">
        <v>3</v>
      </c>
    </row>
    <row r="643" spans="1:42" s="585" customFormat="1" ht="12.75" customHeight="1">
      <c r="B643" s="571"/>
      <c r="C643" s="574" t="s">
        <v>1588</v>
      </c>
      <c r="D643" s="571"/>
      <c r="E643" s="571"/>
      <c r="F643" s="571"/>
      <c r="G643" s="571"/>
      <c r="H643" s="571"/>
      <c r="I643" s="571"/>
      <c r="J643" s="571"/>
      <c r="K643" s="571"/>
      <c r="L643" s="571"/>
      <c r="M643" s="571"/>
      <c r="N643" s="571"/>
      <c r="O643" s="571"/>
      <c r="P643" s="571"/>
      <c r="Q643" s="571"/>
      <c r="R643" s="571"/>
      <c r="S643" s="571"/>
      <c r="T643" s="571"/>
      <c r="U643" s="571"/>
      <c r="V643" s="571"/>
      <c r="W643" s="571"/>
      <c r="X643" s="571"/>
      <c r="Y643" s="571"/>
      <c r="Z643" s="571"/>
      <c r="AA643" s="571"/>
      <c r="AB643" s="571"/>
      <c r="AC643" s="571"/>
      <c r="AD643" s="571"/>
      <c r="AE643" s="571"/>
      <c r="AF643" s="571"/>
      <c r="AG643" s="571"/>
      <c r="AH643" s="571"/>
      <c r="AI643" s="571"/>
      <c r="AJ643" s="571"/>
      <c r="AK643" s="571"/>
      <c r="AL643" s="571"/>
      <c r="AN643" s="632"/>
      <c r="AO643" s="646" t="s">
        <v>518</v>
      </c>
      <c r="AP643" s="585">
        <v>2</v>
      </c>
    </row>
    <row r="644" spans="1:42" s="585" customFormat="1" ht="12.75" customHeight="1">
      <c r="B644" s="571"/>
      <c r="C644" s="574"/>
      <c r="D644" s="717" t="s">
        <v>1589</v>
      </c>
      <c r="E644" s="571"/>
      <c r="F644" s="571"/>
      <c r="G644" s="571"/>
      <c r="H644" s="571"/>
      <c r="I644" s="571"/>
      <c r="J644" s="571"/>
      <c r="K644" s="571"/>
      <c r="L644" s="571"/>
      <c r="M644" s="571"/>
      <c r="N644" s="571"/>
      <c r="O644" s="571"/>
      <c r="P644" s="571"/>
      <c r="Q644" s="571"/>
      <c r="R644" s="571"/>
      <c r="S644" s="571"/>
      <c r="T644" s="571"/>
      <c r="U644" s="571"/>
      <c r="V644" s="571"/>
      <c r="W644" s="571"/>
      <c r="X644" s="571"/>
      <c r="Y644" s="571"/>
      <c r="Z644" s="571"/>
      <c r="AA644" s="571"/>
      <c r="AB644" s="571"/>
      <c r="AC644" s="571"/>
      <c r="AD644" s="571"/>
      <c r="AE644" s="571"/>
      <c r="AF644" s="571"/>
      <c r="AG644" s="571"/>
      <c r="AH644" s="571"/>
      <c r="AI644" s="571"/>
      <c r="AJ644" s="571"/>
      <c r="AK644" s="571"/>
      <c r="AL644" s="571"/>
      <c r="AN644" s="632"/>
    </row>
    <row r="645" spans="1:42" s="585" customFormat="1" ht="12.75" customHeight="1">
      <c r="B645" s="571"/>
      <c r="C645" s="574"/>
      <c r="D645" s="571"/>
      <c r="E645" s="571"/>
      <c r="F645" s="571"/>
      <c r="G645" s="571"/>
      <c r="H645" s="571"/>
      <c r="I645" s="571"/>
      <c r="J645" s="571"/>
      <c r="K645" s="571"/>
      <c r="L645" s="571"/>
      <c r="M645" s="571"/>
      <c r="N645" s="571"/>
      <c r="O645" s="571"/>
      <c r="P645" s="571"/>
      <c r="Q645" s="571"/>
      <c r="R645" s="571"/>
      <c r="S645" s="571"/>
      <c r="T645" s="571"/>
      <c r="U645" s="571"/>
      <c r="V645" s="571"/>
      <c r="W645" s="571"/>
      <c r="X645" s="571"/>
      <c r="Y645" s="571"/>
      <c r="Z645" s="571"/>
      <c r="AA645" s="571"/>
      <c r="AB645" s="571"/>
      <c r="AC645" s="571"/>
      <c r="AD645" s="571"/>
      <c r="AE645" s="571"/>
      <c r="AF645" s="571"/>
      <c r="AG645" s="571"/>
      <c r="AH645" s="571"/>
      <c r="AI645" s="571"/>
      <c r="AJ645" s="571"/>
      <c r="AK645" s="571"/>
      <c r="AL645" s="571"/>
      <c r="AN645" s="632"/>
    </row>
    <row r="646" spans="1:42" s="585" customFormat="1" ht="12.75" customHeight="1">
      <c r="B646" s="571"/>
      <c r="C646" s="574"/>
      <c r="D646" s="698" t="s">
        <v>697</v>
      </c>
      <c r="E646" s="1967" t="s">
        <v>1590</v>
      </c>
      <c r="F646" s="1967"/>
      <c r="G646" s="1967"/>
      <c r="H646" s="1967"/>
      <c r="I646" s="1967"/>
      <c r="J646" s="1967"/>
      <c r="K646" s="1967"/>
      <c r="L646" s="1967"/>
      <c r="M646" s="1967"/>
      <c r="N646" s="1967"/>
      <c r="O646" s="1967"/>
      <c r="P646" s="1967"/>
      <c r="Q646" s="1967"/>
      <c r="R646" s="1967"/>
      <c r="S646" s="1967"/>
      <c r="T646" s="1967"/>
      <c r="U646" s="1967"/>
      <c r="V646" s="1967"/>
      <c r="W646" s="1967"/>
      <c r="X646" s="1967"/>
      <c r="Y646" s="1967"/>
      <c r="Z646" s="1967"/>
      <c r="AA646" s="1967"/>
      <c r="AB646" s="1967"/>
      <c r="AC646" s="1967"/>
      <c r="AD646" s="571"/>
      <c r="AE646" s="571"/>
      <c r="AF646" s="1914" t="s">
        <v>1550</v>
      </c>
      <c r="AG646" s="1914"/>
      <c r="AH646" s="1914"/>
      <c r="AI646" s="1914"/>
      <c r="AJ646" s="1914"/>
      <c r="AK646" s="1914"/>
      <c r="AL646" s="1914"/>
      <c r="AN646" s="632"/>
    </row>
    <row r="647" spans="1:42" s="585" customFormat="1" ht="12.75" customHeight="1">
      <c r="B647" s="571"/>
      <c r="C647" s="574"/>
      <c r="D647" s="571"/>
      <c r="E647" s="1967"/>
      <c r="F647" s="1967"/>
      <c r="G647" s="1967"/>
      <c r="H647" s="1967"/>
      <c r="I647" s="1967"/>
      <c r="J647" s="1967"/>
      <c r="K647" s="1967"/>
      <c r="L647" s="1967"/>
      <c r="M647" s="1967"/>
      <c r="N647" s="1967"/>
      <c r="O647" s="1967"/>
      <c r="P647" s="1967"/>
      <c r="Q647" s="1967"/>
      <c r="R647" s="1967"/>
      <c r="S647" s="1967"/>
      <c r="T647" s="1967"/>
      <c r="U647" s="1967"/>
      <c r="V647" s="1967"/>
      <c r="W647" s="1967"/>
      <c r="X647" s="1967"/>
      <c r="Y647" s="1967"/>
      <c r="Z647" s="1967"/>
      <c r="AA647" s="1967"/>
      <c r="AB647" s="1967"/>
      <c r="AC647" s="1967"/>
      <c r="AD647" s="571"/>
      <c r="AE647" s="571"/>
      <c r="AF647" s="571"/>
      <c r="AG647" s="571"/>
      <c r="AH647" s="571"/>
      <c r="AI647" s="571"/>
      <c r="AJ647" s="571"/>
      <c r="AK647" s="571"/>
      <c r="AL647" s="571"/>
      <c r="AN647" s="632"/>
    </row>
    <row r="648" spans="1:42" s="585" customFormat="1" ht="12.75" customHeight="1">
      <c r="B648" s="571"/>
      <c r="C648" s="574"/>
      <c r="D648" s="698"/>
      <c r="E648" s="1967"/>
      <c r="F648" s="1967"/>
      <c r="G648" s="1967"/>
      <c r="H648" s="1967"/>
      <c r="I648" s="1967"/>
      <c r="J648" s="1967"/>
      <c r="K648" s="1967"/>
      <c r="L648" s="1967"/>
      <c r="M648" s="1967"/>
      <c r="N648" s="1967"/>
      <c r="O648" s="1967"/>
      <c r="P648" s="1967"/>
      <c r="Q648" s="1967"/>
      <c r="R648" s="1967"/>
      <c r="S648" s="1967"/>
      <c r="T648" s="1967"/>
      <c r="U648" s="1967"/>
      <c r="V648" s="1967"/>
      <c r="W648" s="1967"/>
      <c r="X648" s="1967"/>
      <c r="Y648" s="1967"/>
      <c r="Z648" s="1967"/>
      <c r="AA648" s="1967"/>
      <c r="AB648" s="1967"/>
      <c r="AC648" s="1967"/>
      <c r="AD648" s="571"/>
      <c r="AE648" s="571"/>
      <c r="AF648" s="571"/>
      <c r="AG648" s="571"/>
      <c r="AH648" s="571"/>
      <c r="AI648" s="571"/>
      <c r="AJ648" s="571"/>
      <c r="AK648" s="571"/>
      <c r="AL648" s="571"/>
      <c r="AN648" s="632"/>
    </row>
    <row r="649" spans="1:42" s="585" customFormat="1" ht="15" customHeight="1">
      <c r="B649" s="571"/>
      <c r="C649" s="574"/>
      <c r="D649" s="571"/>
      <c r="E649" s="983"/>
      <c r="F649" s="983"/>
      <c r="G649" s="983"/>
      <c r="H649" s="983"/>
      <c r="I649" s="983"/>
      <c r="J649" s="983"/>
      <c r="K649" s="983"/>
      <c r="L649" s="983"/>
      <c r="M649" s="983"/>
      <c r="N649" s="983"/>
      <c r="O649" s="983"/>
      <c r="P649" s="983"/>
      <c r="Q649" s="983"/>
      <c r="R649" s="983"/>
      <c r="S649" s="983"/>
      <c r="T649" s="983"/>
      <c r="U649" s="983"/>
      <c r="V649" s="983"/>
      <c r="W649" s="983"/>
      <c r="X649" s="983"/>
      <c r="Y649" s="983"/>
      <c r="Z649" s="983"/>
      <c r="AA649" s="983"/>
      <c r="AB649" s="983"/>
      <c r="AC649" s="571"/>
      <c r="AD649" s="571"/>
      <c r="AE649" s="571"/>
      <c r="AF649" s="571"/>
      <c r="AG649" s="571"/>
      <c r="AH649" s="571"/>
      <c r="AI649" s="571"/>
      <c r="AJ649" s="571"/>
      <c r="AK649" s="571"/>
      <c r="AL649" s="571"/>
      <c r="AN649" s="632"/>
    </row>
    <row r="650" spans="1:42" s="585" customFormat="1" ht="12.75" customHeight="1">
      <c r="B650" s="571"/>
      <c r="C650" s="574"/>
      <c r="D650" s="698" t="s">
        <v>518</v>
      </c>
      <c r="E650" s="1967" t="s">
        <v>1591</v>
      </c>
      <c r="F650" s="1967"/>
      <c r="G650" s="1967"/>
      <c r="H650" s="1967"/>
      <c r="I650" s="1967"/>
      <c r="J650" s="1967"/>
      <c r="K650" s="1967"/>
      <c r="L650" s="1967"/>
      <c r="M650" s="1967"/>
      <c r="N650" s="1967"/>
      <c r="O650" s="1967"/>
      <c r="P650" s="1967"/>
      <c r="Q650" s="1967"/>
      <c r="R650" s="1967"/>
      <c r="S650" s="1967"/>
      <c r="T650" s="1967"/>
      <c r="U650" s="1967"/>
      <c r="V650" s="1967"/>
      <c r="W650" s="1967"/>
      <c r="X650" s="1967"/>
      <c r="Y650" s="1967"/>
      <c r="Z650" s="1967"/>
      <c r="AA650" s="1967"/>
      <c r="AB650" s="1967"/>
      <c r="AC650" s="1967"/>
      <c r="AD650" s="571"/>
      <c r="AE650" s="571"/>
      <c r="AF650" s="1914" t="s">
        <v>1571</v>
      </c>
      <c r="AG650" s="1914"/>
      <c r="AH650" s="1914"/>
      <c r="AI650" s="1914"/>
      <c r="AJ650" s="1914"/>
      <c r="AK650" s="1914"/>
      <c r="AL650" s="1914"/>
      <c r="AN650" s="632"/>
    </row>
    <row r="651" spans="1:42" s="585" customFormat="1" ht="12.75" customHeight="1">
      <c r="B651" s="571"/>
      <c r="C651" s="574"/>
      <c r="D651" s="571"/>
      <c r="E651" s="1967"/>
      <c r="F651" s="1967"/>
      <c r="G651" s="1967"/>
      <c r="H651" s="1967"/>
      <c r="I651" s="1967"/>
      <c r="J651" s="1967"/>
      <c r="K651" s="1967"/>
      <c r="L651" s="1967"/>
      <c r="M651" s="1967"/>
      <c r="N651" s="1967"/>
      <c r="O651" s="1967"/>
      <c r="P651" s="1967"/>
      <c r="Q651" s="1967"/>
      <c r="R651" s="1967"/>
      <c r="S651" s="1967"/>
      <c r="T651" s="1967"/>
      <c r="U651" s="1967"/>
      <c r="V651" s="1967"/>
      <c r="W651" s="1967"/>
      <c r="X651" s="1967"/>
      <c r="Y651" s="1967"/>
      <c r="Z651" s="1967"/>
      <c r="AA651" s="1967"/>
      <c r="AB651" s="1967"/>
      <c r="AC651" s="1967"/>
      <c r="AD651" s="571"/>
      <c r="AE651" s="571"/>
      <c r="AF651" s="571"/>
      <c r="AG651" s="571"/>
      <c r="AH651" s="571"/>
      <c r="AI651" s="571"/>
      <c r="AJ651" s="571"/>
      <c r="AK651" s="571"/>
      <c r="AL651" s="571"/>
      <c r="AN651" s="632"/>
    </row>
    <row r="652" spans="1:42" s="585" customFormat="1" ht="15" customHeight="1">
      <c r="B652" s="571"/>
      <c r="C652" s="574"/>
      <c r="D652" s="698"/>
      <c r="E652" s="1967"/>
      <c r="F652" s="1967"/>
      <c r="G652" s="1967"/>
      <c r="H652" s="1967"/>
      <c r="I652" s="1967"/>
      <c r="J652" s="1967"/>
      <c r="K652" s="1967"/>
      <c r="L652" s="1967"/>
      <c r="M652" s="1967"/>
      <c r="N652" s="1967"/>
      <c r="O652" s="1967"/>
      <c r="P652" s="1967"/>
      <c r="Q652" s="1967"/>
      <c r="R652" s="1967"/>
      <c r="S652" s="1967"/>
      <c r="T652" s="1967"/>
      <c r="U652" s="1967"/>
      <c r="V652" s="1967"/>
      <c r="W652" s="1967"/>
      <c r="X652" s="1967"/>
      <c r="Y652" s="1967"/>
      <c r="Z652" s="1967"/>
      <c r="AA652" s="1967"/>
      <c r="AB652" s="1967"/>
      <c r="AC652" s="1967"/>
      <c r="AD652" s="571"/>
      <c r="AE652" s="571"/>
      <c r="AF652" s="571"/>
      <c r="AG652" s="571"/>
      <c r="AH652" s="571"/>
      <c r="AI652" s="571"/>
      <c r="AJ652" s="571"/>
      <c r="AK652" s="571"/>
      <c r="AL652" s="571"/>
      <c r="AN652" s="632"/>
    </row>
    <row r="653" spans="1:42" s="585" customFormat="1" ht="12.75" customHeight="1">
      <c r="B653" s="571"/>
      <c r="C653" s="574"/>
      <c r="D653" s="571"/>
      <c r="E653" s="983"/>
      <c r="F653" s="983"/>
      <c r="G653" s="983"/>
      <c r="H653" s="983"/>
      <c r="I653" s="983"/>
      <c r="J653" s="983"/>
      <c r="K653" s="983"/>
      <c r="L653" s="983"/>
      <c r="M653" s="983"/>
      <c r="N653" s="983"/>
      <c r="O653" s="983"/>
      <c r="P653" s="983"/>
      <c r="Q653" s="983"/>
      <c r="R653" s="983"/>
      <c r="S653" s="983"/>
      <c r="T653" s="983"/>
      <c r="U653" s="983"/>
      <c r="V653" s="983"/>
      <c r="W653" s="983"/>
      <c r="X653" s="983"/>
      <c r="Y653" s="983"/>
      <c r="Z653" s="983"/>
      <c r="AA653" s="983"/>
      <c r="AB653" s="983"/>
      <c r="AC653" s="571"/>
      <c r="AD653" s="571"/>
      <c r="AE653" s="571"/>
      <c r="AF653" s="571"/>
      <c r="AG653" s="571"/>
      <c r="AH653" s="571"/>
      <c r="AI653" s="571"/>
      <c r="AJ653" s="571"/>
      <c r="AK653" s="571"/>
      <c r="AL653" s="571"/>
      <c r="AN653" s="632"/>
    </row>
    <row r="654" spans="1:42" s="585" customFormat="1" ht="12.75" customHeight="1">
      <c r="B654" s="571"/>
      <c r="C654" s="574"/>
      <c r="D654" s="698" t="s">
        <v>279</v>
      </c>
      <c r="E654" s="1967" t="s">
        <v>1592</v>
      </c>
      <c r="F654" s="1967"/>
      <c r="G654" s="1967"/>
      <c r="H654" s="1967"/>
      <c r="I654" s="1967"/>
      <c r="J654" s="1967"/>
      <c r="K654" s="1967"/>
      <c r="L654" s="1967"/>
      <c r="M654" s="1967"/>
      <c r="N654" s="1967"/>
      <c r="O654" s="1967"/>
      <c r="P654" s="1967"/>
      <c r="Q654" s="1967"/>
      <c r="R654" s="1967"/>
      <c r="S654" s="1967"/>
      <c r="T654" s="1967"/>
      <c r="U654" s="1967"/>
      <c r="V654" s="1967"/>
      <c r="W654" s="1967"/>
      <c r="X654" s="1967"/>
      <c r="Y654" s="1967"/>
      <c r="Z654" s="1967"/>
      <c r="AA654" s="1967"/>
      <c r="AB654" s="1967"/>
      <c r="AC654" s="1967"/>
      <c r="AD654" s="571"/>
      <c r="AE654" s="571"/>
      <c r="AF654" s="1914" t="s">
        <v>1524</v>
      </c>
      <c r="AG654" s="1914"/>
      <c r="AH654" s="1914"/>
      <c r="AI654" s="1914"/>
      <c r="AJ654" s="1914"/>
      <c r="AK654" s="1914"/>
      <c r="AL654" s="1914"/>
      <c r="AN654" s="632"/>
    </row>
    <row r="655" spans="1:42" s="585" customFormat="1" ht="12.75" customHeight="1">
      <c r="B655" s="571"/>
      <c r="C655" s="968"/>
      <c r="D655" s="571"/>
      <c r="E655" s="1967"/>
      <c r="F655" s="1967"/>
      <c r="G655" s="1967"/>
      <c r="H655" s="1967"/>
      <c r="I655" s="1967"/>
      <c r="J655" s="1967"/>
      <c r="K655" s="1967"/>
      <c r="L655" s="1967"/>
      <c r="M655" s="1967"/>
      <c r="N655" s="1967"/>
      <c r="O655" s="1967"/>
      <c r="P655" s="1967"/>
      <c r="Q655" s="1967"/>
      <c r="R655" s="1967"/>
      <c r="S655" s="1967"/>
      <c r="T655" s="1967"/>
      <c r="U655" s="1967"/>
      <c r="V655" s="1967"/>
      <c r="W655" s="1967"/>
      <c r="X655" s="1967"/>
      <c r="Y655" s="1967"/>
      <c r="Z655" s="1967"/>
      <c r="AA655" s="1967"/>
      <c r="AB655" s="1967"/>
      <c r="AC655" s="1967"/>
      <c r="AD655" s="571"/>
      <c r="AE655" s="1914"/>
      <c r="AF655" s="1914"/>
      <c r="AG655" s="1914"/>
      <c r="AH655" s="1914"/>
      <c r="AI655" s="1914"/>
      <c r="AJ655" s="1914"/>
      <c r="AK655" s="1914"/>
      <c r="AL655" s="629"/>
      <c r="AN655" s="632"/>
      <c r="AO655" s="585" t="s">
        <v>600</v>
      </c>
      <c r="AP655" s="708">
        <v>0</v>
      </c>
    </row>
    <row r="656" spans="1:42" s="585" customFormat="1" ht="12.75" customHeight="1">
      <c r="A656" s="714"/>
      <c r="B656" s="571"/>
      <c r="C656" s="571"/>
      <c r="D656" s="698"/>
      <c r="E656" s="1967"/>
      <c r="F656" s="1967"/>
      <c r="G656" s="1967"/>
      <c r="H656" s="1967"/>
      <c r="I656" s="1967"/>
      <c r="J656" s="1967"/>
      <c r="K656" s="1967"/>
      <c r="L656" s="1967"/>
      <c r="M656" s="1967"/>
      <c r="N656" s="1967"/>
      <c r="O656" s="1967"/>
      <c r="P656" s="1967"/>
      <c r="Q656" s="1967"/>
      <c r="R656" s="1967"/>
      <c r="S656" s="1967"/>
      <c r="T656" s="1967"/>
      <c r="U656" s="1967"/>
      <c r="V656" s="1967"/>
      <c r="W656" s="1967"/>
      <c r="X656" s="1967"/>
      <c r="Y656" s="1967"/>
      <c r="Z656" s="1967"/>
      <c r="AA656" s="1967"/>
      <c r="AB656" s="1967"/>
      <c r="AC656" s="1967"/>
      <c r="AD656" s="571"/>
      <c r="AE656" s="571"/>
      <c r="AF656" s="571"/>
      <c r="AG656" s="571"/>
      <c r="AH656" s="571"/>
      <c r="AI656" s="571"/>
      <c r="AJ656" s="571"/>
      <c r="AK656" s="571"/>
      <c r="AL656" s="571"/>
      <c r="AN656" s="632"/>
      <c r="AO656" s="646" t="s">
        <v>697</v>
      </c>
      <c r="AP656" s="585">
        <v>3</v>
      </c>
    </row>
    <row r="657" spans="1:42" s="585" customFormat="1" ht="12.75" customHeight="1">
      <c r="B657" s="571"/>
      <c r="C657" s="968"/>
      <c r="D657" s="698"/>
      <c r="E657" s="610"/>
      <c r="F657" s="610"/>
      <c r="G657" s="610"/>
      <c r="H657" s="610"/>
      <c r="I657" s="610"/>
      <c r="J657" s="610"/>
      <c r="K657" s="610"/>
      <c r="L657" s="610"/>
      <c r="M657" s="610"/>
      <c r="N657" s="610"/>
      <c r="O657" s="610"/>
      <c r="P657" s="610"/>
      <c r="Q657" s="610"/>
      <c r="R657" s="610"/>
      <c r="S657" s="610"/>
      <c r="T657" s="610"/>
      <c r="U657" s="610"/>
      <c r="V657" s="610"/>
      <c r="W657" s="610"/>
      <c r="X657" s="610"/>
      <c r="Y657" s="610"/>
      <c r="Z657" s="610"/>
      <c r="AA657" s="610"/>
      <c r="AB657" s="610"/>
      <c r="AC657" s="571"/>
      <c r="AD657" s="571"/>
      <c r="AE657" s="571"/>
      <c r="AF657" s="571"/>
      <c r="AG657" s="571"/>
      <c r="AH657" s="571"/>
      <c r="AI657" s="571"/>
      <c r="AJ657" s="571"/>
      <c r="AK657" s="571"/>
      <c r="AL657" s="571"/>
      <c r="AN657" s="632"/>
      <c r="AO657" s="646" t="s">
        <v>518</v>
      </c>
      <c r="AP657" s="585">
        <v>2</v>
      </c>
    </row>
    <row r="658" spans="1:42" s="585" customFormat="1" ht="12.75" customHeight="1">
      <c r="A658" s="705"/>
      <c r="B658" s="571"/>
      <c r="C658" s="984"/>
      <c r="D658" s="698" t="s">
        <v>1569</v>
      </c>
      <c r="E658" s="1967" t="s">
        <v>1593</v>
      </c>
      <c r="F658" s="1967"/>
      <c r="G658" s="1967"/>
      <c r="H658" s="1967"/>
      <c r="I658" s="1967"/>
      <c r="J658" s="1967"/>
      <c r="K658" s="1967"/>
      <c r="L658" s="1967"/>
      <c r="M658" s="1967"/>
      <c r="N658" s="1967"/>
      <c r="O658" s="1967"/>
      <c r="P658" s="1967"/>
      <c r="Q658" s="1967"/>
      <c r="R658" s="1967"/>
      <c r="S658" s="1967"/>
      <c r="T658" s="1967"/>
      <c r="U658" s="1967"/>
      <c r="V658" s="1967"/>
      <c r="W658" s="1967"/>
      <c r="X658" s="1967"/>
      <c r="Y658" s="1967"/>
      <c r="Z658" s="1967"/>
      <c r="AA658" s="1967"/>
      <c r="AB658" s="1967"/>
      <c r="AC658" s="1967"/>
      <c r="AD658" s="571"/>
      <c r="AE658" s="571"/>
      <c r="AF658" s="1914" t="s">
        <v>1571</v>
      </c>
      <c r="AG658" s="1914"/>
      <c r="AH658" s="1914"/>
      <c r="AI658" s="1914"/>
      <c r="AJ658" s="1914"/>
      <c r="AK658" s="1914"/>
      <c r="AL658" s="1914"/>
      <c r="AN658" s="632"/>
    </row>
    <row r="659" spans="1:42" s="585" customFormat="1" ht="12.75" customHeight="1">
      <c r="A659" s="705"/>
      <c r="B659" s="571"/>
      <c r="C659" s="984"/>
      <c r="D659" s="698"/>
      <c r="E659" s="1967"/>
      <c r="F659" s="1967"/>
      <c r="G659" s="1967"/>
      <c r="H659" s="1967"/>
      <c r="I659" s="1967"/>
      <c r="J659" s="1967"/>
      <c r="K659" s="1967"/>
      <c r="L659" s="1967"/>
      <c r="M659" s="1967"/>
      <c r="N659" s="1967"/>
      <c r="O659" s="1967"/>
      <c r="P659" s="1967"/>
      <c r="Q659" s="1967"/>
      <c r="R659" s="1967"/>
      <c r="S659" s="1967"/>
      <c r="T659" s="1967"/>
      <c r="U659" s="1967"/>
      <c r="V659" s="1967"/>
      <c r="W659" s="1967"/>
      <c r="X659" s="1967"/>
      <c r="Y659" s="1967"/>
      <c r="Z659" s="1967"/>
      <c r="AA659" s="1967"/>
      <c r="AB659" s="1967"/>
      <c r="AC659" s="1967"/>
      <c r="AD659" s="571"/>
      <c r="AE659" s="629"/>
      <c r="AF659" s="629"/>
      <c r="AG659" s="629"/>
      <c r="AH659" s="629"/>
      <c r="AI659" s="629"/>
      <c r="AJ659" s="629"/>
      <c r="AK659" s="629"/>
      <c r="AL659" s="629"/>
      <c r="AM659" s="631"/>
      <c r="AN659" s="632"/>
    </row>
    <row r="660" spans="1:42" s="585" customFormat="1" ht="12.75" customHeight="1">
      <c r="A660" s="705"/>
      <c r="B660" s="571"/>
      <c r="C660" s="984"/>
      <c r="D660" s="698"/>
      <c r="E660" s="1967"/>
      <c r="F660" s="1967"/>
      <c r="G660" s="1967"/>
      <c r="H660" s="1967"/>
      <c r="I660" s="1967"/>
      <c r="J660" s="1967"/>
      <c r="K660" s="1967"/>
      <c r="L660" s="1967"/>
      <c r="M660" s="1967"/>
      <c r="N660" s="1967"/>
      <c r="O660" s="1967"/>
      <c r="P660" s="1967"/>
      <c r="Q660" s="1967"/>
      <c r="R660" s="1967"/>
      <c r="S660" s="1967"/>
      <c r="T660" s="1967"/>
      <c r="U660" s="1967"/>
      <c r="V660" s="1967"/>
      <c r="W660" s="1967"/>
      <c r="X660" s="1967"/>
      <c r="Y660" s="1967"/>
      <c r="Z660" s="1967"/>
      <c r="AA660" s="1967"/>
      <c r="AB660" s="1967"/>
      <c r="AC660" s="1967"/>
      <c r="AD660" s="571"/>
      <c r="AE660" s="629"/>
      <c r="AF660" s="629"/>
      <c r="AG660" s="629"/>
      <c r="AH660" s="629"/>
      <c r="AI660" s="629"/>
      <c r="AJ660" s="629"/>
      <c r="AK660" s="629"/>
      <c r="AL660" s="629"/>
      <c r="AM660" s="631"/>
      <c r="AN660" s="632"/>
    </row>
    <row r="661" spans="1:42" s="585" customFormat="1" ht="12.75" customHeight="1">
      <c r="B661" s="571"/>
      <c r="C661" s="968"/>
      <c r="D661" s="698"/>
      <c r="E661" s="677"/>
      <c r="F661" s="677"/>
      <c r="G661" s="677"/>
      <c r="H661" s="677"/>
      <c r="I661" s="677"/>
      <c r="J661" s="677"/>
      <c r="K661" s="677"/>
      <c r="L661" s="677"/>
      <c r="M661" s="677"/>
      <c r="N661" s="677"/>
      <c r="O661" s="677"/>
      <c r="P661" s="677"/>
      <c r="Q661" s="677"/>
      <c r="R661" s="677"/>
      <c r="S661" s="677"/>
      <c r="T661" s="677"/>
      <c r="U661" s="677"/>
      <c r="V661" s="677"/>
      <c r="W661" s="677"/>
      <c r="X661" s="677"/>
      <c r="Y661" s="677"/>
      <c r="Z661" s="677"/>
      <c r="AA661" s="677"/>
      <c r="AB661" s="677"/>
      <c r="AC661" s="574"/>
      <c r="AD661" s="574"/>
      <c r="AE661" s="571"/>
      <c r="AF661" s="571"/>
      <c r="AG661" s="571"/>
      <c r="AH661" s="571"/>
      <c r="AI661" s="571"/>
      <c r="AJ661" s="571"/>
      <c r="AK661" s="571"/>
      <c r="AL661" s="629"/>
      <c r="AM661" s="631"/>
      <c r="AN661" s="632"/>
    </row>
    <row r="662" spans="1:42" s="585" customFormat="1" ht="12.75" customHeight="1">
      <c r="B662" s="571"/>
      <c r="C662" s="968"/>
      <c r="D662" s="698" t="s">
        <v>1570</v>
      </c>
      <c r="E662" s="1967" t="s">
        <v>1594</v>
      </c>
      <c r="F662" s="1967"/>
      <c r="G662" s="1967"/>
      <c r="H662" s="1967"/>
      <c r="I662" s="1967"/>
      <c r="J662" s="1967"/>
      <c r="K662" s="1967"/>
      <c r="L662" s="1967"/>
      <c r="M662" s="1967"/>
      <c r="N662" s="1967"/>
      <c r="O662" s="1967"/>
      <c r="P662" s="1967"/>
      <c r="Q662" s="1967"/>
      <c r="R662" s="1967"/>
      <c r="S662" s="1967"/>
      <c r="T662" s="1967"/>
      <c r="U662" s="1967"/>
      <c r="V662" s="1967"/>
      <c r="W662" s="1967"/>
      <c r="X662" s="1967"/>
      <c r="Y662" s="1967"/>
      <c r="Z662" s="1967"/>
      <c r="AA662" s="1967"/>
      <c r="AB662" s="1967"/>
      <c r="AC662" s="1967"/>
      <c r="AD662" s="571"/>
      <c r="AE662" s="571"/>
      <c r="AF662" s="1914" t="s">
        <v>1524</v>
      </c>
      <c r="AG662" s="1914"/>
      <c r="AH662" s="1914"/>
      <c r="AI662" s="1914"/>
      <c r="AJ662" s="1914"/>
      <c r="AK662" s="1914"/>
      <c r="AL662" s="1914"/>
      <c r="AM662" s="631"/>
      <c r="AN662" s="632"/>
    </row>
    <row r="663" spans="1:42" s="585" customFormat="1" ht="12.75" customHeight="1">
      <c r="B663" s="571"/>
      <c r="C663" s="968"/>
      <c r="D663" s="698"/>
      <c r="E663" s="1967"/>
      <c r="F663" s="1967"/>
      <c r="G663" s="1967"/>
      <c r="H663" s="1967"/>
      <c r="I663" s="1967"/>
      <c r="J663" s="1967"/>
      <c r="K663" s="1967"/>
      <c r="L663" s="1967"/>
      <c r="M663" s="1967"/>
      <c r="N663" s="1967"/>
      <c r="O663" s="1967"/>
      <c r="P663" s="1967"/>
      <c r="Q663" s="1967"/>
      <c r="R663" s="1967"/>
      <c r="S663" s="1967"/>
      <c r="T663" s="1967"/>
      <c r="U663" s="1967"/>
      <c r="V663" s="1967"/>
      <c r="W663" s="1967"/>
      <c r="X663" s="1967"/>
      <c r="Y663" s="1967"/>
      <c r="Z663" s="1967"/>
      <c r="AA663" s="1967"/>
      <c r="AB663" s="1967"/>
      <c r="AC663" s="1967"/>
      <c r="AD663" s="571"/>
      <c r="AE663" s="571"/>
      <c r="AF663" s="571"/>
      <c r="AG663" s="571"/>
      <c r="AH663" s="571"/>
      <c r="AI663" s="571"/>
      <c r="AJ663" s="571"/>
      <c r="AK663" s="571"/>
      <c r="AL663" s="571"/>
      <c r="AM663" s="631"/>
      <c r="AN663" s="632"/>
    </row>
    <row r="664" spans="1:42" s="585" customFormat="1" ht="12.75" customHeight="1">
      <c r="B664" s="571"/>
      <c r="C664" s="968"/>
      <c r="D664" s="698"/>
      <c r="E664" s="1967"/>
      <c r="F664" s="1967"/>
      <c r="G664" s="1967"/>
      <c r="H664" s="1967"/>
      <c r="I664" s="1967"/>
      <c r="J664" s="1967"/>
      <c r="K664" s="1967"/>
      <c r="L664" s="1967"/>
      <c r="M664" s="1967"/>
      <c r="N664" s="1967"/>
      <c r="O664" s="1967"/>
      <c r="P664" s="1967"/>
      <c r="Q664" s="1967"/>
      <c r="R664" s="1967"/>
      <c r="S664" s="1967"/>
      <c r="T664" s="1967"/>
      <c r="U664" s="1967"/>
      <c r="V664" s="1967"/>
      <c r="W664" s="1967"/>
      <c r="X664" s="1967"/>
      <c r="Y664" s="1967"/>
      <c r="Z664" s="1967"/>
      <c r="AA664" s="1967"/>
      <c r="AB664" s="1967"/>
      <c r="AC664" s="1967"/>
      <c r="AD664" s="571"/>
      <c r="AE664" s="571"/>
      <c r="AF664" s="571"/>
      <c r="AG664" s="571"/>
      <c r="AH664" s="571"/>
      <c r="AI664" s="571"/>
      <c r="AJ664" s="571"/>
      <c r="AK664" s="571"/>
      <c r="AL664" s="571"/>
      <c r="AM664" s="631"/>
      <c r="AN664" s="632"/>
    </row>
    <row r="665" spans="1:42" s="585" customFormat="1" ht="12.75" customHeight="1">
      <c r="B665" s="571"/>
      <c r="C665" s="968"/>
      <c r="D665" s="698"/>
      <c r="E665" s="571"/>
      <c r="F665" s="571"/>
      <c r="G665" s="571"/>
      <c r="H665" s="571"/>
      <c r="I665" s="571"/>
      <c r="J665" s="571"/>
      <c r="K665" s="571"/>
      <c r="L665" s="571"/>
      <c r="M665" s="571"/>
      <c r="N665" s="571"/>
      <c r="O665" s="571"/>
      <c r="P665" s="571"/>
      <c r="Q665" s="571"/>
      <c r="R665" s="571"/>
      <c r="S665" s="571"/>
      <c r="T665" s="571"/>
      <c r="U665" s="571"/>
      <c r="V665" s="571"/>
      <c r="W665" s="571"/>
      <c r="X665" s="571"/>
      <c r="Y665" s="571"/>
      <c r="Z665" s="571"/>
      <c r="AA665" s="571"/>
      <c r="AB665" s="571"/>
      <c r="AC665" s="571"/>
      <c r="AD665" s="571"/>
      <c r="AE665" s="571"/>
      <c r="AF665" s="571"/>
      <c r="AG665" s="571"/>
      <c r="AH665" s="571"/>
      <c r="AI665" s="571"/>
      <c r="AJ665" s="571"/>
      <c r="AK665" s="571"/>
      <c r="AL665" s="571"/>
      <c r="AM665" s="631"/>
      <c r="AN665" s="632"/>
    </row>
    <row r="666" spans="1:42" s="585" customFormat="1" ht="12.75" customHeight="1">
      <c r="A666" s="714"/>
      <c r="B666" s="571"/>
      <c r="C666" s="968"/>
      <c r="D666" s="698" t="s">
        <v>1581</v>
      </c>
      <c r="E666" s="1967" t="s">
        <v>1595</v>
      </c>
      <c r="F666" s="1967"/>
      <c r="G666" s="1967"/>
      <c r="H666" s="1967"/>
      <c r="I666" s="1967"/>
      <c r="J666" s="1967"/>
      <c r="K666" s="1967"/>
      <c r="L666" s="1967"/>
      <c r="M666" s="1967"/>
      <c r="N666" s="1967"/>
      <c r="O666" s="1967"/>
      <c r="P666" s="1967"/>
      <c r="Q666" s="1967"/>
      <c r="R666" s="1967"/>
      <c r="S666" s="1967"/>
      <c r="T666" s="1967"/>
      <c r="U666" s="1967"/>
      <c r="V666" s="1967"/>
      <c r="W666" s="1967"/>
      <c r="X666" s="1967"/>
      <c r="Y666" s="1967"/>
      <c r="Z666" s="1967"/>
      <c r="AA666" s="1967"/>
      <c r="AB666" s="1967"/>
      <c r="AC666" s="1967"/>
      <c r="AD666" s="571"/>
      <c r="AE666" s="571"/>
      <c r="AF666" s="1914" t="s">
        <v>1580</v>
      </c>
      <c r="AG666" s="1914"/>
      <c r="AH666" s="1914"/>
      <c r="AI666" s="1914"/>
      <c r="AJ666" s="1914"/>
      <c r="AK666" s="1914"/>
      <c r="AL666" s="1914"/>
      <c r="AM666" s="631"/>
      <c r="AN666" s="632"/>
    </row>
    <row r="667" spans="1:42" s="585" customFormat="1" ht="12.75" customHeight="1">
      <c r="A667" s="714"/>
      <c r="B667" s="571"/>
      <c r="C667" s="968"/>
      <c r="D667" s="698"/>
      <c r="E667" s="1967"/>
      <c r="F667" s="1967"/>
      <c r="G667" s="1967"/>
      <c r="H667" s="1967"/>
      <c r="I667" s="1967"/>
      <c r="J667" s="1967"/>
      <c r="K667" s="1967"/>
      <c r="L667" s="1967"/>
      <c r="M667" s="1967"/>
      <c r="N667" s="1967"/>
      <c r="O667" s="1967"/>
      <c r="P667" s="1967"/>
      <c r="Q667" s="1967"/>
      <c r="R667" s="1967"/>
      <c r="S667" s="1967"/>
      <c r="T667" s="1967"/>
      <c r="U667" s="1967"/>
      <c r="V667" s="1967"/>
      <c r="W667" s="1967"/>
      <c r="X667" s="1967"/>
      <c r="Y667" s="1967"/>
      <c r="Z667" s="1967"/>
      <c r="AA667" s="1967"/>
      <c r="AB667" s="1967"/>
      <c r="AC667" s="1967"/>
      <c r="AD667" s="571"/>
      <c r="AE667" s="571"/>
      <c r="AF667" s="629"/>
      <c r="AG667" s="629"/>
      <c r="AH667" s="629"/>
      <c r="AI667" s="629"/>
      <c r="AJ667" s="629"/>
      <c r="AK667" s="629"/>
      <c r="AL667" s="629"/>
      <c r="AM667" s="631"/>
      <c r="AN667" s="632"/>
    </row>
    <row r="668" spans="1:42" s="585" customFormat="1" ht="12.75" customHeight="1">
      <c r="A668" s="714"/>
      <c r="B668" s="571"/>
      <c r="C668" s="968"/>
      <c r="D668" s="698"/>
      <c r="E668" s="1967"/>
      <c r="F668" s="1967"/>
      <c r="G668" s="1967"/>
      <c r="H668" s="1967"/>
      <c r="I668" s="1967"/>
      <c r="J668" s="1967"/>
      <c r="K668" s="1967"/>
      <c r="L668" s="1967"/>
      <c r="M668" s="1967"/>
      <c r="N668" s="1967"/>
      <c r="O668" s="1967"/>
      <c r="P668" s="1967"/>
      <c r="Q668" s="1967"/>
      <c r="R668" s="1967"/>
      <c r="S668" s="1967"/>
      <c r="T668" s="1967"/>
      <c r="U668" s="1967"/>
      <c r="V668" s="1967"/>
      <c r="W668" s="1967"/>
      <c r="X668" s="1967"/>
      <c r="Y668" s="1967"/>
      <c r="Z668" s="1967"/>
      <c r="AA668" s="1967"/>
      <c r="AB668" s="1967"/>
      <c r="AC668" s="1967"/>
      <c r="AD668" s="571"/>
      <c r="AE668" s="629"/>
      <c r="AF668" s="629"/>
      <c r="AG668" s="629"/>
      <c r="AH668" s="629"/>
      <c r="AI668" s="629"/>
      <c r="AJ668" s="629"/>
      <c r="AK668" s="629"/>
      <c r="AL668" s="629"/>
      <c r="AM668" s="631"/>
      <c r="AN668" s="632"/>
    </row>
    <row r="669" spans="1:42" s="585" customFormat="1" ht="12.75" customHeight="1">
      <c r="A669" s="714"/>
      <c r="B669" s="571"/>
      <c r="C669" s="968"/>
      <c r="D669" s="698"/>
      <c r="E669" s="677"/>
      <c r="F669" s="677"/>
      <c r="G669" s="677"/>
      <c r="H669" s="677"/>
      <c r="I669" s="677"/>
      <c r="J669" s="677"/>
      <c r="K669" s="677"/>
      <c r="L669" s="677"/>
      <c r="M669" s="677"/>
      <c r="N669" s="677"/>
      <c r="O669" s="677"/>
      <c r="P669" s="677"/>
      <c r="Q669" s="677"/>
      <c r="R669" s="677"/>
      <c r="S669" s="677"/>
      <c r="T669" s="677"/>
      <c r="U669" s="677"/>
      <c r="V669" s="677"/>
      <c r="W669" s="677"/>
      <c r="X669" s="677"/>
      <c r="Y669" s="677"/>
      <c r="Z669" s="677"/>
      <c r="AA669" s="677"/>
      <c r="AB669" s="677"/>
      <c r="AC669" s="677"/>
      <c r="AD669" s="571"/>
      <c r="AE669" s="629"/>
      <c r="AF669" s="571"/>
      <c r="AG669" s="571"/>
      <c r="AH669" s="571"/>
      <c r="AI669" s="571"/>
      <c r="AJ669" s="571"/>
      <c r="AK669" s="571"/>
      <c r="AL669" s="571"/>
      <c r="AM669" s="631"/>
      <c r="AN669" s="632"/>
      <c r="AO669" s="585" t="s">
        <v>600</v>
      </c>
      <c r="AP669" s="672">
        <v>0</v>
      </c>
    </row>
    <row r="670" spans="1:42" s="585" customFormat="1" ht="12.75" customHeight="1">
      <c r="A670" s="714"/>
      <c r="B670" s="571"/>
      <c r="C670" s="968"/>
      <c r="D670" s="698" t="s">
        <v>1583</v>
      </c>
      <c r="E670" s="1967" t="s">
        <v>1596</v>
      </c>
      <c r="F670" s="1967"/>
      <c r="G670" s="1967"/>
      <c r="H670" s="1967"/>
      <c r="I670" s="1967"/>
      <c r="J670" s="1967"/>
      <c r="K670" s="1967"/>
      <c r="L670" s="1967"/>
      <c r="M670" s="1967"/>
      <c r="N670" s="1967"/>
      <c r="O670" s="1967"/>
      <c r="P670" s="1967"/>
      <c r="Q670" s="1967"/>
      <c r="R670" s="1967"/>
      <c r="S670" s="1967"/>
      <c r="T670" s="1967"/>
      <c r="U670" s="1967"/>
      <c r="V670" s="1967"/>
      <c r="W670" s="1967"/>
      <c r="X670" s="1967"/>
      <c r="Y670" s="1967"/>
      <c r="Z670" s="1967"/>
      <c r="AA670" s="1967"/>
      <c r="AB670" s="1967"/>
      <c r="AC670" s="1967"/>
      <c r="AD670" s="571"/>
      <c r="AE670" s="571"/>
      <c r="AF670" s="1914" t="s">
        <v>1597</v>
      </c>
      <c r="AG670" s="1914"/>
      <c r="AH670" s="1914"/>
      <c r="AI670" s="1914"/>
      <c r="AJ670" s="1914"/>
      <c r="AK670" s="1914"/>
      <c r="AL670" s="1914"/>
      <c r="AM670" s="631"/>
      <c r="AN670" s="632"/>
      <c r="AO670" s="646" t="s">
        <v>697</v>
      </c>
      <c r="AP670" s="585">
        <v>3</v>
      </c>
    </row>
    <row r="671" spans="1:42" s="585" customFormat="1" ht="12.75" customHeight="1">
      <c r="A671" s="714"/>
      <c r="B671" s="571"/>
      <c r="C671" s="968"/>
      <c r="D671" s="698"/>
      <c r="E671" s="1967"/>
      <c r="F671" s="1967"/>
      <c r="G671" s="1967"/>
      <c r="H671" s="1967"/>
      <c r="I671" s="1967"/>
      <c r="J671" s="1967"/>
      <c r="K671" s="1967"/>
      <c r="L671" s="1967"/>
      <c r="M671" s="1967"/>
      <c r="N671" s="1967"/>
      <c r="O671" s="1967"/>
      <c r="P671" s="1967"/>
      <c r="Q671" s="1967"/>
      <c r="R671" s="1967"/>
      <c r="S671" s="1967"/>
      <c r="T671" s="1967"/>
      <c r="U671" s="1967"/>
      <c r="V671" s="1967"/>
      <c r="W671" s="1967"/>
      <c r="X671" s="1967"/>
      <c r="Y671" s="1967"/>
      <c r="Z671" s="1967"/>
      <c r="AA671" s="1967"/>
      <c r="AB671" s="1967"/>
      <c r="AC671" s="1967"/>
      <c r="AD671" s="571"/>
      <c r="AE671" s="571"/>
      <c r="AF671" s="629"/>
      <c r="AG671" s="629"/>
      <c r="AH671" s="629"/>
      <c r="AI671" s="629"/>
      <c r="AJ671" s="629"/>
      <c r="AK671" s="629"/>
      <c r="AL671" s="629"/>
      <c r="AM671" s="631"/>
      <c r="AN671" s="632"/>
      <c r="AO671" s="646" t="s">
        <v>518</v>
      </c>
      <c r="AP671" s="585">
        <v>2</v>
      </c>
    </row>
    <row r="672" spans="1:42" s="585" customFormat="1" ht="12.75" customHeight="1">
      <c r="A672" s="714"/>
      <c r="B672" s="571"/>
      <c r="C672" s="968"/>
      <c r="D672" s="698"/>
      <c r="E672" s="1967"/>
      <c r="F672" s="1967"/>
      <c r="G672" s="1967"/>
      <c r="H672" s="1967"/>
      <c r="I672" s="1967"/>
      <c r="J672" s="1967"/>
      <c r="K672" s="1967"/>
      <c r="L672" s="1967"/>
      <c r="M672" s="1967"/>
      <c r="N672" s="1967"/>
      <c r="O672" s="1967"/>
      <c r="P672" s="1967"/>
      <c r="Q672" s="1967"/>
      <c r="R672" s="1967"/>
      <c r="S672" s="1967"/>
      <c r="T672" s="1967"/>
      <c r="U672" s="1967"/>
      <c r="V672" s="1967"/>
      <c r="W672" s="1967"/>
      <c r="X672" s="1967"/>
      <c r="Y672" s="1967"/>
      <c r="Z672" s="1967"/>
      <c r="AA672" s="1967"/>
      <c r="AB672" s="1967"/>
      <c r="AC672" s="1967"/>
      <c r="AD672" s="571"/>
      <c r="AE672" s="629"/>
      <c r="AF672" s="629"/>
      <c r="AG672" s="629"/>
      <c r="AH672" s="629"/>
      <c r="AI672" s="629"/>
      <c r="AJ672" s="629"/>
      <c r="AK672" s="629"/>
      <c r="AL672" s="629"/>
      <c r="AM672" s="631"/>
      <c r="AN672" s="632"/>
    </row>
    <row r="673" spans="1:42" s="585" customFormat="1" ht="12.75" customHeight="1">
      <c r="A673" s="705"/>
      <c r="B673" s="571"/>
      <c r="C673" s="984"/>
      <c r="D673" s="698"/>
      <c r="E673" s="678"/>
      <c r="F673" s="678"/>
      <c r="G673" s="678"/>
      <c r="H673" s="678"/>
      <c r="I673" s="678"/>
      <c r="J673" s="678"/>
      <c r="K673" s="678"/>
      <c r="L673" s="678"/>
      <c r="M673" s="678"/>
      <c r="N673" s="678"/>
      <c r="O673" s="678"/>
      <c r="P673" s="678"/>
      <c r="Q673" s="678"/>
      <c r="R673" s="678"/>
      <c r="S673" s="678"/>
      <c r="T673" s="678"/>
      <c r="U673" s="678"/>
      <c r="V673" s="678"/>
      <c r="W673" s="678"/>
      <c r="X673" s="678"/>
      <c r="Y673" s="678"/>
      <c r="Z673" s="678"/>
      <c r="AA673" s="678"/>
      <c r="AB673" s="678"/>
      <c r="AC673" s="678"/>
      <c r="AD673" s="571"/>
      <c r="AE673" s="629"/>
      <c r="AF673" s="629"/>
      <c r="AG673" s="629"/>
      <c r="AH673" s="629"/>
      <c r="AI673" s="629"/>
      <c r="AJ673" s="629"/>
      <c r="AK673" s="629"/>
      <c r="AL673" s="629"/>
      <c r="AM673" s="631"/>
      <c r="AN673" s="632"/>
    </row>
    <row r="674" spans="1:42" s="585" customFormat="1" ht="12.75" customHeight="1">
      <c r="A674" s="714"/>
      <c r="B674" s="571"/>
      <c r="C674" s="968"/>
      <c r="D674" s="571" t="s">
        <v>1572</v>
      </c>
      <c r="E674" s="973"/>
      <c r="F674" s="973"/>
      <c r="G674" s="973"/>
      <c r="H674" s="1996" t="s">
        <v>279</v>
      </c>
      <c r="I674" s="1996"/>
      <c r="J674" s="651"/>
      <c r="K674" s="651"/>
      <c r="L674" s="571"/>
      <c r="M674" s="571"/>
      <c r="N674" s="571"/>
      <c r="O674" s="571"/>
      <c r="P674" s="571"/>
      <c r="Q674" s="571"/>
      <c r="R674" s="571"/>
      <c r="S674" s="571"/>
      <c r="T674" s="571"/>
      <c r="U674" s="571"/>
      <c r="V674" s="571"/>
      <c r="W674" s="571"/>
      <c r="X674" s="571"/>
      <c r="Y674" s="571"/>
      <c r="Z674" s="571"/>
      <c r="AA674" s="571"/>
      <c r="AB674" s="571"/>
      <c r="AC674" s="571"/>
      <c r="AD674" s="571"/>
      <c r="AE674" s="571"/>
      <c r="AF674" s="571"/>
      <c r="AG674" s="571"/>
      <c r="AH674" s="571"/>
      <c r="AI674" s="571"/>
      <c r="AJ674" s="571"/>
      <c r="AK674" s="571"/>
      <c r="AL674" s="571"/>
      <c r="AN674" s="632"/>
    </row>
    <row r="675" spans="1:42" s="585" customFormat="1" ht="12.75" customHeight="1">
      <c r="A675" s="714"/>
      <c r="B675" s="571"/>
      <c r="C675" s="968"/>
      <c r="D675" s="571"/>
      <c r="E675" s="973"/>
      <c r="F675" s="973"/>
      <c r="G675" s="651"/>
      <c r="H675" s="651"/>
      <c r="I675" s="651"/>
      <c r="J675" s="651"/>
      <c r="K675" s="651"/>
      <c r="L675" s="651"/>
      <c r="M675" s="651"/>
      <c r="N675" s="651"/>
      <c r="O675" s="651"/>
      <c r="P675" s="651"/>
      <c r="Q675" s="651"/>
      <c r="R675" s="651"/>
      <c r="S675" s="651"/>
      <c r="T675" s="651"/>
      <c r="U675" s="651"/>
      <c r="V675" s="651"/>
      <c r="W675" s="651"/>
      <c r="X675" s="651"/>
      <c r="Y675" s="651"/>
      <c r="Z675" s="973"/>
      <c r="AA675" s="973"/>
      <c r="AB675" s="973"/>
      <c r="AC675" s="571"/>
      <c r="AD675" s="571"/>
      <c r="AE675" s="571"/>
      <c r="AF675" s="571"/>
      <c r="AG675" s="651"/>
      <c r="AH675" s="651"/>
      <c r="AI675" s="651"/>
      <c r="AJ675" s="651"/>
      <c r="AK675" s="651"/>
      <c r="AL675" s="651"/>
      <c r="AM675" s="586"/>
      <c r="AN675" s="632"/>
    </row>
    <row r="676" spans="1:42" s="585" customFormat="1" ht="12.75" customHeight="1">
      <c r="A676" s="718"/>
      <c r="B676" s="636"/>
      <c r="C676" s="981"/>
      <c r="D676" s="636"/>
      <c r="E676" s="976"/>
      <c r="F676" s="700"/>
      <c r="G676" s="700"/>
      <c r="H676" s="700"/>
      <c r="I676" s="700"/>
      <c r="J676" s="700"/>
      <c r="K676" s="700"/>
      <c r="L676" s="700"/>
      <c r="M676" s="700"/>
      <c r="N676" s="700"/>
      <c r="O676" s="700"/>
      <c r="P676" s="700"/>
      <c r="Q676" s="700"/>
      <c r="R676" s="700"/>
      <c r="S676" s="700"/>
      <c r="T676" s="700"/>
      <c r="U676" s="700"/>
      <c r="V676" s="700"/>
      <c r="W676" s="700"/>
      <c r="X676" s="700"/>
      <c r="Y676" s="976"/>
      <c r="Z676" s="976"/>
      <c r="AA676" s="976"/>
      <c r="AB676" s="636"/>
      <c r="AC676" s="636"/>
      <c r="AD676" s="636"/>
      <c r="AE676" s="636"/>
      <c r="AF676" s="636"/>
      <c r="AG676" s="636"/>
      <c r="AH676" s="636"/>
      <c r="AI676" s="600" t="s">
        <v>1598</v>
      </c>
      <c r="AJ676" s="1947">
        <f>VLOOKUP($H$674,$AO$622:$AP$629,2,FALSE)</f>
        <v>3</v>
      </c>
      <c r="AK676" s="1949"/>
      <c r="AL676" s="630"/>
      <c r="AN676" s="632"/>
    </row>
    <row r="677" spans="1:42" s="585" customFormat="1" ht="12.75" customHeight="1">
      <c r="A677" s="714"/>
      <c r="B677" s="571"/>
      <c r="C677" s="968"/>
      <c r="D677" s="571"/>
      <c r="E677" s="651"/>
      <c r="F677" s="651"/>
      <c r="G677" s="651"/>
      <c r="H677" s="651"/>
      <c r="I677" s="651"/>
      <c r="J677" s="651"/>
      <c r="K677" s="651"/>
      <c r="L677" s="651"/>
      <c r="M677" s="651"/>
      <c r="N677" s="651"/>
      <c r="O677" s="651"/>
      <c r="P677" s="651"/>
      <c r="Q677" s="651"/>
      <c r="R677" s="651"/>
      <c r="S677" s="651"/>
      <c r="T677" s="651"/>
      <c r="U677" s="651"/>
      <c r="V677" s="651"/>
      <c r="W677" s="651"/>
      <c r="X677" s="651"/>
      <c r="Y677" s="651"/>
      <c r="Z677" s="651"/>
      <c r="AA677" s="651"/>
      <c r="AB677" s="651"/>
      <c r="AC677" s="651"/>
      <c r="AD677" s="675"/>
      <c r="AE677" s="571"/>
      <c r="AF677" s="571"/>
      <c r="AG677" s="571"/>
      <c r="AH677" s="571"/>
      <c r="AI677" s="571"/>
      <c r="AJ677" s="571"/>
      <c r="AK677" s="571"/>
      <c r="AL677" s="571"/>
      <c r="AN677" s="632"/>
    </row>
    <row r="678" spans="1:42" s="585" customFormat="1" ht="12.75" customHeight="1">
      <c r="A678" s="714"/>
      <c r="B678" s="571"/>
      <c r="C678" s="574" t="s">
        <v>2563</v>
      </c>
      <c r="D678" s="747"/>
      <c r="E678" s="651"/>
      <c r="F678" s="651"/>
      <c r="G678" s="651"/>
      <c r="H678" s="651"/>
      <c r="I678" s="651"/>
      <c r="J678" s="651"/>
      <c r="K678" s="651"/>
      <c r="L678" s="651"/>
      <c r="M678" s="651"/>
      <c r="N678" s="651"/>
      <c r="O678" s="651"/>
      <c r="P678" s="651"/>
      <c r="Q678" s="651"/>
      <c r="R678" s="651"/>
      <c r="S678" s="651"/>
      <c r="T678" s="651"/>
      <c r="U678" s="651"/>
      <c r="V678" s="651"/>
      <c r="W678" s="651"/>
      <c r="X678" s="651"/>
      <c r="Y678" s="651"/>
      <c r="Z678" s="651"/>
      <c r="AA678" s="651"/>
      <c r="AB678" s="651"/>
      <c r="AC678" s="651"/>
      <c r="AD678" s="675"/>
      <c r="AE678" s="571"/>
      <c r="AF678" s="571"/>
      <c r="AG678" s="571"/>
      <c r="AH678" s="571"/>
      <c r="AI678" s="571"/>
      <c r="AJ678" s="571"/>
      <c r="AK678" s="571"/>
      <c r="AL678" s="571"/>
      <c r="AN678" s="632"/>
    </row>
    <row r="679" spans="1:42" s="585" customFormat="1" ht="12.75" customHeight="1">
      <c r="A679" s="714"/>
      <c r="B679" s="571"/>
      <c r="C679" s="985"/>
      <c r="D679" s="571"/>
      <c r="E679" s="571"/>
      <c r="F679" s="571"/>
      <c r="G679" s="571"/>
      <c r="H679" s="571"/>
      <c r="I679" s="571"/>
      <c r="J679" s="571"/>
      <c r="K679" s="571"/>
      <c r="L679" s="571"/>
      <c r="M679" s="571"/>
      <c r="N679" s="571"/>
      <c r="O679" s="571"/>
      <c r="P679" s="571"/>
      <c r="Q679" s="571"/>
      <c r="R679" s="571"/>
      <c r="S679" s="571"/>
      <c r="T679" s="571"/>
      <c r="U679" s="571"/>
      <c r="V679" s="571"/>
      <c r="W679" s="571"/>
      <c r="X679" s="571"/>
      <c r="Y679" s="571"/>
      <c r="Z679" s="571"/>
      <c r="AA679" s="571"/>
      <c r="AB679" s="571"/>
      <c r="AC679" s="571"/>
      <c r="AD679" s="571"/>
      <c r="AE679" s="571"/>
      <c r="AF679" s="571"/>
      <c r="AG679" s="571"/>
      <c r="AH679" s="571"/>
      <c r="AI679" s="571"/>
      <c r="AJ679" s="571"/>
      <c r="AK679" s="571"/>
      <c r="AL679" s="571"/>
      <c r="AN679" s="632"/>
    </row>
    <row r="680" spans="1:42" s="585" customFormat="1" ht="12.75" customHeight="1">
      <c r="B680" s="571"/>
      <c r="C680" s="968"/>
      <c r="D680" s="698" t="s">
        <v>697</v>
      </c>
      <c r="E680" s="1967" t="s">
        <v>2561</v>
      </c>
      <c r="F680" s="1967"/>
      <c r="G680" s="1967"/>
      <c r="H680" s="1967"/>
      <c r="I680" s="1967"/>
      <c r="J680" s="1967"/>
      <c r="K680" s="1967"/>
      <c r="L680" s="1967"/>
      <c r="M680" s="1967"/>
      <c r="N680" s="1967"/>
      <c r="O680" s="1967"/>
      <c r="P680" s="1967"/>
      <c r="Q680" s="1967"/>
      <c r="R680" s="1967"/>
      <c r="S680" s="1967"/>
      <c r="T680" s="1967"/>
      <c r="U680" s="1967"/>
      <c r="V680" s="1967"/>
      <c r="W680" s="1967"/>
      <c r="X680" s="1967"/>
      <c r="Y680" s="1967"/>
      <c r="Z680" s="1967"/>
      <c r="AA680" s="1967"/>
      <c r="AB680" s="1967"/>
      <c r="AC680" s="571"/>
      <c r="AD680" s="571"/>
      <c r="AE680" s="571"/>
      <c r="AF680" s="1914" t="s">
        <v>1524</v>
      </c>
      <c r="AG680" s="1914"/>
      <c r="AH680" s="1914"/>
      <c r="AI680" s="1914"/>
      <c r="AJ680" s="1914"/>
      <c r="AK680" s="1914"/>
      <c r="AL680" s="1914"/>
      <c r="AN680" s="632"/>
    </row>
    <row r="681" spans="1:42" s="585" customFormat="1" ht="12.75" customHeight="1">
      <c r="B681" s="571"/>
      <c r="C681" s="977"/>
      <c r="D681" s="698"/>
      <c r="E681" s="1967"/>
      <c r="F681" s="1967"/>
      <c r="G681" s="1967"/>
      <c r="H681" s="1967"/>
      <c r="I681" s="1967"/>
      <c r="J681" s="1967"/>
      <c r="K681" s="1967"/>
      <c r="L681" s="1967"/>
      <c r="M681" s="1967"/>
      <c r="N681" s="1967"/>
      <c r="O681" s="1967"/>
      <c r="P681" s="1967"/>
      <c r="Q681" s="1967"/>
      <c r="R681" s="1967"/>
      <c r="S681" s="1967"/>
      <c r="T681" s="1967"/>
      <c r="U681" s="1967"/>
      <c r="V681" s="1967"/>
      <c r="W681" s="1967"/>
      <c r="X681" s="1967"/>
      <c r="Y681" s="1967"/>
      <c r="Z681" s="1967"/>
      <c r="AA681" s="1967"/>
      <c r="AB681" s="1967"/>
      <c r="AC681" s="571"/>
      <c r="AD681" s="571"/>
      <c r="AE681" s="651"/>
      <c r="AF681" s="571"/>
      <c r="AG681" s="571"/>
      <c r="AH681" s="571"/>
      <c r="AI681" s="571"/>
      <c r="AJ681" s="571"/>
      <c r="AK681" s="571"/>
      <c r="AL681" s="571"/>
      <c r="AN681" s="632"/>
      <c r="AO681" s="1999"/>
      <c r="AP681" s="1999"/>
    </row>
    <row r="682" spans="1:42" s="585" customFormat="1" ht="12.75" customHeight="1">
      <c r="B682" s="571"/>
      <c r="C682" s="977"/>
      <c r="D682" s="698"/>
      <c r="E682" s="1967"/>
      <c r="F682" s="1967"/>
      <c r="G682" s="1967"/>
      <c r="H682" s="1967"/>
      <c r="I682" s="1967"/>
      <c r="J682" s="1967"/>
      <c r="K682" s="1967"/>
      <c r="L682" s="1967"/>
      <c r="M682" s="1967"/>
      <c r="N682" s="1967"/>
      <c r="O682" s="1967"/>
      <c r="P682" s="1967"/>
      <c r="Q682" s="1967"/>
      <c r="R682" s="1967"/>
      <c r="S682" s="1967"/>
      <c r="T682" s="1967"/>
      <c r="U682" s="1967"/>
      <c r="V682" s="1967"/>
      <c r="W682" s="1967"/>
      <c r="X682" s="1967"/>
      <c r="Y682" s="1967"/>
      <c r="Z682" s="1967"/>
      <c r="AA682" s="1967"/>
      <c r="AB682" s="1967"/>
      <c r="AC682" s="571"/>
      <c r="AD682" s="571"/>
      <c r="AE682" s="651"/>
      <c r="AF682" s="651"/>
      <c r="AG682" s="651"/>
      <c r="AH682" s="651"/>
      <c r="AI682" s="651"/>
      <c r="AJ682" s="651"/>
      <c r="AK682" s="651"/>
      <c r="AL682" s="651"/>
      <c r="AN682" s="632"/>
    </row>
    <row r="683" spans="1:42" s="585" customFormat="1" ht="28.5" customHeight="1">
      <c r="B683" s="571"/>
      <c r="C683" s="977"/>
      <c r="D683" s="698"/>
      <c r="E683" s="1967"/>
      <c r="F683" s="1967"/>
      <c r="G683" s="1967"/>
      <c r="H683" s="1967"/>
      <c r="I683" s="1967"/>
      <c r="J683" s="1967"/>
      <c r="K683" s="1967"/>
      <c r="L683" s="1967"/>
      <c r="M683" s="1967"/>
      <c r="N683" s="1967"/>
      <c r="O683" s="1967"/>
      <c r="P683" s="1967"/>
      <c r="Q683" s="1967"/>
      <c r="R683" s="1967"/>
      <c r="S683" s="1967"/>
      <c r="T683" s="1967"/>
      <c r="U683" s="1967"/>
      <c r="V683" s="1967"/>
      <c r="W683" s="1967"/>
      <c r="X683" s="1967"/>
      <c r="Y683" s="1967"/>
      <c r="Z683" s="1967"/>
      <c r="AA683" s="1967"/>
      <c r="AB683" s="1967"/>
      <c r="AC683" s="571"/>
      <c r="AD683" s="571"/>
      <c r="AE683" s="651"/>
      <c r="AF683" s="651"/>
      <c r="AG683" s="651"/>
      <c r="AH683" s="651"/>
      <c r="AI683" s="651"/>
      <c r="AJ683" s="651"/>
      <c r="AK683" s="651"/>
      <c r="AL683" s="651"/>
      <c r="AN683" s="632"/>
      <c r="AO683" s="585" t="s">
        <v>600</v>
      </c>
      <c r="AP683" s="708">
        <v>0</v>
      </c>
    </row>
    <row r="684" spans="1:42" s="585" customFormat="1" ht="12.75" customHeight="1">
      <c r="B684" s="571"/>
      <c r="C684" s="977"/>
      <c r="D684" s="698"/>
      <c r="E684" s="610"/>
      <c r="F684" s="610"/>
      <c r="G684" s="610"/>
      <c r="H684" s="610"/>
      <c r="I684" s="610"/>
      <c r="J684" s="610"/>
      <c r="K684" s="610"/>
      <c r="L684" s="610"/>
      <c r="M684" s="610"/>
      <c r="N684" s="610"/>
      <c r="O684" s="610"/>
      <c r="P684" s="610"/>
      <c r="Q684" s="610"/>
      <c r="R684" s="610"/>
      <c r="S684" s="610"/>
      <c r="T684" s="610"/>
      <c r="U684" s="610"/>
      <c r="V684" s="610"/>
      <c r="W684" s="610"/>
      <c r="X684" s="610"/>
      <c r="Y684" s="610"/>
      <c r="Z684" s="610"/>
      <c r="AA684" s="610"/>
      <c r="AB684" s="610"/>
      <c r="AC684" s="571"/>
      <c r="AD684" s="571"/>
      <c r="AE684" s="651"/>
      <c r="AF684" s="651"/>
      <c r="AG684" s="651"/>
      <c r="AH684" s="651"/>
      <c r="AI684" s="651"/>
      <c r="AJ684" s="651"/>
      <c r="AK684" s="651"/>
      <c r="AL684" s="651"/>
      <c r="AN684" s="632"/>
      <c r="AO684" s="646" t="s">
        <v>697</v>
      </c>
      <c r="AP684" s="585">
        <v>2</v>
      </c>
    </row>
    <row r="685" spans="1:42" s="585" customFormat="1" ht="12.75" customHeight="1">
      <c r="B685" s="571"/>
      <c r="C685" s="968"/>
      <c r="D685" s="698" t="s">
        <v>518</v>
      </c>
      <c r="E685" s="1967" t="s">
        <v>2562</v>
      </c>
      <c r="F685" s="1967"/>
      <c r="G685" s="1967"/>
      <c r="H685" s="1967"/>
      <c r="I685" s="1967"/>
      <c r="J685" s="1967"/>
      <c r="K685" s="1967"/>
      <c r="L685" s="1967"/>
      <c r="M685" s="1967"/>
      <c r="N685" s="1967"/>
      <c r="O685" s="1967"/>
      <c r="P685" s="1967"/>
      <c r="Q685" s="1967"/>
      <c r="R685" s="1967"/>
      <c r="S685" s="1967"/>
      <c r="T685" s="1967"/>
      <c r="U685" s="1967"/>
      <c r="V685" s="1967"/>
      <c r="W685" s="1967"/>
      <c r="X685" s="1967"/>
      <c r="Y685" s="1967"/>
      <c r="Z685" s="1967"/>
      <c r="AA685" s="1967"/>
      <c r="AB685" s="1967"/>
      <c r="AC685" s="571"/>
      <c r="AD685" s="571"/>
      <c r="AE685" s="571"/>
      <c r="AF685" s="1914" t="s">
        <v>1580</v>
      </c>
      <c r="AG685" s="1914"/>
      <c r="AH685" s="1914"/>
      <c r="AI685" s="1914"/>
      <c r="AJ685" s="1914"/>
      <c r="AK685" s="1914"/>
      <c r="AL685" s="1914"/>
      <c r="AN685" s="632"/>
      <c r="AO685" s="646" t="s">
        <v>518</v>
      </c>
      <c r="AP685" s="585">
        <v>1</v>
      </c>
    </row>
    <row r="686" spans="1:42" s="585" customFormat="1" ht="12" customHeight="1">
      <c r="B686" s="571"/>
      <c r="C686" s="968"/>
      <c r="D686" s="571"/>
      <c r="E686" s="1967"/>
      <c r="F686" s="1967"/>
      <c r="G686" s="1967"/>
      <c r="H686" s="1967"/>
      <c r="I686" s="1967"/>
      <c r="J686" s="1967"/>
      <c r="K686" s="1967"/>
      <c r="L686" s="1967"/>
      <c r="M686" s="1967"/>
      <c r="N686" s="1967"/>
      <c r="O686" s="1967"/>
      <c r="P686" s="1967"/>
      <c r="Q686" s="1967"/>
      <c r="R686" s="1967"/>
      <c r="S686" s="1967"/>
      <c r="T686" s="1967"/>
      <c r="U686" s="1967"/>
      <c r="V686" s="1967"/>
      <c r="W686" s="1967"/>
      <c r="X686" s="1967"/>
      <c r="Y686" s="1967"/>
      <c r="Z686" s="1967"/>
      <c r="AA686" s="1967"/>
      <c r="AB686" s="1967"/>
      <c r="AC686" s="571"/>
      <c r="AD686" s="571"/>
      <c r="AE686" s="651"/>
      <c r="AF686" s="571"/>
      <c r="AG686" s="571"/>
      <c r="AH686" s="571"/>
      <c r="AI686" s="571"/>
      <c r="AJ686" s="571"/>
      <c r="AK686" s="571"/>
      <c r="AL686" s="571"/>
      <c r="AN686" s="632"/>
    </row>
    <row r="687" spans="1:42" s="585" customFormat="1" ht="12" customHeight="1">
      <c r="B687" s="571"/>
      <c r="C687" s="968"/>
      <c r="D687" s="571"/>
      <c r="E687" s="1967"/>
      <c r="F687" s="1967"/>
      <c r="G687" s="1967"/>
      <c r="H687" s="1967"/>
      <c r="I687" s="1967"/>
      <c r="J687" s="1967"/>
      <c r="K687" s="1967"/>
      <c r="L687" s="1967"/>
      <c r="M687" s="1967"/>
      <c r="N687" s="1967"/>
      <c r="O687" s="1967"/>
      <c r="P687" s="1967"/>
      <c r="Q687" s="1967"/>
      <c r="R687" s="1967"/>
      <c r="S687" s="1967"/>
      <c r="T687" s="1967"/>
      <c r="U687" s="1967"/>
      <c r="V687" s="1967"/>
      <c r="W687" s="1967"/>
      <c r="X687" s="1967"/>
      <c r="Y687" s="1967"/>
      <c r="Z687" s="1967"/>
      <c r="AA687" s="1967"/>
      <c r="AB687" s="1967"/>
      <c r="AC687" s="571"/>
      <c r="AD687" s="571"/>
      <c r="AE687" s="651"/>
      <c r="AF687" s="571"/>
      <c r="AG687" s="571"/>
      <c r="AH687" s="571"/>
      <c r="AI687" s="571"/>
      <c r="AJ687" s="571"/>
      <c r="AK687" s="571"/>
      <c r="AL687" s="571"/>
      <c r="AN687" s="632"/>
    </row>
    <row r="688" spans="1:42" s="605" customFormat="1" ht="29.25" customHeight="1">
      <c r="A688" s="585"/>
      <c r="B688" s="571"/>
      <c r="C688" s="968"/>
      <c r="D688" s="571"/>
      <c r="E688" s="1967"/>
      <c r="F688" s="1967"/>
      <c r="G688" s="1967"/>
      <c r="H688" s="1967"/>
      <c r="I688" s="1967"/>
      <c r="J688" s="1967"/>
      <c r="K688" s="1967"/>
      <c r="L688" s="1967"/>
      <c r="M688" s="1967"/>
      <c r="N688" s="1967"/>
      <c r="O688" s="1967"/>
      <c r="P688" s="1967"/>
      <c r="Q688" s="1967"/>
      <c r="R688" s="1967"/>
      <c r="S688" s="1967"/>
      <c r="T688" s="1967"/>
      <c r="U688" s="1967"/>
      <c r="V688" s="1967"/>
      <c r="W688" s="1967"/>
      <c r="X688" s="1967"/>
      <c r="Y688" s="1967"/>
      <c r="Z688" s="1967"/>
      <c r="AA688" s="1967"/>
      <c r="AB688" s="1967"/>
      <c r="AC688" s="571"/>
      <c r="AD688" s="571"/>
      <c r="AE688" s="651"/>
      <c r="AF688" s="651"/>
      <c r="AG688" s="651"/>
      <c r="AH688" s="651"/>
      <c r="AI688" s="651"/>
      <c r="AJ688" s="571"/>
      <c r="AK688" s="571"/>
      <c r="AL688" s="571"/>
      <c r="AM688" s="585"/>
      <c r="AN688" s="719"/>
    </row>
    <row r="689" spans="1:42" s="605" customFormat="1" ht="12" customHeight="1">
      <c r="A689" s="585"/>
      <c r="B689" s="571"/>
      <c r="C689" s="968"/>
      <c r="D689" s="571"/>
      <c r="E689" s="678"/>
      <c r="F689" s="678"/>
      <c r="G689" s="678"/>
      <c r="H689" s="678"/>
      <c r="I689" s="678"/>
      <c r="J689" s="678"/>
      <c r="K689" s="678"/>
      <c r="L689" s="678"/>
      <c r="M689" s="678"/>
      <c r="N689" s="678"/>
      <c r="O689" s="678"/>
      <c r="P689" s="678"/>
      <c r="Q689" s="678"/>
      <c r="R689" s="678"/>
      <c r="S689" s="678"/>
      <c r="T689" s="678"/>
      <c r="U689" s="678"/>
      <c r="V689" s="678"/>
      <c r="W689" s="678"/>
      <c r="X689" s="678"/>
      <c r="Y689" s="678"/>
      <c r="Z689" s="678"/>
      <c r="AA689" s="678"/>
      <c r="AB689" s="678"/>
      <c r="AC689" s="571"/>
      <c r="AD689" s="571"/>
      <c r="AE689" s="651"/>
      <c r="AF689" s="651"/>
      <c r="AG689" s="651"/>
      <c r="AH689" s="651"/>
      <c r="AI689" s="651"/>
      <c r="AJ689" s="571"/>
      <c r="AK689" s="571"/>
      <c r="AL689" s="571"/>
      <c r="AM689" s="585"/>
      <c r="AN689" s="719"/>
    </row>
    <row r="690" spans="1:42" s="605" customFormat="1" ht="12.75" customHeight="1">
      <c r="A690" s="585"/>
      <c r="B690" s="571"/>
      <c r="C690" s="968"/>
      <c r="D690" s="571"/>
      <c r="E690" s="1967" t="s">
        <v>1953</v>
      </c>
      <c r="F690" s="1967"/>
      <c r="G690" s="1967"/>
      <c r="H690" s="1967"/>
      <c r="I690" s="1967"/>
      <c r="J690" s="1967"/>
      <c r="K690" s="1967"/>
      <c r="L690" s="1967"/>
      <c r="M690" s="1967"/>
      <c r="N690" s="1967"/>
      <c r="O690" s="1967"/>
      <c r="P690" s="1967"/>
      <c r="Q690" s="1967"/>
      <c r="R690" s="1967"/>
      <c r="S690" s="1967"/>
      <c r="T690" s="1967"/>
      <c r="U690" s="1967"/>
      <c r="V690" s="1967"/>
      <c r="W690" s="1967"/>
      <c r="X690" s="1967"/>
      <c r="Y690" s="1967"/>
      <c r="Z690" s="1967"/>
      <c r="AA690" s="1967"/>
      <c r="AB690" s="1967"/>
      <c r="AC690" s="571"/>
      <c r="AD690" s="571"/>
      <c r="AE690" s="651"/>
      <c r="AF690" s="651"/>
      <c r="AG690" s="651"/>
      <c r="AH690" s="651"/>
      <c r="AI690" s="651"/>
      <c r="AJ690" s="571"/>
      <c r="AK690" s="571"/>
      <c r="AL690" s="571"/>
      <c r="AM690" s="585"/>
      <c r="AN690" s="719"/>
    </row>
    <row r="691" spans="1:42" s="605" customFormat="1" ht="12.75" customHeight="1">
      <c r="A691" s="585"/>
      <c r="B691" s="571"/>
      <c r="C691" s="968"/>
      <c r="D691" s="571"/>
      <c r="E691" s="1967"/>
      <c r="F691" s="1967"/>
      <c r="G691" s="1967"/>
      <c r="H691" s="1967"/>
      <c r="I691" s="1967"/>
      <c r="J691" s="1967"/>
      <c r="K691" s="1967"/>
      <c r="L691" s="1967"/>
      <c r="M691" s="1967"/>
      <c r="N691" s="1967"/>
      <c r="O691" s="1967"/>
      <c r="P691" s="1967"/>
      <c r="Q691" s="1967"/>
      <c r="R691" s="1967"/>
      <c r="S691" s="1967"/>
      <c r="T691" s="1967"/>
      <c r="U691" s="1967"/>
      <c r="V691" s="1967"/>
      <c r="W691" s="1967"/>
      <c r="X691" s="1967"/>
      <c r="Y691" s="1967"/>
      <c r="Z691" s="1967"/>
      <c r="AA691" s="1967"/>
      <c r="AB691" s="1967"/>
      <c r="AC691" s="571"/>
      <c r="AD691" s="571"/>
      <c r="AE691" s="651"/>
      <c r="AF691" s="651"/>
      <c r="AG691" s="651"/>
      <c r="AH691" s="651"/>
      <c r="AI691" s="651"/>
      <c r="AJ691" s="571"/>
      <c r="AK691" s="571"/>
      <c r="AL691" s="571"/>
      <c r="AM691" s="585"/>
      <c r="AN691" s="719"/>
    </row>
    <row r="692" spans="1:42" s="605" customFormat="1" ht="12.75" customHeight="1">
      <c r="A692" s="585"/>
      <c r="B692" s="571"/>
      <c r="C692" s="968"/>
      <c r="D692" s="571"/>
      <c r="E692" s="1967"/>
      <c r="F692" s="1967"/>
      <c r="G692" s="1967"/>
      <c r="H692" s="1967"/>
      <c r="I692" s="1967"/>
      <c r="J692" s="1967"/>
      <c r="K692" s="1967"/>
      <c r="L692" s="1967"/>
      <c r="M692" s="1967"/>
      <c r="N692" s="1967"/>
      <c r="O692" s="1967"/>
      <c r="P692" s="1967"/>
      <c r="Q692" s="1967"/>
      <c r="R692" s="1967"/>
      <c r="S692" s="1967"/>
      <c r="T692" s="1967"/>
      <c r="U692" s="1967"/>
      <c r="V692" s="1967"/>
      <c r="W692" s="1967"/>
      <c r="X692" s="1967"/>
      <c r="Y692" s="1967"/>
      <c r="Z692" s="1967"/>
      <c r="AA692" s="1967"/>
      <c r="AB692" s="1967"/>
      <c r="AC692" s="571"/>
      <c r="AD692" s="571"/>
      <c r="AE692" s="651"/>
      <c r="AF692" s="651"/>
      <c r="AG692" s="651"/>
      <c r="AH692" s="651"/>
      <c r="AI692" s="651"/>
      <c r="AJ692" s="571"/>
      <c r="AK692" s="571"/>
      <c r="AL692" s="571"/>
      <c r="AM692" s="585"/>
      <c r="AN692" s="719"/>
    </row>
    <row r="693" spans="1:42" s="605" customFormat="1" ht="12.75" customHeight="1">
      <c r="A693" s="585"/>
      <c r="B693" s="571"/>
      <c r="C693" s="968"/>
      <c r="D693" s="571"/>
      <c r="E693" s="678"/>
      <c r="F693" s="678"/>
      <c r="G693" s="678"/>
      <c r="H693" s="678"/>
      <c r="I693" s="678"/>
      <c r="J693" s="678"/>
      <c r="K693" s="678"/>
      <c r="L693" s="678"/>
      <c r="M693" s="678"/>
      <c r="N693" s="678"/>
      <c r="O693" s="678"/>
      <c r="P693" s="678"/>
      <c r="Q693" s="678"/>
      <c r="R693" s="678"/>
      <c r="S693" s="678"/>
      <c r="T693" s="678"/>
      <c r="U693" s="678"/>
      <c r="V693" s="678"/>
      <c r="W693" s="678"/>
      <c r="X693" s="678"/>
      <c r="Y693" s="678"/>
      <c r="Z693" s="678"/>
      <c r="AA693" s="678"/>
      <c r="AB693" s="678"/>
      <c r="AC693" s="571"/>
      <c r="AD693" s="571"/>
      <c r="AE693" s="651"/>
      <c r="AF693" s="651"/>
      <c r="AG693" s="651"/>
      <c r="AH693" s="651"/>
      <c r="AI693" s="651"/>
      <c r="AJ693" s="571"/>
      <c r="AK693" s="571"/>
      <c r="AL693" s="571"/>
      <c r="AM693" s="585"/>
      <c r="AN693" s="719"/>
    </row>
    <row r="694" spans="1:42" s="605" customFormat="1" ht="12.75" customHeight="1">
      <c r="A694" s="585"/>
      <c r="B694" s="571"/>
      <c r="C694" s="968"/>
      <c r="D694" s="571" t="s">
        <v>1572</v>
      </c>
      <c r="E694" s="973"/>
      <c r="F694" s="973"/>
      <c r="G694" s="973"/>
      <c r="H694" s="1996" t="s">
        <v>518</v>
      </c>
      <c r="I694" s="1996"/>
      <c r="J694" s="678"/>
      <c r="K694" s="678"/>
      <c r="L694" s="678"/>
      <c r="M694" s="678"/>
      <c r="N694" s="678"/>
      <c r="O694" s="678"/>
      <c r="P694" s="678"/>
      <c r="Q694" s="678"/>
      <c r="R694" s="678"/>
      <c r="S694" s="678"/>
      <c r="T694" s="678"/>
      <c r="U694" s="678"/>
      <c r="V694" s="678"/>
      <c r="W694" s="678"/>
      <c r="X694" s="678"/>
      <c r="Y694" s="678"/>
      <c r="Z694" s="678"/>
      <c r="AA694" s="678"/>
      <c r="AB694" s="678"/>
      <c r="AC694" s="571"/>
      <c r="AD694" s="571"/>
      <c r="AE694" s="651"/>
      <c r="AF694" s="651"/>
      <c r="AG694" s="651"/>
      <c r="AH694" s="651"/>
      <c r="AI694" s="651"/>
      <c r="AJ694" s="571"/>
      <c r="AK694" s="571"/>
      <c r="AL694" s="571"/>
      <c r="AM694" s="585"/>
      <c r="AN694" s="719"/>
      <c r="AP694" s="605" t="s">
        <v>1599</v>
      </c>
    </row>
    <row r="695" spans="1:42" s="605" customFormat="1">
      <c r="A695" s="585"/>
      <c r="B695" s="571"/>
      <c r="C695" s="968"/>
      <c r="D695" s="571"/>
      <c r="E695" s="678"/>
      <c r="F695" s="678"/>
      <c r="G695" s="678"/>
      <c r="H695" s="678"/>
      <c r="I695" s="678"/>
      <c r="J695" s="678"/>
      <c r="K695" s="678"/>
      <c r="L695" s="678"/>
      <c r="M695" s="678"/>
      <c r="N695" s="678"/>
      <c r="O695" s="678"/>
      <c r="P695" s="678"/>
      <c r="Q695" s="678"/>
      <c r="R695" s="678"/>
      <c r="S695" s="678"/>
      <c r="T695" s="678"/>
      <c r="U695" s="678"/>
      <c r="V695" s="678"/>
      <c r="W695" s="678"/>
      <c r="X695" s="678"/>
      <c r="Y695" s="678"/>
      <c r="Z695" s="678"/>
      <c r="AA695" s="678"/>
      <c r="AB695" s="678"/>
      <c r="AC695" s="571"/>
      <c r="AD695" s="571"/>
      <c r="AE695" s="651"/>
      <c r="AF695" s="651"/>
      <c r="AG695" s="651"/>
      <c r="AH695" s="651"/>
      <c r="AI695" s="651"/>
      <c r="AJ695" s="571"/>
      <c r="AK695" s="571"/>
      <c r="AL695" s="571"/>
      <c r="AM695" s="585"/>
      <c r="AN695" s="719"/>
      <c r="AP695" s="605" t="s">
        <v>1577</v>
      </c>
    </row>
    <row r="696" spans="1:42" s="605" customFormat="1" ht="12.75" customHeight="1">
      <c r="A696" s="641"/>
      <c r="B696" s="636"/>
      <c r="C696" s="981"/>
      <c r="D696" s="636"/>
      <c r="E696" s="636"/>
      <c r="F696" s="636"/>
      <c r="G696" s="636"/>
      <c r="H696" s="636"/>
      <c r="I696" s="636"/>
      <c r="J696" s="986"/>
      <c r="K696" s="986"/>
      <c r="L696" s="700"/>
      <c r="M696" s="700"/>
      <c r="N696" s="700"/>
      <c r="O696" s="700"/>
      <c r="P696" s="700"/>
      <c r="Q696" s="700"/>
      <c r="R696" s="700"/>
      <c r="S696" s="700"/>
      <c r="T696" s="700"/>
      <c r="U696" s="700"/>
      <c r="V696" s="700"/>
      <c r="W696" s="700"/>
      <c r="X696" s="700"/>
      <c r="Y696" s="976"/>
      <c r="Z696" s="976"/>
      <c r="AA696" s="976"/>
      <c r="AB696" s="636"/>
      <c r="AC696" s="636"/>
      <c r="AD696" s="636"/>
      <c r="AE696" s="636"/>
      <c r="AF696" s="636"/>
      <c r="AG696" s="636"/>
      <c r="AH696" s="636"/>
      <c r="AI696" s="600" t="s">
        <v>2564</v>
      </c>
      <c r="AJ696" s="1947">
        <f>VLOOKUP($H$694,$AO$641:$AP$643,2,FALSE)</f>
        <v>2</v>
      </c>
      <c r="AK696" s="1949"/>
      <c r="AL696" s="630"/>
      <c r="AM696" s="585"/>
      <c r="AN696" s="719"/>
      <c r="AP696" s="605" t="s">
        <v>1584</v>
      </c>
    </row>
    <row r="697" spans="1:42" s="605" customFormat="1">
      <c r="A697" s="585"/>
      <c r="B697" s="571"/>
      <c r="C697" s="571"/>
      <c r="D697" s="571"/>
      <c r="E697" s="571"/>
      <c r="F697" s="571"/>
      <c r="G697" s="571"/>
      <c r="H697" s="571"/>
      <c r="I697" s="571"/>
      <c r="J697" s="571"/>
      <c r="K697" s="571"/>
      <c r="L697" s="571"/>
      <c r="M697" s="571"/>
      <c r="N697" s="571"/>
      <c r="O697" s="571"/>
      <c r="P697" s="571"/>
      <c r="Q697" s="571"/>
      <c r="R697" s="571"/>
      <c r="S697" s="571"/>
      <c r="T697" s="571"/>
      <c r="U697" s="571"/>
      <c r="V697" s="571"/>
      <c r="W697" s="571"/>
      <c r="X697" s="571"/>
      <c r="Y697" s="571"/>
      <c r="Z697" s="571"/>
      <c r="AA697" s="571"/>
      <c r="AB697" s="571"/>
      <c r="AC697" s="571"/>
      <c r="AD697" s="571"/>
      <c r="AE697" s="651"/>
      <c r="AF697" s="651"/>
      <c r="AG697" s="651"/>
      <c r="AH697" s="651"/>
      <c r="AI697" s="651"/>
      <c r="AJ697" s="571"/>
      <c r="AK697" s="571"/>
      <c r="AL697" s="571"/>
      <c r="AM697" s="585"/>
      <c r="AN697" s="719"/>
      <c r="AP697" s="605" t="s">
        <v>1600</v>
      </c>
    </row>
    <row r="698" spans="1:42" s="605" customFormat="1" ht="12.75" customHeight="1">
      <c r="A698" s="585"/>
      <c r="B698" s="571"/>
      <c r="C698" s="574" t="s">
        <v>1601</v>
      </c>
      <c r="D698" s="747"/>
      <c r="E698" s="571"/>
      <c r="F698" s="571"/>
      <c r="G698" s="571"/>
      <c r="H698" s="571"/>
      <c r="I698" s="571"/>
      <c r="J698" s="571"/>
      <c r="K698" s="571"/>
      <c r="L698" s="571"/>
      <c r="M698" s="571"/>
      <c r="N698" s="571"/>
      <c r="O698" s="571"/>
      <c r="P698" s="571"/>
      <c r="Q698" s="571"/>
      <c r="R698" s="571"/>
      <c r="S698" s="571"/>
      <c r="T698" s="571"/>
      <c r="U698" s="571"/>
      <c r="V698" s="571"/>
      <c r="W698" s="571"/>
      <c r="X698" s="571"/>
      <c r="Y698" s="571"/>
      <c r="Z698" s="571"/>
      <c r="AA698" s="571"/>
      <c r="AB698" s="571"/>
      <c r="AC698" s="571"/>
      <c r="AD698" s="571"/>
      <c r="AE698" s="651"/>
      <c r="AF698" s="651"/>
      <c r="AG698" s="651"/>
      <c r="AH698" s="651"/>
      <c r="AI698" s="651"/>
      <c r="AJ698" s="571"/>
      <c r="AK698" s="571"/>
      <c r="AL698" s="571"/>
      <c r="AM698" s="585"/>
      <c r="AN698" s="719"/>
      <c r="AP698" s="605" t="s">
        <v>1602</v>
      </c>
    </row>
    <row r="699" spans="1:42" s="605" customFormat="1" ht="12.75" customHeight="1">
      <c r="A699" s="585"/>
      <c r="B699" s="571"/>
      <c r="C699" s="968"/>
      <c r="D699" s="571"/>
      <c r="E699" s="571"/>
      <c r="F699" s="571"/>
      <c r="G699" s="571"/>
      <c r="H699" s="571"/>
      <c r="I699" s="571"/>
      <c r="J699" s="571"/>
      <c r="K699" s="571"/>
      <c r="L699" s="571"/>
      <c r="M699" s="571"/>
      <c r="N699" s="571"/>
      <c r="O699" s="571"/>
      <c r="P699" s="571"/>
      <c r="Q699" s="571"/>
      <c r="R699" s="571"/>
      <c r="S699" s="571"/>
      <c r="T699" s="571"/>
      <c r="U699" s="571"/>
      <c r="V699" s="571"/>
      <c r="W699" s="571"/>
      <c r="X699" s="571"/>
      <c r="Y699" s="571"/>
      <c r="Z699" s="571"/>
      <c r="AA699" s="571"/>
      <c r="AB699" s="571"/>
      <c r="AC699" s="571"/>
      <c r="AD699" s="571"/>
      <c r="AE699" s="651"/>
      <c r="AF699" s="651"/>
      <c r="AG699" s="651"/>
      <c r="AH699" s="651"/>
      <c r="AI699" s="651"/>
      <c r="AJ699" s="571"/>
      <c r="AK699" s="571"/>
      <c r="AL699" s="571"/>
      <c r="AM699" s="585"/>
      <c r="AN699" s="719"/>
      <c r="AP699" s="605" t="s">
        <v>1603</v>
      </c>
    </row>
    <row r="700" spans="1:42" s="605" customFormat="1" ht="12.75" customHeight="1">
      <c r="A700" s="672"/>
      <c r="B700" s="571"/>
      <c r="C700" s="968"/>
      <c r="D700" s="698" t="s">
        <v>697</v>
      </c>
      <c r="E700" s="2000" t="s">
        <v>1955</v>
      </c>
      <c r="F700" s="2000"/>
      <c r="G700" s="2000"/>
      <c r="H700" s="2000"/>
      <c r="I700" s="2000"/>
      <c r="J700" s="2000"/>
      <c r="K700" s="2000"/>
      <c r="L700" s="2000"/>
      <c r="M700" s="2000"/>
      <c r="N700" s="2000"/>
      <c r="O700" s="2000"/>
      <c r="P700" s="2000"/>
      <c r="Q700" s="2000"/>
      <c r="R700" s="2000"/>
      <c r="S700" s="2000"/>
      <c r="T700" s="2000"/>
      <c r="U700" s="2000"/>
      <c r="V700" s="2000"/>
      <c r="W700" s="2000"/>
      <c r="X700" s="2000"/>
      <c r="Y700" s="2000"/>
      <c r="Z700" s="2000"/>
      <c r="AA700" s="2000"/>
      <c r="AB700" s="2000"/>
      <c r="AC700" s="571"/>
      <c r="AD700" s="571"/>
      <c r="AE700" s="571"/>
      <c r="AF700" s="1914" t="s">
        <v>1524</v>
      </c>
      <c r="AG700" s="1914"/>
      <c r="AH700" s="1914"/>
      <c r="AI700" s="1914"/>
      <c r="AJ700" s="1914"/>
      <c r="AK700" s="1914"/>
      <c r="AL700" s="1914"/>
      <c r="AM700" s="585"/>
      <c r="AN700" s="719"/>
      <c r="AP700" s="605" t="s">
        <v>1604</v>
      </c>
    </row>
    <row r="701" spans="1:42" s="605" customFormat="1" ht="11.85" customHeight="1">
      <c r="A701" s="585"/>
      <c r="B701" s="571"/>
      <c r="C701" s="970"/>
      <c r="D701" s="698"/>
      <c r="E701" s="2000"/>
      <c r="F701" s="2000"/>
      <c r="G701" s="2000"/>
      <c r="H701" s="2000"/>
      <c r="I701" s="2000"/>
      <c r="J701" s="2000"/>
      <c r="K701" s="2000"/>
      <c r="L701" s="2000"/>
      <c r="M701" s="2000"/>
      <c r="N701" s="2000"/>
      <c r="O701" s="2000"/>
      <c r="P701" s="2000"/>
      <c r="Q701" s="2000"/>
      <c r="R701" s="2000"/>
      <c r="S701" s="2000"/>
      <c r="T701" s="2000"/>
      <c r="U701" s="2000"/>
      <c r="V701" s="2000"/>
      <c r="W701" s="2000"/>
      <c r="X701" s="2000"/>
      <c r="Y701" s="2000"/>
      <c r="Z701" s="2000"/>
      <c r="AA701" s="2000"/>
      <c r="AB701" s="2000"/>
      <c r="AC701" s="571"/>
      <c r="AD701" s="571"/>
      <c r="AE701" s="571"/>
      <c r="AF701" s="571"/>
      <c r="AG701" s="571"/>
      <c r="AH701" s="571"/>
      <c r="AI701" s="571"/>
      <c r="AJ701" s="571"/>
      <c r="AK701" s="571"/>
      <c r="AL701" s="571"/>
      <c r="AM701" s="585"/>
      <c r="AN701" s="719"/>
      <c r="AP701" s="605" t="s">
        <v>1605</v>
      </c>
    </row>
    <row r="702" spans="1:42" s="605" customFormat="1" ht="13.9" customHeight="1">
      <c r="A702" s="585"/>
      <c r="B702" s="645"/>
      <c r="C702" s="968"/>
      <c r="D702" s="698"/>
      <c r="E702" s="2000"/>
      <c r="F702" s="2000"/>
      <c r="G702" s="2000"/>
      <c r="H702" s="2000"/>
      <c r="I702" s="2000"/>
      <c r="J702" s="2000"/>
      <c r="K702" s="2000"/>
      <c r="L702" s="2000"/>
      <c r="M702" s="2000"/>
      <c r="N702" s="2000"/>
      <c r="O702" s="2000"/>
      <c r="P702" s="2000"/>
      <c r="Q702" s="2000"/>
      <c r="R702" s="2000"/>
      <c r="S702" s="2000"/>
      <c r="T702" s="2000"/>
      <c r="U702" s="2000"/>
      <c r="V702" s="2000"/>
      <c r="W702" s="2000"/>
      <c r="X702" s="2000"/>
      <c r="Y702" s="2000"/>
      <c r="Z702" s="2000"/>
      <c r="AA702" s="2000"/>
      <c r="AB702" s="2000"/>
      <c r="AC702" s="571"/>
      <c r="AD702" s="571"/>
      <c r="AE702" s="651"/>
      <c r="AF702" s="571"/>
      <c r="AG702" s="571"/>
      <c r="AH702" s="571"/>
      <c r="AI702" s="571"/>
      <c r="AJ702" s="571"/>
      <c r="AK702" s="571"/>
      <c r="AL702" s="571"/>
      <c r="AM702" s="585"/>
      <c r="AN702" s="719"/>
      <c r="AP702" s="605" t="s">
        <v>1606</v>
      </c>
    </row>
    <row r="703" spans="1:42" s="605" customFormat="1" ht="13.9" customHeight="1">
      <c r="A703" s="585"/>
      <c r="B703" s="645"/>
      <c r="C703" s="968"/>
      <c r="D703" s="698"/>
      <c r="E703" s="973"/>
      <c r="F703" s="973"/>
      <c r="G703" s="973"/>
      <c r="H703" s="973"/>
      <c r="I703" s="973"/>
      <c r="J703" s="973"/>
      <c r="K703" s="973"/>
      <c r="L703" s="973"/>
      <c r="M703" s="973"/>
      <c r="N703" s="973"/>
      <c r="O703" s="973"/>
      <c r="P703" s="973"/>
      <c r="Q703" s="973"/>
      <c r="R703" s="973"/>
      <c r="S703" s="973"/>
      <c r="T703" s="973"/>
      <c r="U703" s="973"/>
      <c r="V703" s="973"/>
      <c r="W703" s="973"/>
      <c r="X703" s="973"/>
      <c r="Y703" s="973"/>
      <c r="Z703" s="973"/>
      <c r="AA703" s="973"/>
      <c r="AB703" s="973"/>
      <c r="AC703" s="571"/>
      <c r="AD703" s="571"/>
      <c r="AE703" s="651"/>
      <c r="AF703" s="571"/>
      <c r="AG703" s="571"/>
      <c r="AH703" s="571"/>
      <c r="AI703" s="571"/>
      <c r="AJ703" s="571"/>
      <c r="AK703" s="571"/>
      <c r="AL703" s="571"/>
      <c r="AM703" s="585"/>
      <c r="AN703" s="719"/>
      <c r="AP703" s="721" t="s">
        <v>1608</v>
      </c>
    </row>
    <row r="704" spans="1:42" s="605" customFormat="1" ht="13.9" customHeight="1">
      <c r="A704" s="585"/>
      <c r="B704" s="571"/>
      <c r="C704" s="968"/>
      <c r="D704" s="698" t="s">
        <v>518</v>
      </c>
      <c r="E704" s="2001" t="s">
        <v>1607</v>
      </c>
      <c r="F704" s="2001"/>
      <c r="G704" s="2001"/>
      <c r="H704" s="2001"/>
      <c r="I704" s="2001"/>
      <c r="J704" s="2001"/>
      <c r="K704" s="2001"/>
      <c r="L704" s="2001"/>
      <c r="M704" s="2001"/>
      <c r="N704" s="2001"/>
      <c r="O704" s="2001"/>
      <c r="P704" s="2001"/>
      <c r="Q704" s="2001"/>
      <c r="R704" s="2001"/>
      <c r="S704" s="2001"/>
      <c r="T704" s="2001"/>
      <c r="U704" s="2001"/>
      <c r="V704" s="2001"/>
      <c r="W704" s="2001"/>
      <c r="X704" s="2001"/>
      <c r="Y704" s="2001"/>
      <c r="Z704" s="2001"/>
      <c r="AA704" s="2001"/>
      <c r="AB704" s="2001"/>
      <c r="AC704" s="571"/>
      <c r="AD704" s="571"/>
      <c r="AE704" s="571"/>
      <c r="AF704" s="1914" t="s">
        <v>1580</v>
      </c>
      <c r="AG704" s="1914"/>
      <c r="AH704" s="1914"/>
      <c r="AI704" s="1914"/>
      <c r="AJ704" s="1914"/>
      <c r="AK704" s="1914"/>
      <c r="AL704" s="1914"/>
      <c r="AM704" s="585"/>
      <c r="AN704" s="720"/>
    </row>
    <row r="705" spans="1:52" s="605" customFormat="1" ht="12.75" customHeight="1">
      <c r="A705" s="585"/>
      <c r="B705" s="571"/>
      <c r="C705" s="970"/>
      <c r="D705" s="571"/>
      <c r="E705" s="2001"/>
      <c r="F705" s="2001"/>
      <c r="G705" s="2001"/>
      <c r="H705" s="2001"/>
      <c r="I705" s="2001"/>
      <c r="J705" s="2001"/>
      <c r="K705" s="2001"/>
      <c r="L705" s="2001"/>
      <c r="M705" s="2001"/>
      <c r="N705" s="2001"/>
      <c r="O705" s="2001"/>
      <c r="P705" s="2001"/>
      <c r="Q705" s="2001"/>
      <c r="R705" s="2001"/>
      <c r="S705" s="2001"/>
      <c r="T705" s="2001"/>
      <c r="U705" s="2001"/>
      <c r="V705" s="2001"/>
      <c r="W705" s="2001"/>
      <c r="X705" s="2001"/>
      <c r="Y705" s="2001"/>
      <c r="Z705" s="2001"/>
      <c r="AA705" s="2001"/>
      <c r="AB705" s="2001"/>
      <c r="AC705" s="571"/>
      <c r="AD705" s="571"/>
      <c r="AE705" s="571"/>
      <c r="AF705" s="571"/>
      <c r="AG705" s="571"/>
      <c r="AH705" s="571"/>
      <c r="AI705" s="571"/>
      <c r="AJ705" s="571"/>
      <c r="AK705" s="571"/>
      <c r="AL705" s="571"/>
      <c r="AM705" s="585"/>
      <c r="AN705" s="719"/>
      <c r="AP705" s="585" t="s">
        <v>600</v>
      </c>
      <c r="AQ705" s="708">
        <v>0</v>
      </c>
    </row>
    <row r="706" spans="1:52" s="605" customFormat="1" ht="13.9" customHeight="1">
      <c r="A706" s="585"/>
      <c r="B706" s="571"/>
      <c r="C706" s="970"/>
      <c r="D706" s="571"/>
      <c r="E706" s="2001"/>
      <c r="F706" s="2001"/>
      <c r="G706" s="2001"/>
      <c r="H706" s="2001"/>
      <c r="I706" s="2001"/>
      <c r="J706" s="2001"/>
      <c r="K706" s="2001"/>
      <c r="L706" s="2001"/>
      <c r="M706" s="2001"/>
      <c r="N706" s="2001"/>
      <c r="O706" s="2001"/>
      <c r="P706" s="2001"/>
      <c r="Q706" s="2001"/>
      <c r="R706" s="2001"/>
      <c r="S706" s="2001"/>
      <c r="T706" s="2001"/>
      <c r="U706" s="2001"/>
      <c r="V706" s="2001"/>
      <c r="W706" s="2001"/>
      <c r="X706" s="2001"/>
      <c r="Y706" s="2001"/>
      <c r="Z706" s="2001"/>
      <c r="AA706" s="2001"/>
      <c r="AB706" s="2001"/>
      <c r="AC706" s="571"/>
      <c r="AD706" s="571"/>
      <c r="AE706" s="571"/>
      <c r="AF706" s="571"/>
      <c r="AG706" s="571"/>
      <c r="AH706" s="571"/>
      <c r="AI706" s="571"/>
      <c r="AJ706" s="571"/>
      <c r="AK706" s="571"/>
      <c r="AL706" s="571"/>
      <c r="AM706" s="585"/>
      <c r="AN706" s="719"/>
      <c r="AP706" s="646" t="s">
        <v>697</v>
      </c>
      <c r="AQ706" s="585">
        <v>2</v>
      </c>
    </row>
    <row r="707" spans="1:52" s="605" customFormat="1" ht="13.9" customHeight="1">
      <c r="A707" s="585"/>
      <c r="B707" s="571"/>
      <c r="C707" s="970"/>
      <c r="D707" s="571"/>
      <c r="E707" s="987"/>
      <c r="F707" s="987"/>
      <c r="G707" s="987"/>
      <c r="H707" s="987"/>
      <c r="I707" s="987"/>
      <c r="J707" s="987"/>
      <c r="K707" s="987"/>
      <c r="L707" s="987"/>
      <c r="M707" s="987"/>
      <c r="N707" s="987"/>
      <c r="O707" s="987"/>
      <c r="P707" s="987"/>
      <c r="Q707" s="987"/>
      <c r="R707" s="987"/>
      <c r="S707" s="987"/>
      <c r="T707" s="987"/>
      <c r="U707" s="987"/>
      <c r="V707" s="987"/>
      <c r="W707" s="987"/>
      <c r="X707" s="987"/>
      <c r="Y707" s="987"/>
      <c r="Z707" s="987"/>
      <c r="AA707" s="987"/>
      <c r="AB707" s="987"/>
      <c r="AC707" s="571"/>
      <c r="AD707" s="571"/>
      <c r="AE707" s="571"/>
      <c r="AF707" s="571"/>
      <c r="AG707" s="571"/>
      <c r="AH707" s="571"/>
      <c r="AI707" s="571"/>
      <c r="AJ707" s="571"/>
      <c r="AK707" s="571"/>
      <c r="AL707" s="571"/>
      <c r="AM707" s="585"/>
      <c r="AN707" s="719"/>
      <c r="AP707" s="646" t="s">
        <v>518</v>
      </c>
      <c r="AQ707" s="585">
        <v>3</v>
      </c>
    </row>
    <row r="708" spans="1:52" s="605" customFormat="1" ht="13.9" customHeight="1">
      <c r="A708" s="585"/>
      <c r="B708" s="571"/>
      <c r="C708" s="970"/>
      <c r="D708" s="571" t="s">
        <v>1572</v>
      </c>
      <c r="E708" s="973"/>
      <c r="F708" s="973"/>
      <c r="G708" s="973"/>
      <c r="H708" s="1996" t="s">
        <v>600</v>
      </c>
      <c r="I708" s="1996"/>
      <c r="J708" s="987"/>
      <c r="K708" s="987"/>
      <c r="L708" s="987"/>
      <c r="M708" s="987"/>
      <c r="N708" s="987"/>
      <c r="O708" s="987"/>
      <c r="P708" s="987"/>
      <c r="Q708" s="987"/>
      <c r="R708" s="987"/>
      <c r="S708" s="987"/>
      <c r="T708" s="987"/>
      <c r="U708" s="987"/>
      <c r="V708" s="987"/>
      <c r="W708" s="987"/>
      <c r="X708" s="987"/>
      <c r="Y708" s="987"/>
      <c r="Z708" s="987"/>
      <c r="AA708" s="987"/>
      <c r="AB708" s="987"/>
      <c r="AC708" s="571"/>
      <c r="AD708" s="571"/>
      <c r="AE708" s="571"/>
      <c r="AF708" s="571"/>
      <c r="AG708" s="571"/>
      <c r="AH708" s="571"/>
      <c r="AI708" s="571"/>
      <c r="AJ708" s="571"/>
      <c r="AK708" s="571"/>
      <c r="AL708" s="571"/>
      <c r="AM708" s="585"/>
      <c r="AN708" s="719"/>
    </row>
    <row r="709" spans="1:52" s="605" customFormat="1" ht="14.25" customHeight="1">
      <c r="A709" s="585"/>
      <c r="B709" s="571"/>
      <c r="C709" s="970"/>
      <c r="D709" s="571"/>
      <c r="E709" s="987"/>
      <c r="F709" s="987"/>
      <c r="G709" s="987"/>
      <c r="H709" s="987"/>
      <c r="I709" s="987"/>
      <c r="J709" s="987"/>
      <c r="K709" s="987"/>
      <c r="L709" s="987"/>
      <c r="M709" s="987"/>
      <c r="N709" s="987"/>
      <c r="O709" s="987"/>
      <c r="P709" s="987"/>
      <c r="Q709" s="987"/>
      <c r="R709" s="987"/>
      <c r="S709" s="987"/>
      <c r="T709" s="987"/>
      <c r="U709" s="987"/>
      <c r="V709" s="987"/>
      <c r="W709" s="987"/>
      <c r="X709" s="987"/>
      <c r="Y709" s="987"/>
      <c r="Z709" s="987"/>
      <c r="AA709" s="987"/>
      <c r="AB709" s="987"/>
      <c r="AC709" s="571"/>
      <c r="AD709" s="571"/>
      <c r="AE709" s="571"/>
      <c r="AF709" s="571"/>
      <c r="AG709" s="571"/>
      <c r="AH709" s="571"/>
      <c r="AI709" s="571"/>
      <c r="AJ709" s="571"/>
      <c r="AK709" s="571"/>
      <c r="AL709" s="571"/>
      <c r="AM709" s="585"/>
      <c r="AN709" s="719"/>
    </row>
    <row r="710" spans="1:52" s="605" customFormat="1" ht="12.75" customHeight="1">
      <c r="A710" s="641"/>
      <c r="B710" s="636"/>
      <c r="C710" s="975"/>
      <c r="D710" s="636"/>
      <c r="E710" s="636"/>
      <c r="F710" s="636"/>
      <c r="G710" s="636"/>
      <c r="H710" s="636"/>
      <c r="I710" s="636"/>
      <c r="J710" s="988"/>
      <c r="K710" s="988"/>
      <c r="L710" s="988"/>
      <c r="M710" s="988"/>
      <c r="N710" s="988"/>
      <c r="O710" s="988"/>
      <c r="P710" s="988"/>
      <c r="Q710" s="988"/>
      <c r="R710" s="988"/>
      <c r="S710" s="988"/>
      <c r="T710" s="988"/>
      <c r="U710" s="700"/>
      <c r="V710" s="700"/>
      <c r="W710" s="700"/>
      <c r="X710" s="700"/>
      <c r="Y710" s="976"/>
      <c r="Z710" s="976"/>
      <c r="AA710" s="976"/>
      <c r="AB710" s="636"/>
      <c r="AC710" s="636"/>
      <c r="AD710" s="636"/>
      <c r="AE710" s="636"/>
      <c r="AF710" s="636"/>
      <c r="AG710" s="636"/>
      <c r="AH710" s="636"/>
      <c r="AI710" s="600" t="s">
        <v>1609</v>
      </c>
      <c r="AJ710" s="1947">
        <f>VLOOKUP($H$708,$AO$641:$AP$643,2,FALSE)</f>
        <v>0</v>
      </c>
      <c r="AK710" s="1949"/>
      <c r="AL710" s="630"/>
      <c r="AM710" s="585"/>
      <c r="AN710" s="719"/>
      <c r="AP710" s="1947"/>
      <c r="AQ710" s="1949"/>
    </row>
    <row r="711" spans="1:52" s="605" customFormat="1">
      <c r="A711" s="585"/>
      <c r="B711" s="645"/>
      <c r="C711" s="968"/>
      <c r="D711" s="972"/>
      <c r="E711" s="651"/>
      <c r="F711" s="651"/>
      <c r="G711" s="651"/>
      <c r="H711" s="651"/>
      <c r="I711" s="651"/>
      <c r="J711" s="651"/>
      <c r="K711" s="651"/>
      <c r="L711" s="651"/>
      <c r="M711" s="651"/>
      <c r="N711" s="651"/>
      <c r="O711" s="651"/>
      <c r="P711" s="651"/>
      <c r="Q711" s="651"/>
      <c r="R711" s="651"/>
      <c r="S711" s="651"/>
      <c r="T711" s="651"/>
      <c r="U711" s="651"/>
      <c r="V711" s="651"/>
      <c r="W711" s="651"/>
      <c r="X711" s="651"/>
      <c r="Y711" s="651"/>
      <c r="Z711" s="651"/>
      <c r="AA711" s="651"/>
      <c r="AB711" s="651"/>
      <c r="AC711" s="571"/>
      <c r="AD711" s="571"/>
      <c r="AE711" s="571"/>
      <c r="AF711" s="571"/>
      <c r="AG711" s="571"/>
      <c r="AH711" s="571"/>
      <c r="AI711" s="571"/>
      <c r="AJ711" s="571"/>
      <c r="AK711" s="571"/>
      <c r="AL711" s="571"/>
      <c r="AM711" s="585"/>
      <c r="AN711" s="719"/>
      <c r="AT711" s="14"/>
      <c r="AU711" s="14"/>
      <c r="AV711" s="14"/>
      <c r="AW711" s="14"/>
      <c r="AX711" s="14"/>
      <c r="AY711" s="14"/>
      <c r="AZ711" s="14"/>
    </row>
    <row r="712" spans="1:52" s="605" customFormat="1">
      <c r="A712" s="585"/>
      <c r="B712" s="571"/>
      <c r="C712" s="574" t="s">
        <v>1610</v>
      </c>
      <c r="D712" s="989"/>
      <c r="E712" s="651"/>
      <c r="F712" s="651"/>
      <c r="G712" s="651"/>
      <c r="H712" s="651"/>
      <c r="I712" s="651"/>
      <c r="J712" s="651"/>
      <c r="K712" s="651"/>
      <c r="L712" s="651"/>
      <c r="M712" s="651"/>
      <c r="N712" s="651"/>
      <c r="O712" s="651"/>
      <c r="P712" s="651"/>
      <c r="Q712" s="651"/>
      <c r="R712" s="651"/>
      <c r="S712" s="651"/>
      <c r="T712" s="651"/>
      <c r="U712" s="651"/>
      <c r="V712" s="651"/>
      <c r="W712" s="651"/>
      <c r="X712" s="651"/>
      <c r="Y712" s="651"/>
      <c r="Z712" s="651"/>
      <c r="AA712" s="651"/>
      <c r="AB712" s="651"/>
      <c r="AC712" s="571"/>
      <c r="AD712" s="571"/>
      <c r="AE712" s="571"/>
      <c r="AF712" s="571"/>
      <c r="AG712" s="571"/>
      <c r="AH712" s="571"/>
      <c r="AI712" s="571"/>
      <c r="AJ712" s="571"/>
      <c r="AK712" s="571"/>
      <c r="AL712" s="571"/>
      <c r="AM712" s="585"/>
      <c r="AN712" s="719"/>
      <c r="AT712" s="14"/>
      <c r="AU712" s="14"/>
      <c r="AV712" s="14"/>
      <c r="AW712" s="14"/>
      <c r="AX712" s="14"/>
      <c r="AY712" s="14"/>
      <c r="AZ712" s="14"/>
    </row>
    <row r="713" spans="1:52" s="605" customFormat="1">
      <c r="A713" s="585"/>
      <c r="B713" s="645"/>
      <c r="C713" s="968"/>
      <c r="D713" s="972"/>
      <c r="E713" s="651"/>
      <c r="F713" s="651"/>
      <c r="G713" s="651"/>
      <c r="H713" s="651"/>
      <c r="I713" s="651"/>
      <c r="J713" s="651"/>
      <c r="K713" s="651"/>
      <c r="L713" s="651"/>
      <c r="M713" s="651"/>
      <c r="N713" s="651"/>
      <c r="O713" s="651"/>
      <c r="P713" s="651"/>
      <c r="Q713" s="651"/>
      <c r="R713" s="651"/>
      <c r="S713" s="651"/>
      <c r="T713" s="651"/>
      <c r="U713" s="651"/>
      <c r="V713" s="651"/>
      <c r="W713" s="651"/>
      <c r="X713" s="651"/>
      <c r="Y713" s="651"/>
      <c r="Z713" s="651"/>
      <c r="AA713" s="651"/>
      <c r="AB713" s="651"/>
      <c r="AC713" s="571"/>
      <c r="AD713" s="571"/>
      <c r="AE713" s="571"/>
      <c r="AF713" s="571"/>
      <c r="AG713" s="571"/>
      <c r="AH713" s="571"/>
      <c r="AI713" s="571"/>
      <c r="AJ713" s="571"/>
      <c r="AK713" s="571"/>
      <c r="AL713" s="571"/>
      <c r="AM713" s="585"/>
      <c r="AN713" s="719"/>
      <c r="AT713" s="14"/>
      <c r="AU713" s="14"/>
      <c r="AV713" s="14"/>
      <c r="AW713" s="14"/>
      <c r="AX713" s="14"/>
      <c r="AY713" s="14"/>
      <c r="AZ713" s="14"/>
    </row>
    <row r="714" spans="1:52" s="605" customFormat="1">
      <c r="A714" s="585"/>
      <c r="B714" s="571"/>
      <c r="C714" s="968"/>
      <c r="D714" s="698" t="s">
        <v>697</v>
      </c>
      <c r="E714" s="1967" t="s">
        <v>1956</v>
      </c>
      <c r="F714" s="1967"/>
      <c r="G714" s="1967"/>
      <c r="H714" s="1967"/>
      <c r="I714" s="1967"/>
      <c r="J714" s="1967"/>
      <c r="K714" s="1967"/>
      <c r="L714" s="1967"/>
      <c r="M714" s="1967"/>
      <c r="N714" s="1967"/>
      <c r="O714" s="1967"/>
      <c r="P714" s="1967"/>
      <c r="Q714" s="1967"/>
      <c r="R714" s="1967"/>
      <c r="S714" s="1967"/>
      <c r="T714" s="1967"/>
      <c r="U714" s="1967"/>
      <c r="V714" s="1967"/>
      <c r="W714" s="1967"/>
      <c r="X714" s="1967"/>
      <c r="Y714" s="1967"/>
      <c r="Z714" s="1967"/>
      <c r="AA714" s="1967"/>
      <c r="AB714" s="1967"/>
      <c r="AC714" s="571"/>
      <c r="AD714" s="571"/>
      <c r="AE714" s="571"/>
      <c r="AF714" s="1914" t="s">
        <v>1524</v>
      </c>
      <c r="AG714" s="1914"/>
      <c r="AH714" s="1914"/>
      <c r="AI714" s="1914"/>
      <c r="AJ714" s="1914"/>
      <c r="AK714" s="1914"/>
      <c r="AL714" s="1914"/>
      <c r="AM714" s="585"/>
      <c r="AN714" s="719"/>
      <c r="AT714" s="14"/>
      <c r="AU714" s="14"/>
      <c r="AV714" s="14"/>
      <c r="AW714" s="14"/>
      <c r="AX714" s="14"/>
      <c r="AY714" s="14"/>
      <c r="AZ714" s="14"/>
    </row>
    <row r="715" spans="1:52" s="605" customFormat="1">
      <c r="A715" s="585"/>
      <c r="B715" s="571"/>
      <c r="C715" s="970"/>
      <c r="D715" s="698"/>
      <c r="E715" s="1967"/>
      <c r="F715" s="1967"/>
      <c r="G715" s="1967"/>
      <c r="H715" s="1967"/>
      <c r="I715" s="1967"/>
      <c r="J715" s="1967"/>
      <c r="K715" s="1967"/>
      <c r="L715" s="1967"/>
      <c r="M715" s="1967"/>
      <c r="N715" s="1967"/>
      <c r="O715" s="1967"/>
      <c r="P715" s="1967"/>
      <c r="Q715" s="1967"/>
      <c r="R715" s="1967"/>
      <c r="S715" s="1967"/>
      <c r="T715" s="1967"/>
      <c r="U715" s="1967"/>
      <c r="V715" s="1967"/>
      <c r="W715" s="1967"/>
      <c r="X715" s="1967"/>
      <c r="Y715" s="1967"/>
      <c r="Z715" s="1967"/>
      <c r="AA715" s="1967"/>
      <c r="AB715" s="1967"/>
      <c r="AC715" s="571"/>
      <c r="AD715" s="571"/>
      <c r="AE715" s="571"/>
      <c r="AF715" s="571"/>
      <c r="AG715" s="571"/>
      <c r="AH715" s="571"/>
      <c r="AI715" s="571"/>
      <c r="AJ715" s="571"/>
      <c r="AK715" s="571"/>
      <c r="AL715" s="571"/>
      <c r="AM715" s="585"/>
      <c r="AN715" s="719"/>
      <c r="AT715" s="14"/>
      <c r="AU715" s="14"/>
      <c r="AV715" s="14"/>
      <c r="AW715" s="14"/>
      <c r="AX715" s="14"/>
      <c r="AY715" s="14"/>
      <c r="AZ715" s="14"/>
    </row>
    <row r="716" spans="1:52" s="605" customFormat="1">
      <c r="A716" s="585"/>
      <c r="B716" s="645"/>
      <c r="C716" s="968"/>
      <c r="D716" s="698"/>
      <c r="E716" s="651"/>
      <c r="F716" s="651"/>
      <c r="G716" s="651"/>
      <c r="H716" s="651"/>
      <c r="I716" s="651"/>
      <c r="J716" s="651"/>
      <c r="K716" s="651"/>
      <c r="L716" s="651"/>
      <c r="M716" s="651"/>
      <c r="N716" s="651"/>
      <c r="O716" s="651"/>
      <c r="P716" s="651"/>
      <c r="Q716" s="651"/>
      <c r="R716" s="651"/>
      <c r="S716" s="651"/>
      <c r="T716" s="651"/>
      <c r="U716" s="651"/>
      <c r="V716" s="651"/>
      <c r="W716" s="651"/>
      <c r="X716" s="651"/>
      <c r="Y716" s="651"/>
      <c r="Z716" s="651"/>
      <c r="AA716" s="651"/>
      <c r="AB716" s="651"/>
      <c r="AC716" s="571"/>
      <c r="AD716" s="571"/>
      <c r="AE716" s="571"/>
      <c r="AF716" s="571"/>
      <c r="AG716" s="571"/>
      <c r="AH716" s="571"/>
      <c r="AI716" s="571"/>
      <c r="AJ716" s="571"/>
      <c r="AK716" s="571"/>
      <c r="AL716" s="571"/>
      <c r="AM716" s="585"/>
      <c r="AN716" s="719"/>
      <c r="AT716" s="14"/>
      <c r="AU716" s="14"/>
      <c r="AV716" s="14"/>
      <c r="AW716" s="14"/>
      <c r="AX716" s="14"/>
      <c r="AY716" s="14"/>
      <c r="AZ716" s="14"/>
    </row>
    <row r="717" spans="1:52" s="605" customFormat="1" ht="12.75" customHeight="1">
      <c r="A717" s="585"/>
      <c r="B717" s="571"/>
      <c r="C717" s="968"/>
      <c r="D717" s="698" t="s">
        <v>518</v>
      </c>
      <c r="E717" s="1967" t="s">
        <v>1611</v>
      </c>
      <c r="F717" s="1967"/>
      <c r="G717" s="1967"/>
      <c r="H717" s="1967"/>
      <c r="I717" s="1967"/>
      <c r="J717" s="1967"/>
      <c r="K717" s="1967"/>
      <c r="L717" s="1967"/>
      <c r="M717" s="1967"/>
      <c r="N717" s="1967"/>
      <c r="O717" s="1967"/>
      <c r="P717" s="1967"/>
      <c r="Q717" s="1967"/>
      <c r="R717" s="1967"/>
      <c r="S717" s="1967"/>
      <c r="T717" s="1967"/>
      <c r="U717" s="1967"/>
      <c r="V717" s="1967"/>
      <c r="W717" s="1967"/>
      <c r="X717" s="1967"/>
      <c r="Y717" s="1967"/>
      <c r="Z717" s="1967"/>
      <c r="AA717" s="1967"/>
      <c r="AB717" s="1967"/>
      <c r="AC717" s="571"/>
      <c r="AD717" s="571"/>
      <c r="AE717" s="571"/>
      <c r="AF717" s="1914" t="s">
        <v>1580</v>
      </c>
      <c r="AG717" s="1914"/>
      <c r="AH717" s="1914"/>
      <c r="AI717" s="1914"/>
      <c r="AJ717" s="1914"/>
      <c r="AK717" s="1914"/>
      <c r="AL717" s="1914"/>
      <c r="AM717" s="585"/>
      <c r="AN717" s="719"/>
      <c r="AT717" s="14"/>
      <c r="AU717" s="14"/>
      <c r="AV717" s="14"/>
      <c r="AW717" s="14"/>
      <c r="AX717" s="14"/>
      <c r="AY717" s="14"/>
      <c r="AZ717" s="14"/>
    </row>
    <row r="718" spans="1:52" s="605" customFormat="1">
      <c r="A718" s="585"/>
      <c r="B718" s="571"/>
      <c r="C718" s="970"/>
      <c r="D718" s="571"/>
      <c r="E718" s="1967"/>
      <c r="F718" s="1967"/>
      <c r="G718" s="1967"/>
      <c r="H718" s="1967"/>
      <c r="I718" s="1967"/>
      <c r="J718" s="1967"/>
      <c r="K718" s="1967"/>
      <c r="L718" s="1967"/>
      <c r="M718" s="1967"/>
      <c r="N718" s="1967"/>
      <c r="O718" s="1967"/>
      <c r="P718" s="1967"/>
      <c r="Q718" s="1967"/>
      <c r="R718" s="1967"/>
      <c r="S718" s="1967"/>
      <c r="T718" s="1967"/>
      <c r="U718" s="1967"/>
      <c r="V718" s="1967"/>
      <c r="W718" s="1967"/>
      <c r="X718" s="1967"/>
      <c r="Y718" s="1967"/>
      <c r="Z718" s="1967"/>
      <c r="AA718" s="1967"/>
      <c r="AB718" s="1967"/>
      <c r="AC718" s="571"/>
      <c r="AD718" s="571"/>
      <c r="AE718" s="571"/>
      <c r="AF718" s="571"/>
      <c r="AG718" s="571"/>
      <c r="AH718" s="571"/>
      <c r="AI718" s="571"/>
      <c r="AJ718" s="571"/>
      <c r="AK718" s="571"/>
      <c r="AL718" s="571"/>
      <c r="AM718" s="585"/>
      <c r="AN718" s="719"/>
      <c r="AT718" s="14"/>
      <c r="AU718" s="14"/>
      <c r="AV718" s="14"/>
      <c r="AW718" s="14"/>
      <c r="AX718" s="14"/>
      <c r="AY718" s="14"/>
      <c r="AZ718" s="14"/>
    </row>
    <row r="719" spans="1:52" s="605" customFormat="1">
      <c r="A719" s="585"/>
      <c r="B719" s="571"/>
      <c r="C719" s="970"/>
      <c r="D719" s="571"/>
      <c r="E719" s="678"/>
      <c r="F719" s="678"/>
      <c r="G719" s="678"/>
      <c r="H719" s="678"/>
      <c r="I719" s="678"/>
      <c r="J719" s="678"/>
      <c r="K719" s="678"/>
      <c r="L719" s="678"/>
      <c r="M719" s="678"/>
      <c r="N719" s="678"/>
      <c r="O719" s="678"/>
      <c r="P719" s="678"/>
      <c r="Q719" s="678"/>
      <c r="R719" s="678"/>
      <c r="S719" s="678"/>
      <c r="T719" s="678"/>
      <c r="U719" s="678"/>
      <c r="V719" s="678"/>
      <c r="W719" s="678"/>
      <c r="X719" s="678"/>
      <c r="Y719" s="678"/>
      <c r="Z719" s="678"/>
      <c r="AA719" s="678"/>
      <c r="AB719" s="678"/>
      <c r="AC719" s="571"/>
      <c r="AD719" s="571"/>
      <c r="AE719" s="571"/>
      <c r="AF719" s="571"/>
      <c r="AG719" s="571"/>
      <c r="AH719" s="571"/>
      <c r="AI719" s="571"/>
      <c r="AJ719" s="571"/>
      <c r="AK719" s="571"/>
      <c r="AL719" s="571"/>
      <c r="AM719" s="585"/>
      <c r="AN719" s="719"/>
      <c r="AT719" s="14"/>
      <c r="AU719" s="14"/>
      <c r="AV719" s="14"/>
      <c r="AW719" s="14"/>
      <c r="AX719" s="14"/>
      <c r="AY719" s="14"/>
      <c r="AZ719" s="14"/>
    </row>
    <row r="720" spans="1:52" s="605" customFormat="1" ht="12.75" customHeight="1">
      <c r="A720" s="585"/>
      <c r="B720" s="571"/>
      <c r="C720" s="970"/>
      <c r="D720" s="571" t="s">
        <v>1572</v>
      </c>
      <c r="E720" s="973"/>
      <c r="F720" s="973"/>
      <c r="G720" s="973"/>
      <c r="H720" s="1996" t="s">
        <v>600</v>
      </c>
      <c r="I720" s="1996"/>
      <c r="J720" s="678"/>
      <c r="K720" s="678"/>
      <c r="L720" s="678"/>
      <c r="M720" s="678"/>
      <c r="N720" s="678"/>
      <c r="O720" s="678"/>
      <c r="P720" s="678"/>
      <c r="Q720" s="678"/>
      <c r="R720" s="678"/>
      <c r="S720" s="678"/>
      <c r="T720" s="678"/>
      <c r="U720" s="678"/>
      <c r="V720" s="678"/>
      <c r="W720" s="678"/>
      <c r="X720" s="678"/>
      <c r="Y720" s="678"/>
      <c r="Z720" s="678"/>
      <c r="AA720" s="678"/>
      <c r="AB720" s="678"/>
      <c r="AC720" s="571"/>
      <c r="AD720" s="571"/>
      <c r="AE720" s="571"/>
      <c r="AF720" s="571"/>
      <c r="AG720" s="571"/>
      <c r="AH720" s="571"/>
      <c r="AI720" s="571"/>
      <c r="AJ720" s="571"/>
      <c r="AK720" s="571"/>
      <c r="AL720" s="571"/>
      <c r="AM720" s="585"/>
      <c r="AN720" s="719"/>
      <c r="AT720" s="14"/>
      <c r="AU720" s="14"/>
      <c r="AV720" s="14"/>
      <c r="AW720" s="14"/>
      <c r="AX720" s="14"/>
      <c r="AY720" s="14"/>
      <c r="AZ720" s="14"/>
    </row>
    <row r="721" spans="1:81" s="605" customFormat="1">
      <c r="A721" s="585"/>
      <c r="B721" s="571"/>
      <c r="C721" s="970"/>
      <c r="D721" s="571"/>
      <c r="E721" s="678"/>
      <c r="F721" s="678"/>
      <c r="G721" s="678"/>
      <c r="H721" s="678"/>
      <c r="I721" s="678"/>
      <c r="J721" s="678"/>
      <c r="K721" s="678"/>
      <c r="L721" s="678"/>
      <c r="M721" s="678"/>
      <c r="N721" s="678"/>
      <c r="O721" s="678"/>
      <c r="P721" s="678"/>
      <c r="Q721" s="678"/>
      <c r="R721" s="678"/>
      <c r="S721" s="678"/>
      <c r="T721" s="678"/>
      <c r="U721" s="678"/>
      <c r="V721" s="678"/>
      <c r="W721" s="678"/>
      <c r="X721" s="678"/>
      <c r="Y721" s="678"/>
      <c r="Z721" s="678"/>
      <c r="AA721" s="678"/>
      <c r="AB721" s="678"/>
      <c r="AC721" s="571"/>
      <c r="AD721" s="571"/>
      <c r="AE721" s="571"/>
      <c r="AF721" s="571"/>
      <c r="AG721" s="571"/>
      <c r="AH721" s="571"/>
      <c r="AI721" s="571"/>
      <c r="AJ721" s="571"/>
      <c r="AK721" s="571"/>
      <c r="AL721" s="571"/>
      <c r="AM721" s="585"/>
      <c r="AN721" s="719"/>
      <c r="AS721" s="14"/>
      <c r="AT721" s="14"/>
      <c r="AU721" s="14"/>
      <c r="AV721" s="14"/>
      <c r="AW721" s="14"/>
      <c r="AX721" s="14"/>
      <c r="AY721" s="14"/>
      <c r="AZ721" s="14"/>
      <c r="BA721" s="14"/>
      <c r="BB721" s="14"/>
      <c r="BC721" s="14"/>
      <c r="BD721" s="32"/>
      <c r="BE721" s="32"/>
      <c r="BF721" s="32"/>
      <c r="BG721" s="32"/>
      <c r="BH721" s="32"/>
      <c r="BI721" s="14"/>
      <c r="BJ721" s="14"/>
      <c r="BK721" s="14"/>
      <c r="BL721" s="14"/>
      <c r="BM721" s="14"/>
      <c r="BN721" s="14"/>
      <c r="BO721" s="14"/>
      <c r="BP721" s="14"/>
      <c r="BQ721" s="14"/>
      <c r="BR721" s="14"/>
      <c r="BS721" s="14"/>
      <c r="BT721" s="14"/>
      <c r="BU721" s="14"/>
      <c r="BV721" s="14"/>
      <c r="BW721" s="14"/>
      <c r="BX721" s="14"/>
      <c r="BY721" s="14"/>
      <c r="BZ721" s="14"/>
      <c r="CA721" s="14"/>
      <c r="CB721" s="14"/>
      <c r="CC721" s="14"/>
    </row>
    <row r="722" spans="1:81" s="605" customFormat="1">
      <c r="A722" s="641"/>
      <c r="B722" s="636"/>
      <c r="C722" s="975"/>
      <c r="D722" s="636"/>
      <c r="E722" s="986"/>
      <c r="F722" s="986"/>
      <c r="G722" s="986"/>
      <c r="H722" s="986"/>
      <c r="I722" s="986"/>
      <c r="J722" s="986"/>
      <c r="K722" s="986"/>
      <c r="L722" s="986"/>
      <c r="M722" s="986"/>
      <c r="N722" s="986"/>
      <c r="O722" s="986"/>
      <c r="P722" s="986"/>
      <c r="Q722" s="986"/>
      <c r="R722" s="986"/>
      <c r="S722" s="986"/>
      <c r="T722" s="986"/>
      <c r="U722" s="986"/>
      <c r="V722" s="700"/>
      <c r="W722" s="700"/>
      <c r="X722" s="700"/>
      <c r="Y722" s="976"/>
      <c r="Z722" s="976"/>
      <c r="AA722" s="976"/>
      <c r="AB722" s="636"/>
      <c r="AC722" s="636"/>
      <c r="AD722" s="636"/>
      <c r="AE722" s="636"/>
      <c r="AF722" s="636"/>
      <c r="AG722" s="636"/>
      <c r="AH722" s="636"/>
      <c r="AI722" s="600" t="s">
        <v>1612</v>
      </c>
      <c r="AJ722" s="1947">
        <f>VLOOKUP($H$720,$AO$655:$AP$657,2,FALSE)</f>
        <v>0</v>
      </c>
      <c r="AK722" s="1949"/>
      <c r="AL722" s="630"/>
      <c r="AM722" s="585"/>
      <c r="AN722" s="719"/>
      <c r="AS722" s="14"/>
      <c r="AT722" s="14"/>
      <c r="AU722" s="14"/>
      <c r="AV722" s="14"/>
      <c r="AW722" s="14"/>
      <c r="AX722" s="14"/>
      <c r="AY722" s="14"/>
      <c r="AZ722" s="14"/>
      <c r="BA722" s="14"/>
      <c r="BB722" s="14"/>
      <c r="BC722" s="14"/>
      <c r="BD722" s="32"/>
      <c r="BE722" s="32"/>
      <c r="BF722" s="32"/>
      <c r="BG722" s="32"/>
      <c r="BH722" s="32"/>
      <c r="BI722" s="14"/>
      <c r="BJ722" s="14"/>
      <c r="BK722" s="14"/>
      <c r="BL722" s="14"/>
      <c r="BM722" s="14"/>
      <c r="BN722" s="14"/>
      <c r="BO722" s="14"/>
      <c r="BP722" s="14"/>
      <c r="BQ722" s="14"/>
      <c r="BR722" s="14"/>
      <c r="BS722" s="14"/>
      <c r="BT722" s="14"/>
      <c r="BU722" s="14"/>
      <c r="BV722" s="14"/>
      <c r="BW722" s="14"/>
      <c r="BX722" s="14"/>
      <c r="BY722" s="14"/>
      <c r="BZ722" s="14"/>
      <c r="CA722" s="14"/>
      <c r="CB722" s="14"/>
      <c r="CC722" s="14"/>
    </row>
    <row r="723" spans="1:81" s="605" customFormat="1" ht="12.75" customHeight="1">
      <c r="A723" s="585"/>
      <c r="B723" s="571"/>
      <c r="C723" s="970"/>
      <c r="D723" s="571"/>
      <c r="E723" s="571"/>
      <c r="F723" s="571"/>
      <c r="G723" s="571"/>
      <c r="H723" s="571"/>
      <c r="I723" s="571"/>
      <c r="J723" s="678"/>
      <c r="K723" s="678"/>
      <c r="L723" s="678"/>
      <c r="M723" s="678"/>
      <c r="N723" s="571"/>
      <c r="O723" s="571"/>
      <c r="P723" s="571"/>
      <c r="Q723" s="571"/>
      <c r="R723" s="571"/>
      <c r="S723" s="571"/>
      <c r="T723" s="571"/>
      <c r="U723" s="571"/>
      <c r="V723" s="571"/>
      <c r="W723" s="571"/>
      <c r="X723" s="571"/>
      <c r="Y723" s="571"/>
      <c r="Z723" s="571"/>
      <c r="AA723" s="571"/>
      <c r="AB723" s="571"/>
      <c r="AC723" s="571"/>
      <c r="AD723" s="571"/>
      <c r="AE723" s="571"/>
      <c r="AF723" s="571"/>
      <c r="AG723" s="571"/>
      <c r="AH723" s="571"/>
      <c r="AI723" s="571"/>
      <c r="AJ723" s="571"/>
      <c r="AK723" s="571"/>
      <c r="AL723" s="571"/>
      <c r="AM723" s="585"/>
      <c r="AN723" s="719"/>
      <c r="AS723" s="14"/>
      <c r="AT723" s="14"/>
      <c r="AU723" s="14"/>
      <c r="AV723" s="14"/>
      <c r="AW723" s="14"/>
      <c r="AX723" s="14"/>
      <c r="AY723" s="14"/>
      <c r="AZ723" s="14"/>
      <c r="BA723" s="14"/>
      <c r="BB723" s="14"/>
      <c r="BC723" s="14"/>
      <c r="BD723" s="32"/>
      <c r="BE723" s="32"/>
      <c r="BF723" s="32"/>
      <c r="BG723" s="32"/>
      <c r="BH723" s="32"/>
      <c r="BI723" s="14"/>
      <c r="BJ723" s="14"/>
      <c r="BK723" s="14"/>
      <c r="BL723" s="14"/>
      <c r="BM723" s="14"/>
      <c r="BN723" s="14"/>
      <c r="BO723" s="14"/>
      <c r="BP723" s="14"/>
      <c r="BQ723" s="14"/>
      <c r="BR723" s="14"/>
      <c r="BS723" s="14"/>
      <c r="BT723" s="14"/>
      <c r="BU723" s="14"/>
      <c r="BV723" s="14"/>
      <c r="BW723" s="14"/>
      <c r="BX723" s="14"/>
      <c r="BY723" s="14"/>
      <c r="BZ723" s="14"/>
      <c r="CA723" s="14"/>
      <c r="CB723" s="14"/>
      <c r="CC723" s="14"/>
    </row>
    <row r="724" spans="1:81" s="605" customFormat="1" ht="12.75" customHeight="1">
      <c r="A724" s="585"/>
      <c r="B724" s="571"/>
      <c r="C724" s="574" t="s">
        <v>1613</v>
      </c>
      <c r="D724" s="571"/>
      <c r="E724" s="571"/>
      <c r="F724" s="571"/>
      <c r="G724" s="571"/>
      <c r="H724" s="571"/>
      <c r="I724" s="571"/>
      <c r="J724" s="571"/>
      <c r="K724" s="571"/>
      <c r="L724" s="571"/>
      <c r="M724" s="571"/>
      <c r="N724" s="571"/>
      <c r="O724" s="571"/>
      <c r="P724" s="571"/>
      <c r="Q724" s="571"/>
      <c r="R724" s="571"/>
      <c r="S724" s="571"/>
      <c r="T724" s="571"/>
      <c r="U724" s="571"/>
      <c r="V724" s="571"/>
      <c r="W724" s="571"/>
      <c r="X724" s="571"/>
      <c r="Y724" s="571"/>
      <c r="Z724" s="571"/>
      <c r="AA724" s="571"/>
      <c r="AB724" s="571"/>
      <c r="AC724" s="571"/>
      <c r="AD724" s="571"/>
      <c r="AE724" s="571"/>
      <c r="AF724" s="571"/>
      <c r="AG724" s="571"/>
      <c r="AH724" s="571"/>
      <c r="AI724" s="571"/>
      <c r="AJ724" s="571"/>
      <c r="AK724" s="571"/>
      <c r="AL724" s="571"/>
      <c r="AM724" s="585"/>
      <c r="AN724" s="719"/>
      <c r="AS724" s="14"/>
      <c r="AT724" s="14"/>
      <c r="AU724" s="14"/>
      <c r="AV724" s="14"/>
      <c r="AW724" s="14"/>
      <c r="AX724" s="14"/>
      <c r="AY724" s="14"/>
      <c r="AZ724" s="14"/>
      <c r="BA724" s="14"/>
      <c r="BB724" s="14"/>
      <c r="BC724" s="14"/>
      <c r="BD724" s="32"/>
      <c r="BE724" s="32"/>
      <c r="BF724" s="32"/>
      <c r="BG724" s="32"/>
      <c r="BH724" s="32"/>
      <c r="BI724" s="14"/>
      <c r="BJ724" s="14"/>
      <c r="BK724" s="14"/>
      <c r="BL724" s="14"/>
      <c r="BM724" s="14"/>
      <c r="BN724" s="14"/>
      <c r="BO724" s="14"/>
      <c r="BP724" s="14"/>
      <c r="BQ724" s="14"/>
      <c r="BR724" s="14"/>
      <c r="BS724" s="14"/>
      <c r="BT724" s="14"/>
      <c r="BU724" s="14"/>
      <c r="BV724" s="14"/>
      <c r="BW724" s="14"/>
      <c r="BX724" s="14"/>
      <c r="BY724" s="14"/>
      <c r="BZ724" s="14"/>
      <c r="CA724" s="14"/>
      <c r="CB724" s="14"/>
      <c r="CC724" s="14"/>
    </row>
    <row r="725" spans="1:81" s="605" customFormat="1">
      <c r="A725" s="585"/>
      <c r="B725" s="645"/>
      <c r="C725" s="990"/>
      <c r="D725" s="645"/>
      <c r="E725" s="645"/>
      <c r="F725" s="571"/>
      <c r="G725" s="571"/>
      <c r="H725" s="645"/>
      <c r="I725" s="645"/>
      <c r="J725" s="645"/>
      <c r="K725" s="645"/>
      <c r="L725" s="645"/>
      <c r="M725" s="645"/>
      <c r="N725" s="645"/>
      <c r="O725" s="645"/>
      <c r="P725" s="645"/>
      <c r="Q725" s="645"/>
      <c r="R725" s="645"/>
      <c r="S725" s="645"/>
      <c r="T725" s="571"/>
      <c r="U725" s="571"/>
      <c r="V725" s="571"/>
      <c r="W725" s="571"/>
      <c r="X725" s="630"/>
      <c r="Y725" s="630"/>
      <c r="Z725" s="630"/>
      <c r="AA725" s="630"/>
      <c r="AB725" s="630"/>
      <c r="AC725" s="571"/>
      <c r="AD725" s="571"/>
      <c r="AE725" s="571"/>
      <c r="AF725" s="571"/>
      <c r="AG725" s="571"/>
      <c r="AH725" s="571"/>
      <c r="AI725" s="571"/>
      <c r="AJ725" s="571"/>
      <c r="AK725" s="571"/>
      <c r="AL725" s="571"/>
      <c r="AM725" s="585"/>
      <c r="AN725" s="719"/>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5" customFormat="1">
      <c r="A726" s="585"/>
      <c r="B726" s="571"/>
      <c r="C726" s="968"/>
      <c r="D726" s="698" t="s">
        <v>697</v>
      </c>
      <c r="E726" s="1967" t="s">
        <v>1614</v>
      </c>
      <c r="F726" s="1967"/>
      <c r="G726" s="1967"/>
      <c r="H726" s="1967"/>
      <c r="I726" s="1967"/>
      <c r="J726" s="1967"/>
      <c r="K726" s="1967"/>
      <c r="L726" s="1967"/>
      <c r="M726" s="1967"/>
      <c r="N726" s="1967"/>
      <c r="O726" s="1967"/>
      <c r="P726" s="1967"/>
      <c r="Q726" s="1967"/>
      <c r="R726" s="1967"/>
      <c r="S726" s="1967"/>
      <c r="T726" s="1967"/>
      <c r="U726" s="1967"/>
      <c r="V726" s="1967"/>
      <c r="W726" s="1967"/>
      <c r="X726" s="1967"/>
      <c r="Y726" s="1967"/>
      <c r="Z726" s="1967"/>
      <c r="AA726" s="1967"/>
      <c r="AB726" s="1967"/>
      <c r="AC726" s="571"/>
      <c r="AD726" s="571"/>
      <c r="AE726" s="571"/>
      <c r="AF726" s="1914" t="s">
        <v>1524</v>
      </c>
      <c r="AG726" s="1914"/>
      <c r="AH726" s="1914"/>
      <c r="AI726" s="1914"/>
      <c r="AJ726" s="1914"/>
      <c r="AK726" s="1914"/>
      <c r="AL726" s="1914"/>
      <c r="AM726" s="585"/>
      <c r="AN726" s="719"/>
      <c r="AT726" s="14"/>
      <c r="AU726" s="14"/>
      <c r="AV726" s="14"/>
      <c r="AW726" s="14"/>
      <c r="AX726" s="14"/>
      <c r="AY726" s="14"/>
      <c r="AZ726" s="14"/>
    </row>
    <row r="727" spans="1:81" s="605" customFormat="1">
      <c r="A727" s="585"/>
      <c r="B727" s="571"/>
      <c r="C727" s="968"/>
      <c r="D727" s="698"/>
      <c r="E727" s="1967"/>
      <c r="F727" s="1967"/>
      <c r="G727" s="1967"/>
      <c r="H727" s="1967"/>
      <c r="I727" s="1967"/>
      <c r="J727" s="1967"/>
      <c r="K727" s="1967"/>
      <c r="L727" s="1967"/>
      <c r="M727" s="1967"/>
      <c r="N727" s="1967"/>
      <c r="O727" s="1967"/>
      <c r="P727" s="1967"/>
      <c r="Q727" s="1967"/>
      <c r="R727" s="1967"/>
      <c r="S727" s="1967"/>
      <c r="T727" s="1967"/>
      <c r="U727" s="1967"/>
      <c r="V727" s="1967"/>
      <c r="W727" s="1967"/>
      <c r="X727" s="1967"/>
      <c r="Y727" s="1967"/>
      <c r="Z727" s="1967"/>
      <c r="AA727" s="1967"/>
      <c r="AB727" s="1967"/>
      <c r="AC727" s="571"/>
      <c r="AD727" s="571"/>
      <c r="AE727" s="571"/>
      <c r="AF727" s="629"/>
      <c r="AG727" s="629"/>
      <c r="AH727" s="629"/>
      <c r="AI727" s="629"/>
      <c r="AJ727" s="629"/>
      <c r="AK727" s="629"/>
      <c r="AL727" s="629"/>
      <c r="AM727" s="585"/>
      <c r="AN727" s="719"/>
      <c r="AT727" s="14"/>
      <c r="AU727" s="14"/>
      <c r="AV727" s="14"/>
      <c r="AW727" s="14"/>
      <c r="AX727" s="14"/>
      <c r="AY727" s="14"/>
      <c r="AZ727" s="14"/>
    </row>
    <row r="728" spans="1:81" s="605" customFormat="1">
      <c r="A728" s="585"/>
      <c r="B728" s="571"/>
      <c r="C728" s="970"/>
      <c r="D728" s="698"/>
      <c r="E728" s="1967"/>
      <c r="F728" s="1967"/>
      <c r="G728" s="1967"/>
      <c r="H728" s="1967"/>
      <c r="I728" s="1967"/>
      <c r="J728" s="1967"/>
      <c r="K728" s="1967"/>
      <c r="L728" s="1967"/>
      <c r="M728" s="1967"/>
      <c r="N728" s="1967"/>
      <c r="O728" s="1967"/>
      <c r="P728" s="1967"/>
      <c r="Q728" s="1967"/>
      <c r="R728" s="1967"/>
      <c r="S728" s="1967"/>
      <c r="T728" s="1967"/>
      <c r="U728" s="1967"/>
      <c r="V728" s="1967"/>
      <c r="W728" s="1967"/>
      <c r="X728" s="1967"/>
      <c r="Y728" s="1967"/>
      <c r="Z728" s="1967"/>
      <c r="AA728" s="1967"/>
      <c r="AB728" s="1967"/>
      <c r="AC728" s="571"/>
      <c r="AD728" s="571"/>
      <c r="AE728" s="571"/>
      <c r="AF728" s="571"/>
      <c r="AG728" s="571"/>
      <c r="AH728" s="571"/>
      <c r="AI728" s="571"/>
      <c r="AJ728" s="571"/>
      <c r="AK728" s="571"/>
      <c r="AL728" s="571"/>
      <c r="AM728" s="585"/>
      <c r="AN728" s="719"/>
    </row>
    <row r="729" spans="1:81" s="605" customFormat="1" ht="12.75" customHeight="1">
      <c r="A729" s="585"/>
      <c r="B729" s="571"/>
      <c r="C729" s="970"/>
      <c r="D729" s="698"/>
      <c r="E729" s="1967"/>
      <c r="F729" s="1967"/>
      <c r="G729" s="1967"/>
      <c r="H729" s="1967"/>
      <c r="I729" s="1967"/>
      <c r="J729" s="1967"/>
      <c r="K729" s="1967"/>
      <c r="L729" s="1967"/>
      <c r="M729" s="1967"/>
      <c r="N729" s="1967"/>
      <c r="O729" s="1967"/>
      <c r="P729" s="1967"/>
      <c r="Q729" s="1967"/>
      <c r="R729" s="1967"/>
      <c r="S729" s="1967"/>
      <c r="T729" s="1967"/>
      <c r="U729" s="1967"/>
      <c r="V729" s="1967"/>
      <c r="W729" s="1967"/>
      <c r="X729" s="1967"/>
      <c r="Y729" s="1967"/>
      <c r="Z729" s="1967"/>
      <c r="AA729" s="1967"/>
      <c r="AB729" s="1967"/>
      <c r="AC729" s="571"/>
      <c r="AD729" s="571"/>
      <c r="AE729" s="571"/>
      <c r="AF729" s="571"/>
      <c r="AG729" s="571"/>
      <c r="AH729" s="571"/>
      <c r="AI729" s="571"/>
      <c r="AJ729" s="571"/>
      <c r="AK729" s="571"/>
      <c r="AL729" s="571"/>
      <c r="AM729" s="585"/>
      <c r="AN729" s="569"/>
      <c r="AO729" s="14"/>
    </row>
    <row r="730" spans="1:81" s="605" customFormat="1">
      <c r="A730" s="714"/>
      <c r="B730" s="630"/>
      <c r="C730" s="968"/>
      <c r="D730" s="698"/>
      <c r="E730" s="983"/>
      <c r="F730" s="983"/>
      <c r="G730" s="983"/>
      <c r="H730" s="983"/>
      <c r="I730" s="983"/>
      <c r="J730" s="983"/>
      <c r="K730" s="983"/>
      <c r="L730" s="983"/>
      <c r="M730" s="983"/>
      <c r="N730" s="983"/>
      <c r="O730" s="983"/>
      <c r="P730" s="983"/>
      <c r="Q730" s="983"/>
      <c r="R730" s="983"/>
      <c r="S730" s="983"/>
      <c r="T730" s="983"/>
      <c r="U730" s="983"/>
      <c r="V730" s="983"/>
      <c r="W730" s="983"/>
      <c r="X730" s="983"/>
      <c r="Y730" s="983"/>
      <c r="Z730" s="983"/>
      <c r="AA730" s="983"/>
      <c r="AB730" s="983"/>
      <c r="AC730" s="571"/>
      <c r="AD730" s="571"/>
      <c r="AE730" s="571"/>
      <c r="AF730" s="571"/>
      <c r="AG730" s="571"/>
      <c r="AH730" s="571"/>
      <c r="AI730" s="571"/>
      <c r="AJ730" s="571"/>
      <c r="AK730" s="571"/>
      <c r="AL730" s="571"/>
      <c r="AM730" s="585"/>
      <c r="AN730" s="719"/>
      <c r="AO730" s="30"/>
      <c r="AP730" s="14"/>
    </row>
    <row r="731" spans="1:81" s="605" customFormat="1">
      <c r="A731" s="585"/>
      <c r="B731" s="571"/>
      <c r="C731" s="968"/>
      <c r="D731" s="698" t="s">
        <v>518</v>
      </c>
      <c r="E731" s="1967" t="s">
        <v>1615</v>
      </c>
      <c r="F731" s="1967"/>
      <c r="G731" s="1967"/>
      <c r="H731" s="1967"/>
      <c r="I731" s="1967"/>
      <c r="J731" s="1967"/>
      <c r="K731" s="1967"/>
      <c r="L731" s="1967"/>
      <c r="M731" s="1967"/>
      <c r="N731" s="1967"/>
      <c r="O731" s="1967"/>
      <c r="P731" s="1967"/>
      <c r="Q731" s="1967"/>
      <c r="R731" s="1967"/>
      <c r="S731" s="1967"/>
      <c r="T731" s="1967"/>
      <c r="U731" s="1967"/>
      <c r="V731" s="1967"/>
      <c r="W731" s="1967"/>
      <c r="X731" s="1967"/>
      <c r="Y731" s="1967"/>
      <c r="Z731" s="1967"/>
      <c r="AA731" s="1967"/>
      <c r="AB731" s="610"/>
      <c r="AC731" s="571"/>
      <c r="AD731" s="571"/>
      <c r="AE731" s="571"/>
      <c r="AF731" s="1914" t="s">
        <v>1580</v>
      </c>
      <c r="AG731" s="1914"/>
      <c r="AH731" s="1914"/>
      <c r="AI731" s="1914"/>
      <c r="AJ731" s="1914"/>
      <c r="AK731" s="1914"/>
      <c r="AL731" s="1914"/>
      <c r="AM731" s="585"/>
      <c r="AN731" s="719"/>
      <c r="AO731" s="30"/>
      <c r="AP731" s="14"/>
    </row>
    <row r="732" spans="1:81" s="605" customFormat="1">
      <c r="A732" s="585"/>
      <c r="B732" s="571"/>
      <c r="C732" s="968"/>
      <c r="D732" s="698"/>
      <c r="E732" s="1967"/>
      <c r="F732" s="1967"/>
      <c r="G732" s="1967"/>
      <c r="H732" s="1967"/>
      <c r="I732" s="1967"/>
      <c r="J732" s="1967"/>
      <c r="K732" s="1967"/>
      <c r="L732" s="1967"/>
      <c r="M732" s="1967"/>
      <c r="N732" s="1967"/>
      <c r="O732" s="1967"/>
      <c r="P732" s="1967"/>
      <c r="Q732" s="1967"/>
      <c r="R732" s="1967"/>
      <c r="S732" s="1967"/>
      <c r="T732" s="1967"/>
      <c r="U732" s="1967"/>
      <c r="V732" s="1967"/>
      <c r="W732" s="1967"/>
      <c r="X732" s="1967"/>
      <c r="Y732" s="1967"/>
      <c r="Z732" s="1967"/>
      <c r="AA732" s="1967"/>
      <c r="AB732" s="610"/>
      <c r="AC732" s="571"/>
      <c r="AD732" s="571"/>
      <c r="AE732" s="571"/>
      <c r="AF732" s="629"/>
      <c r="AG732" s="629"/>
      <c r="AH732" s="629"/>
      <c r="AI732" s="629"/>
      <c r="AJ732" s="629"/>
      <c r="AK732" s="629"/>
      <c r="AL732" s="629"/>
      <c r="AM732" s="585"/>
      <c r="AN732" s="719"/>
      <c r="AO732" s="30"/>
      <c r="AP732" s="14"/>
    </row>
    <row r="733" spans="1:81" s="605" customFormat="1">
      <c r="A733" s="585"/>
      <c r="B733" s="571"/>
      <c r="C733" s="968"/>
      <c r="D733" s="571"/>
      <c r="E733" s="1967"/>
      <c r="F733" s="1967"/>
      <c r="G733" s="1967"/>
      <c r="H733" s="1967"/>
      <c r="I733" s="1967"/>
      <c r="J733" s="1967"/>
      <c r="K733" s="1967"/>
      <c r="L733" s="1967"/>
      <c r="M733" s="1967"/>
      <c r="N733" s="1967"/>
      <c r="O733" s="1967"/>
      <c r="P733" s="1967"/>
      <c r="Q733" s="1967"/>
      <c r="R733" s="1967"/>
      <c r="S733" s="1967"/>
      <c r="T733" s="1967"/>
      <c r="U733" s="1967"/>
      <c r="V733" s="1967"/>
      <c r="W733" s="1967"/>
      <c r="X733" s="1967"/>
      <c r="Y733" s="1967"/>
      <c r="Z733" s="1967"/>
      <c r="AA733" s="1967"/>
      <c r="AB733" s="610"/>
      <c r="AC733" s="629"/>
      <c r="AD733" s="629"/>
      <c r="AE733" s="629"/>
      <c r="AF733" s="629"/>
      <c r="AG733" s="629"/>
      <c r="AH733" s="629"/>
      <c r="AI733" s="629"/>
      <c r="AJ733" s="571"/>
      <c r="AK733" s="571"/>
      <c r="AL733" s="571"/>
      <c r="AM733" s="585"/>
      <c r="AN733" s="719"/>
      <c r="AO733" s="30"/>
      <c r="AP733" s="14"/>
    </row>
    <row r="734" spans="1:81" s="605" customFormat="1">
      <c r="A734" s="585"/>
      <c r="B734" s="571"/>
      <c r="C734" s="968"/>
      <c r="D734" s="571"/>
      <c r="E734" s="1967"/>
      <c r="F734" s="1967"/>
      <c r="G734" s="1967"/>
      <c r="H734" s="1967"/>
      <c r="I734" s="1967"/>
      <c r="J734" s="1967"/>
      <c r="K734" s="1967"/>
      <c r="L734" s="1967"/>
      <c r="M734" s="1967"/>
      <c r="N734" s="1967"/>
      <c r="O734" s="1967"/>
      <c r="P734" s="1967"/>
      <c r="Q734" s="1967"/>
      <c r="R734" s="1967"/>
      <c r="S734" s="1967"/>
      <c r="T734" s="1967"/>
      <c r="U734" s="1967"/>
      <c r="V734" s="1967"/>
      <c r="W734" s="1967"/>
      <c r="X734" s="1967"/>
      <c r="Y734" s="1967"/>
      <c r="Z734" s="1967"/>
      <c r="AA734" s="1967"/>
      <c r="AB734" s="610"/>
      <c r="AC734" s="629"/>
      <c r="AD734" s="629"/>
      <c r="AE734" s="629"/>
      <c r="AF734" s="629"/>
      <c r="AG734" s="629"/>
      <c r="AH734" s="629"/>
      <c r="AI734" s="629"/>
      <c r="AJ734" s="571"/>
      <c r="AK734" s="571"/>
      <c r="AL734" s="571"/>
      <c r="AM734" s="585"/>
      <c r="AN734" s="719"/>
      <c r="AO734" s="30"/>
      <c r="AP734" s="14"/>
    </row>
    <row r="735" spans="1:81" s="605" customFormat="1">
      <c r="A735" s="585"/>
      <c r="B735" s="571"/>
      <c r="C735" s="968"/>
      <c r="D735" s="571"/>
      <c r="E735" s="677"/>
      <c r="F735" s="677"/>
      <c r="G735" s="677"/>
      <c r="H735" s="677"/>
      <c r="I735" s="677"/>
      <c r="J735" s="677"/>
      <c r="K735" s="677"/>
      <c r="L735" s="677"/>
      <c r="M735" s="677"/>
      <c r="N735" s="677"/>
      <c r="O735" s="677"/>
      <c r="P735" s="677"/>
      <c r="Q735" s="677"/>
      <c r="R735" s="677"/>
      <c r="S735" s="677"/>
      <c r="T735" s="677"/>
      <c r="U735" s="677"/>
      <c r="V735" s="677"/>
      <c r="W735" s="677"/>
      <c r="X735" s="677"/>
      <c r="Y735" s="677"/>
      <c r="Z735" s="677"/>
      <c r="AA735" s="677"/>
      <c r="AB735" s="677"/>
      <c r="AC735" s="629"/>
      <c r="AD735" s="629"/>
      <c r="AE735" s="629"/>
      <c r="AF735" s="629"/>
      <c r="AG735" s="629"/>
      <c r="AH735" s="629"/>
      <c r="AI735" s="629"/>
      <c r="AJ735" s="571"/>
      <c r="AK735" s="571"/>
      <c r="AL735" s="571"/>
      <c r="AM735" s="585"/>
      <c r="AN735" s="719"/>
    </row>
    <row r="736" spans="1:81" s="605" customFormat="1" ht="12.75" customHeight="1">
      <c r="A736" s="585"/>
      <c r="B736" s="571"/>
      <c r="C736" s="968"/>
      <c r="D736" s="571" t="s">
        <v>1572</v>
      </c>
      <c r="E736" s="973"/>
      <c r="F736" s="973"/>
      <c r="G736" s="973"/>
      <c r="H736" s="1996" t="s">
        <v>600</v>
      </c>
      <c r="I736" s="1996"/>
      <c r="J736" s="677"/>
      <c r="K736" s="677"/>
      <c r="L736" s="677"/>
      <c r="M736" s="677"/>
      <c r="N736" s="677"/>
      <c r="O736" s="677"/>
      <c r="P736" s="677"/>
      <c r="Q736" s="677"/>
      <c r="R736" s="677"/>
      <c r="S736" s="677"/>
      <c r="T736" s="677"/>
      <c r="U736" s="677"/>
      <c r="V736" s="677"/>
      <c r="W736" s="677"/>
      <c r="X736" s="677"/>
      <c r="Y736" s="677"/>
      <c r="Z736" s="677"/>
      <c r="AA736" s="677"/>
      <c r="AB736" s="677"/>
      <c r="AC736" s="629"/>
      <c r="AD736" s="629"/>
      <c r="AE736" s="629"/>
      <c r="AF736" s="629"/>
      <c r="AG736" s="629"/>
      <c r="AH736" s="629"/>
      <c r="AI736" s="629"/>
      <c r="AJ736" s="571"/>
      <c r="AK736" s="571"/>
      <c r="AL736" s="571"/>
      <c r="AM736" s="585"/>
      <c r="AN736" s="719"/>
    </row>
    <row r="737" spans="1:74" s="605" customFormat="1" ht="12.75" customHeight="1">
      <c r="A737" s="585"/>
      <c r="B737" s="571"/>
      <c r="C737" s="968"/>
      <c r="D737" s="571"/>
      <c r="E737" s="677"/>
      <c r="F737" s="677"/>
      <c r="G737" s="677"/>
      <c r="H737" s="677"/>
      <c r="I737" s="677"/>
      <c r="J737" s="677"/>
      <c r="K737" s="677"/>
      <c r="L737" s="677"/>
      <c r="M737" s="677"/>
      <c r="N737" s="677"/>
      <c r="O737" s="677"/>
      <c r="P737" s="677"/>
      <c r="Q737" s="677"/>
      <c r="R737" s="677"/>
      <c r="S737" s="677"/>
      <c r="T737" s="677"/>
      <c r="U737" s="677"/>
      <c r="V737" s="677"/>
      <c r="W737" s="677"/>
      <c r="X737" s="677"/>
      <c r="Y737" s="677"/>
      <c r="Z737" s="677"/>
      <c r="AA737" s="677"/>
      <c r="AB737" s="677"/>
      <c r="AC737" s="629"/>
      <c r="AD737" s="629"/>
      <c r="AE737" s="629"/>
      <c r="AF737" s="629"/>
      <c r="AG737" s="629"/>
      <c r="AH737" s="629"/>
      <c r="AI737" s="629"/>
      <c r="AJ737" s="571"/>
      <c r="AK737" s="571"/>
      <c r="AL737" s="571"/>
      <c r="AM737" s="585"/>
      <c r="AN737" s="569"/>
      <c r="AO737" s="30"/>
      <c r="AP737" s="14"/>
      <c r="AQ737" s="14"/>
      <c r="AR737" s="1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row>
    <row r="738" spans="1:74" s="605" customFormat="1">
      <c r="A738" s="641"/>
      <c r="B738" s="636"/>
      <c r="C738" s="981"/>
      <c r="D738" s="636"/>
      <c r="E738" s="991"/>
      <c r="F738" s="991"/>
      <c r="G738" s="991"/>
      <c r="H738" s="991"/>
      <c r="I738" s="991"/>
      <c r="J738" s="991"/>
      <c r="K738" s="991"/>
      <c r="L738" s="991"/>
      <c r="M738" s="991"/>
      <c r="N738" s="991"/>
      <c r="O738" s="991"/>
      <c r="P738" s="991"/>
      <c r="Q738" s="991"/>
      <c r="R738" s="991"/>
      <c r="S738" s="991"/>
      <c r="T738" s="991"/>
      <c r="U738" s="991"/>
      <c r="V738" s="991"/>
      <c r="W738" s="991"/>
      <c r="X738" s="991"/>
      <c r="Y738" s="991"/>
      <c r="Z738" s="991"/>
      <c r="AA738" s="991"/>
      <c r="AB738" s="722"/>
      <c r="AC738" s="722"/>
      <c r="AD738" s="722"/>
      <c r="AE738" s="722"/>
      <c r="AF738" s="722"/>
      <c r="AG738" s="722"/>
      <c r="AH738" s="636"/>
      <c r="AI738" s="600" t="s">
        <v>1616</v>
      </c>
      <c r="AJ738" s="1947">
        <f>VLOOKUP($H$736,$AO$669:$AP$671,2,FALSE)</f>
        <v>0</v>
      </c>
      <c r="AK738" s="1949"/>
      <c r="AL738" s="630"/>
      <c r="AM738" s="585"/>
      <c r="AN738" s="569"/>
      <c r="AO738" s="30"/>
      <c r="AP738" s="14"/>
      <c r="AQ738" s="14"/>
      <c r="AR738" s="1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row>
    <row r="739" spans="1:74" s="605" customFormat="1" ht="12.75" customHeight="1">
      <c r="A739" s="672"/>
      <c r="B739" s="571"/>
      <c r="C739" s="970"/>
      <c r="D739" s="571"/>
      <c r="E739" s="571"/>
      <c r="F739" s="571"/>
      <c r="G739" s="571"/>
      <c r="H739" s="571"/>
      <c r="I739" s="571"/>
      <c r="J739" s="677"/>
      <c r="K739" s="677"/>
      <c r="L739" s="678"/>
      <c r="M739" s="678"/>
      <c r="N739" s="678"/>
      <c r="O739" s="678"/>
      <c r="P739" s="678"/>
      <c r="Q739" s="678"/>
      <c r="R739" s="678"/>
      <c r="S739" s="678"/>
      <c r="T739" s="678"/>
      <c r="U739" s="678"/>
      <c r="V739" s="651"/>
      <c r="W739" s="651"/>
      <c r="X739" s="651"/>
      <c r="Y739" s="651"/>
      <c r="Z739" s="973"/>
      <c r="AA739" s="973"/>
      <c r="AB739" s="973"/>
      <c r="AC739" s="571"/>
      <c r="AD739" s="571"/>
      <c r="AE739" s="571"/>
      <c r="AF739" s="571"/>
      <c r="AG739" s="571"/>
      <c r="AH739" s="571"/>
      <c r="AI739" s="571"/>
      <c r="AJ739" s="571"/>
      <c r="AK739" s="571"/>
      <c r="AL739" s="571"/>
      <c r="AM739" s="585"/>
      <c r="AN739" s="569"/>
      <c r="AO739" s="30"/>
      <c r="AP739" s="14"/>
      <c r="AQ739" s="14"/>
      <c r="AR739" s="1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row>
    <row r="740" spans="1:74" s="605" customFormat="1">
      <c r="A740" s="585"/>
      <c r="B740" s="571"/>
      <c r="C740" s="574" t="s">
        <v>1606</v>
      </c>
      <c r="D740" s="651"/>
      <c r="E740" s="571"/>
      <c r="F740" s="571"/>
      <c r="G740" s="571"/>
      <c r="H740" s="571"/>
      <c r="I740" s="571"/>
      <c r="J740" s="571"/>
      <c r="K740" s="571"/>
      <c r="L740" s="571"/>
      <c r="M740" s="571"/>
      <c r="N740" s="571"/>
      <c r="O740" s="571"/>
      <c r="P740" s="571"/>
      <c r="Q740" s="571"/>
      <c r="R740" s="571"/>
      <c r="S740" s="571"/>
      <c r="T740" s="571"/>
      <c r="U740" s="571"/>
      <c r="V740" s="571"/>
      <c r="W740" s="571"/>
      <c r="X740" s="571"/>
      <c r="Y740" s="571"/>
      <c r="Z740" s="571"/>
      <c r="AA740" s="571"/>
      <c r="AB740" s="571"/>
      <c r="AC740" s="571"/>
      <c r="AD740" s="571"/>
      <c r="AE740" s="571"/>
      <c r="AF740" s="571"/>
      <c r="AG740" s="571"/>
      <c r="AH740" s="571"/>
      <c r="AI740" s="571"/>
      <c r="AJ740" s="571"/>
      <c r="AK740" s="571"/>
      <c r="AL740" s="571"/>
      <c r="AM740" s="585"/>
      <c r="AN740" s="569"/>
      <c r="AO740" s="30"/>
      <c r="AP740" s="14"/>
      <c r="AQ740" s="14"/>
      <c r="AR740" s="1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row>
    <row r="741" spans="1:74" s="605" customFormat="1">
      <c r="A741" s="585"/>
      <c r="B741" s="651"/>
      <c r="C741" s="571"/>
      <c r="D741" s="571"/>
      <c r="E741" s="651"/>
      <c r="F741" s="651"/>
      <c r="G741" s="651"/>
      <c r="H741" s="651"/>
      <c r="I741" s="651"/>
      <c r="J741" s="651"/>
      <c r="K741" s="651"/>
      <c r="L741" s="651"/>
      <c r="M741" s="651"/>
      <c r="N741" s="651"/>
      <c r="O741" s="651"/>
      <c r="P741" s="651"/>
      <c r="Q741" s="651"/>
      <c r="R741" s="651"/>
      <c r="S741" s="651"/>
      <c r="T741" s="651"/>
      <c r="U741" s="651"/>
      <c r="V741" s="651"/>
      <c r="W741" s="651"/>
      <c r="X741" s="651"/>
      <c r="Y741" s="651"/>
      <c r="Z741" s="651"/>
      <c r="AA741" s="651"/>
      <c r="AB741" s="651"/>
      <c r="AC741" s="651"/>
      <c r="AD741" s="651"/>
      <c r="AE741" s="651"/>
      <c r="AF741" s="651"/>
      <c r="AG741" s="651"/>
      <c r="AH741" s="651"/>
      <c r="AI741" s="571"/>
      <c r="AJ741" s="571"/>
      <c r="AK741" s="571"/>
      <c r="AL741" s="571"/>
      <c r="AM741" s="585"/>
      <c r="AN741" s="569"/>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5" customFormat="1">
      <c r="A742" s="585"/>
      <c r="B742" s="571"/>
      <c r="C742" s="968"/>
      <c r="D742" s="698" t="s">
        <v>697</v>
      </c>
      <c r="E742" s="1967" t="s">
        <v>1617</v>
      </c>
      <c r="F742" s="1967"/>
      <c r="G742" s="1967"/>
      <c r="H742" s="1967"/>
      <c r="I742" s="1967"/>
      <c r="J742" s="1967"/>
      <c r="K742" s="1967"/>
      <c r="L742" s="1967"/>
      <c r="M742" s="1967"/>
      <c r="N742" s="1967"/>
      <c r="O742" s="1967"/>
      <c r="P742" s="1967"/>
      <c r="Q742" s="1967"/>
      <c r="R742" s="1967"/>
      <c r="S742" s="1967"/>
      <c r="T742" s="1967"/>
      <c r="U742" s="1967"/>
      <c r="V742" s="1967"/>
      <c r="W742" s="1967"/>
      <c r="X742" s="1967"/>
      <c r="Y742" s="1967"/>
      <c r="Z742" s="1967"/>
      <c r="AA742" s="1967"/>
      <c r="AB742" s="1967"/>
      <c r="AC742" s="571"/>
      <c r="AD742" s="571"/>
      <c r="AE742" s="571"/>
      <c r="AF742" s="1914" t="s">
        <v>1580</v>
      </c>
      <c r="AG742" s="1914"/>
      <c r="AH742" s="1914"/>
      <c r="AI742" s="1914"/>
      <c r="AJ742" s="1914"/>
      <c r="AK742" s="1914"/>
      <c r="AL742" s="1914"/>
      <c r="AM742" s="585"/>
      <c r="AN742" s="569"/>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5" customFormat="1">
      <c r="A743" s="585"/>
      <c r="B743" s="571"/>
      <c r="C743" s="970"/>
      <c r="D743" s="698"/>
      <c r="E743" s="1967"/>
      <c r="F743" s="1967"/>
      <c r="G743" s="1967"/>
      <c r="H743" s="1967"/>
      <c r="I743" s="1967"/>
      <c r="J743" s="1967"/>
      <c r="K743" s="1967"/>
      <c r="L743" s="1967"/>
      <c r="M743" s="1967"/>
      <c r="N743" s="1967"/>
      <c r="O743" s="1967"/>
      <c r="P743" s="1967"/>
      <c r="Q743" s="1967"/>
      <c r="R743" s="1967"/>
      <c r="S743" s="1967"/>
      <c r="T743" s="1967"/>
      <c r="U743" s="1967"/>
      <c r="V743" s="1967"/>
      <c r="W743" s="1967"/>
      <c r="X743" s="1967"/>
      <c r="Y743" s="1967"/>
      <c r="Z743" s="1967"/>
      <c r="AA743" s="1967"/>
      <c r="AB743" s="1967"/>
      <c r="AC743" s="571"/>
      <c r="AD743" s="571"/>
      <c r="AE743" s="571"/>
      <c r="AF743" s="571"/>
      <c r="AG743" s="571"/>
      <c r="AH743" s="571"/>
      <c r="AI743" s="571"/>
      <c r="AJ743" s="571"/>
      <c r="AK743" s="571"/>
      <c r="AL743" s="571"/>
      <c r="AM743" s="585"/>
      <c r="AN743" s="569"/>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5" customFormat="1">
      <c r="A744" s="585"/>
      <c r="B744" s="651"/>
      <c r="C744" s="977"/>
      <c r="D744" s="698"/>
      <c r="E744" s="651"/>
      <c r="F744" s="651"/>
      <c r="G744" s="651"/>
      <c r="H744" s="651"/>
      <c r="I744" s="651"/>
      <c r="J744" s="651"/>
      <c r="K744" s="651"/>
      <c r="L744" s="651"/>
      <c r="M744" s="651"/>
      <c r="N744" s="651"/>
      <c r="O744" s="651"/>
      <c r="P744" s="651"/>
      <c r="Q744" s="651"/>
      <c r="R744" s="651"/>
      <c r="S744" s="651"/>
      <c r="T744" s="651"/>
      <c r="U744" s="651"/>
      <c r="V744" s="651"/>
      <c r="W744" s="651"/>
      <c r="X744" s="651"/>
      <c r="Y744" s="651"/>
      <c r="Z744" s="651"/>
      <c r="AA744" s="651"/>
      <c r="AB744" s="651"/>
      <c r="AC744" s="571"/>
      <c r="AD744" s="571"/>
      <c r="AE744" s="651"/>
      <c r="AF744" s="651"/>
      <c r="AG744" s="651"/>
      <c r="AH744" s="651"/>
      <c r="AI744" s="651"/>
      <c r="AJ744" s="651"/>
      <c r="AK744" s="571"/>
      <c r="AL744" s="571"/>
      <c r="AM744" s="585"/>
      <c r="AN744" s="569"/>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5" customFormat="1">
      <c r="A745" s="672"/>
      <c r="B745" s="571"/>
      <c r="C745" s="968"/>
      <c r="D745" s="698" t="s">
        <v>518</v>
      </c>
      <c r="E745" s="1967" t="s">
        <v>1618</v>
      </c>
      <c r="F745" s="1967"/>
      <c r="G745" s="1967"/>
      <c r="H745" s="1967"/>
      <c r="I745" s="1967"/>
      <c r="J745" s="1967"/>
      <c r="K745" s="1967"/>
      <c r="L745" s="1967"/>
      <c r="M745" s="1967"/>
      <c r="N745" s="1967"/>
      <c r="O745" s="1967"/>
      <c r="P745" s="1967"/>
      <c r="Q745" s="1967"/>
      <c r="R745" s="1967"/>
      <c r="S745" s="1967"/>
      <c r="T745" s="1967"/>
      <c r="U745" s="1967"/>
      <c r="V745" s="1967"/>
      <c r="W745" s="1967"/>
      <c r="X745" s="1967"/>
      <c r="Y745" s="1967"/>
      <c r="Z745" s="1967"/>
      <c r="AA745" s="1967"/>
      <c r="AB745" s="1967"/>
      <c r="AC745" s="571"/>
      <c r="AD745" s="571"/>
      <c r="AE745" s="571"/>
      <c r="AF745" s="1914" t="s">
        <v>1597</v>
      </c>
      <c r="AG745" s="1914"/>
      <c r="AH745" s="1914"/>
      <c r="AI745" s="1914"/>
      <c r="AJ745" s="1914"/>
      <c r="AK745" s="1914"/>
      <c r="AL745" s="1914"/>
      <c r="AM745" s="585"/>
      <c r="AN745" s="569"/>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5" customFormat="1" ht="12.75" customHeight="1">
      <c r="A746" s="672"/>
      <c r="B746" s="571"/>
      <c r="C746" s="968"/>
      <c r="D746" s="698"/>
      <c r="E746" s="1967"/>
      <c r="F746" s="1967"/>
      <c r="G746" s="1967"/>
      <c r="H746" s="1967"/>
      <c r="I746" s="1967"/>
      <c r="J746" s="1967"/>
      <c r="K746" s="1967"/>
      <c r="L746" s="1967"/>
      <c r="M746" s="1967"/>
      <c r="N746" s="1967"/>
      <c r="O746" s="1967"/>
      <c r="P746" s="1967"/>
      <c r="Q746" s="1967"/>
      <c r="R746" s="1967"/>
      <c r="S746" s="1967"/>
      <c r="T746" s="1967"/>
      <c r="U746" s="1967"/>
      <c r="V746" s="1967"/>
      <c r="W746" s="1967"/>
      <c r="X746" s="1967"/>
      <c r="Y746" s="1967"/>
      <c r="Z746" s="1967"/>
      <c r="AA746" s="1967"/>
      <c r="AB746" s="1967"/>
      <c r="AC746" s="571"/>
      <c r="AD746" s="571"/>
      <c r="AE746" s="629"/>
      <c r="AF746" s="571"/>
      <c r="AG746" s="571"/>
      <c r="AH746" s="571"/>
      <c r="AI746" s="571"/>
      <c r="AJ746" s="571"/>
      <c r="AK746" s="571"/>
      <c r="AL746" s="571"/>
      <c r="AM746" s="585"/>
      <c r="AN746" s="569"/>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5" customFormat="1">
      <c r="A747" s="585"/>
      <c r="B747" s="571"/>
      <c r="C747" s="970"/>
      <c r="D747" s="571"/>
      <c r="E747" s="678"/>
      <c r="F747" s="678"/>
      <c r="G747" s="678"/>
      <c r="H747" s="678"/>
      <c r="I747" s="678"/>
      <c r="J747" s="678"/>
      <c r="K747" s="678"/>
      <c r="L747" s="678"/>
      <c r="M747" s="678"/>
      <c r="N747" s="678"/>
      <c r="O747" s="678"/>
      <c r="P747" s="678"/>
      <c r="Q747" s="678"/>
      <c r="R747" s="678"/>
      <c r="S747" s="678"/>
      <c r="T747" s="678"/>
      <c r="U747" s="678"/>
      <c r="V747" s="678"/>
      <c r="W747" s="678"/>
      <c r="X747" s="678"/>
      <c r="Y747" s="678"/>
      <c r="Z747" s="678"/>
      <c r="AA747" s="678"/>
      <c r="AB747" s="678"/>
      <c r="AC747" s="571"/>
      <c r="AD747" s="571"/>
      <c r="AE747" s="651"/>
      <c r="AF747" s="651"/>
      <c r="AG747" s="651"/>
      <c r="AH747" s="651"/>
      <c r="AI747" s="571"/>
      <c r="AJ747" s="571"/>
      <c r="AK747" s="571"/>
      <c r="AL747" s="571"/>
      <c r="AM747" s="585"/>
      <c r="AN747" s="569"/>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5" customFormat="1" ht="12.75" customHeight="1">
      <c r="A748" s="585"/>
      <c r="B748" s="571"/>
      <c r="C748" s="571"/>
      <c r="D748" s="571" t="s">
        <v>1572</v>
      </c>
      <c r="E748" s="973"/>
      <c r="F748" s="973"/>
      <c r="G748" s="973"/>
      <c r="H748" s="1996" t="s">
        <v>600</v>
      </c>
      <c r="I748" s="1996"/>
      <c r="J748" s="678"/>
      <c r="K748" s="678"/>
      <c r="L748" s="678"/>
      <c r="M748" s="678"/>
      <c r="N748" s="678"/>
      <c r="O748" s="678"/>
      <c r="P748" s="678"/>
      <c r="Q748" s="571"/>
      <c r="R748" s="571"/>
      <c r="S748" s="571"/>
      <c r="T748" s="571"/>
      <c r="U748" s="571"/>
      <c r="V748" s="571"/>
      <c r="W748" s="678"/>
      <c r="X748" s="678"/>
      <c r="Y748" s="678"/>
      <c r="Z748" s="678"/>
      <c r="AA748" s="678"/>
      <c r="AB748" s="678"/>
      <c r="AC748" s="571"/>
      <c r="AD748" s="571"/>
      <c r="AE748" s="651"/>
      <c r="AF748" s="651"/>
      <c r="AG748" s="651"/>
      <c r="AH748" s="651"/>
      <c r="AI748" s="571"/>
      <c r="AJ748" s="571"/>
      <c r="AK748" s="571"/>
      <c r="AL748" s="571"/>
      <c r="AM748" s="585"/>
      <c r="AN748" s="569"/>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5" customFormat="1" ht="12.75" customHeight="1">
      <c r="A749" s="585"/>
      <c r="B749" s="651"/>
      <c r="C749" s="977"/>
      <c r="D749" s="651"/>
      <c r="E749" s="651"/>
      <c r="F749" s="651"/>
      <c r="G749" s="651"/>
      <c r="H749" s="651"/>
      <c r="I749" s="651"/>
      <c r="J749" s="651"/>
      <c r="K749" s="651"/>
      <c r="L749" s="651"/>
      <c r="M749" s="651"/>
      <c r="N749" s="651"/>
      <c r="O749" s="651"/>
      <c r="P749" s="651"/>
      <c r="Q749" s="651"/>
      <c r="R749" s="651"/>
      <c r="S749" s="651"/>
      <c r="T749" s="651"/>
      <c r="U749" s="651"/>
      <c r="V749" s="651"/>
      <c r="W749" s="651"/>
      <c r="X749" s="651"/>
      <c r="Y749" s="651"/>
      <c r="Z749" s="651"/>
      <c r="AA749" s="651"/>
      <c r="AB749" s="651"/>
      <c r="AC749" s="651"/>
      <c r="AD749" s="651"/>
      <c r="AE749" s="651"/>
      <c r="AF749" s="651"/>
      <c r="AG749" s="651"/>
      <c r="AH749" s="651"/>
      <c r="AI749" s="571"/>
      <c r="AJ749" s="571"/>
      <c r="AK749" s="571"/>
      <c r="AL749" s="571"/>
      <c r="AM749" s="585"/>
      <c r="AN749" s="569"/>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5" customFormat="1" ht="13.9" customHeight="1">
      <c r="A750" s="641"/>
      <c r="B750" s="700"/>
      <c r="C750" s="992"/>
      <c r="D750" s="700"/>
      <c r="E750" s="700"/>
      <c r="F750" s="700"/>
      <c r="G750" s="700"/>
      <c r="H750" s="700"/>
      <c r="I750" s="700"/>
      <c r="J750" s="700"/>
      <c r="K750" s="700"/>
      <c r="L750" s="700"/>
      <c r="M750" s="700"/>
      <c r="N750" s="700"/>
      <c r="O750" s="700"/>
      <c r="P750" s="700"/>
      <c r="Q750" s="700"/>
      <c r="R750" s="700"/>
      <c r="S750" s="700"/>
      <c r="T750" s="700"/>
      <c r="U750" s="700"/>
      <c r="V750" s="700"/>
      <c r="W750" s="700"/>
      <c r="X750" s="700"/>
      <c r="Y750" s="700"/>
      <c r="Z750" s="700"/>
      <c r="AA750" s="700"/>
      <c r="AB750" s="700"/>
      <c r="AC750" s="700"/>
      <c r="AD750" s="700"/>
      <c r="AE750" s="700"/>
      <c r="AF750" s="700"/>
      <c r="AG750" s="700"/>
      <c r="AH750" s="636"/>
      <c r="AI750" s="600" t="s">
        <v>1619</v>
      </c>
      <c r="AJ750" s="1947">
        <f>VLOOKUP($H$748,$AO$683:$AP$685,2,FALSE)</f>
        <v>0</v>
      </c>
      <c r="AK750" s="1949"/>
      <c r="AL750" s="630"/>
      <c r="AM750" s="585"/>
      <c r="AN750" s="569"/>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5" customFormat="1">
      <c r="A751" s="585"/>
      <c r="B751" s="651"/>
      <c r="C751" s="977"/>
      <c r="D751" s="651"/>
      <c r="E751" s="651"/>
      <c r="F751" s="651"/>
      <c r="G751" s="651"/>
      <c r="H751" s="651"/>
      <c r="I751" s="651"/>
      <c r="J751" s="651"/>
      <c r="K751" s="651"/>
      <c r="L751" s="651"/>
      <c r="M751" s="651"/>
      <c r="N751" s="651"/>
      <c r="O751" s="651"/>
      <c r="P751" s="651"/>
      <c r="Q751" s="651"/>
      <c r="R751" s="651"/>
      <c r="S751" s="651"/>
      <c r="T751" s="651"/>
      <c r="U751" s="651"/>
      <c r="V751" s="651"/>
      <c r="W751" s="651"/>
      <c r="X751" s="651"/>
      <c r="Y751" s="651"/>
      <c r="Z751" s="651"/>
      <c r="AA751" s="651"/>
      <c r="AB751" s="651"/>
      <c r="AC751" s="651"/>
      <c r="AD751" s="651"/>
      <c r="AE751" s="651"/>
      <c r="AF751" s="651"/>
      <c r="AG751" s="651"/>
      <c r="AH751" s="571"/>
      <c r="AI751" s="578"/>
      <c r="AJ751" s="630"/>
      <c r="AK751" s="630"/>
      <c r="AL751" s="630"/>
      <c r="AM751" s="585"/>
      <c r="AN751" s="569"/>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5" customFormat="1">
      <c r="A752" s="585"/>
      <c r="B752" s="651"/>
      <c r="C752" s="574" t="s">
        <v>1608</v>
      </c>
      <c r="D752" s="651"/>
      <c r="E752" s="651"/>
      <c r="F752" s="651"/>
      <c r="G752" s="651"/>
      <c r="H752" s="651"/>
      <c r="I752" s="651"/>
      <c r="J752" s="651"/>
      <c r="K752" s="651"/>
      <c r="L752" s="651"/>
      <c r="M752" s="651"/>
      <c r="N752" s="651"/>
      <c r="O752" s="651"/>
      <c r="P752" s="651"/>
      <c r="Q752" s="651"/>
      <c r="R752" s="651"/>
      <c r="S752" s="651"/>
      <c r="T752" s="651"/>
      <c r="U752" s="651"/>
      <c r="V752" s="651"/>
      <c r="W752" s="651"/>
      <c r="X752" s="651"/>
      <c r="Y752" s="651"/>
      <c r="Z752" s="651"/>
      <c r="AA752" s="651"/>
      <c r="AB752" s="651"/>
      <c r="AC752" s="651"/>
      <c r="AD752" s="651"/>
      <c r="AE752" s="651"/>
      <c r="AF752" s="651"/>
      <c r="AG752" s="651"/>
      <c r="AH752" s="571"/>
      <c r="AI752" s="578"/>
      <c r="AJ752" s="630"/>
      <c r="AK752" s="630"/>
      <c r="AL752" s="630"/>
      <c r="AM752" s="585"/>
      <c r="AN752" s="569"/>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81" s="605" customFormat="1">
      <c r="A753" s="585"/>
      <c r="B753" s="651"/>
      <c r="C753" s="977"/>
      <c r="D753" s="651"/>
      <c r="E753" s="651"/>
      <c r="F753" s="651"/>
      <c r="G753" s="651"/>
      <c r="H753" s="651"/>
      <c r="I753" s="651"/>
      <c r="J753" s="651"/>
      <c r="K753" s="651"/>
      <c r="L753" s="651"/>
      <c r="M753" s="651"/>
      <c r="N753" s="651"/>
      <c r="O753" s="651"/>
      <c r="P753" s="651"/>
      <c r="Q753" s="651"/>
      <c r="R753" s="651"/>
      <c r="S753" s="651"/>
      <c r="T753" s="651"/>
      <c r="U753" s="651"/>
      <c r="V753" s="651"/>
      <c r="W753" s="651"/>
      <c r="X753" s="651"/>
      <c r="Y753" s="651"/>
      <c r="Z753" s="651"/>
      <c r="AA753" s="651"/>
      <c r="AB753" s="651"/>
      <c r="AC753" s="651"/>
      <c r="AD753" s="651"/>
      <c r="AE753" s="651"/>
      <c r="AF753" s="651"/>
      <c r="AG753" s="651"/>
      <c r="AH753" s="571"/>
      <c r="AI753" s="578"/>
      <c r="AJ753" s="630"/>
      <c r="AK753" s="630"/>
      <c r="AL753" s="630"/>
      <c r="AM753" s="585"/>
      <c r="AN753" s="719"/>
    </row>
    <row r="754" spans="1:81" s="605" customFormat="1" ht="13.7" customHeight="1">
      <c r="A754" s="585"/>
      <c r="B754" s="651"/>
      <c r="C754" s="977"/>
      <c r="D754" s="698" t="s">
        <v>697</v>
      </c>
      <c r="E754" s="1967" t="s">
        <v>1952</v>
      </c>
      <c r="F754" s="1967"/>
      <c r="G754" s="1967"/>
      <c r="H754" s="1967"/>
      <c r="I754" s="1967"/>
      <c r="J754" s="1967"/>
      <c r="K754" s="1967"/>
      <c r="L754" s="1967"/>
      <c r="M754" s="1967"/>
      <c r="N754" s="1967"/>
      <c r="O754" s="1967"/>
      <c r="P754" s="1967"/>
      <c r="Q754" s="1967"/>
      <c r="R754" s="1967"/>
      <c r="S754" s="1967"/>
      <c r="T754" s="1967"/>
      <c r="U754" s="1967"/>
      <c r="V754" s="1967"/>
      <c r="W754" s="1967"/>
      <c r="X754" s="1967"/>
      <c r="Y754" s="1967"/>
      <c r="Z754" s="1967"/>
      <c r="AA754" s="1967"/>
      <c r="AB754" s="1967"/>
      <c r="AC754" s="1967"/>
      <c r="AD754" s="1967"/>
      <c r="AE754" s="571"/>
      <c r="AF754" s="1914" t="s">
        <v>1580</v>
      </c>
      <c r="AG754" s="1914"/>
      <c r="AH754" s="1914"/>
      <c r="AI754" s="1914"/>
      <c r="AJ754" s="1914"/>
      <c r="AK754" s="1914"/>
      <c r="AL754" s="1914"/>
      <c r="AM754" s="648"/>
      <c r="AN754" s="719"/>
    </row>
    <row r="755" spans="1:81" s="605" customFormat="1" ht="13.7" customHeight="1">
      <c r="A755" s="585"/>
      <c r="B755" s="651"/>
      <c r="C755" s="977"/>
      <c r="D755" s="698"/>
      <c r="E755" s="1967"/>
      <c r="F755" s="1967"/>
      <c r="G755" s="1967"/>
      <c r="H755" s="1967"/>
      <c r="I755" s="1967"/>
      <c r="J755" s="1967"/>
      <c r="K755" s="1967"/>
      <c r="L755" s="1967"/>
      <c r="M755" s="1967"/>
      <c r="N755" s="1967"/>
      <c r="O755" s="1967"/>
      <c r="P755" s="1967"/>
      <c r="Q755" s="1967"/>
      <c r="R755" s="1967"/>
      <c r="S755" s="1967"/>
      <c r="T755" s="1967"/>
      <c r="U755" s="1967"/>
      <c r="V755" s="1967"/>
      <c r="W755" s="1967"/>
      <c r="X755" s="1967"/>
      <c r="Y755" s="1967"/>
      <c r="Z755" s="1967"/>
      <c r="AA755" s="1967"/>
      <c r="AB755" s="1967"/>
      <c r="AC755" s="1967"/>
      <c r="AD755" s="1967"/>
      <c r="AE755" s="571"/>
      <c r="AF755" s="629"/>
      <c r="AG755" s="629"/>
      <c r="AH755" s="629"/>
      <c r="AI755" s="629"/>
      <c r="AJ755" s="629"/>
      <c r="AK755" s="629"/>
      <c r="AL755" s="629"/>
      <c r="AM755" s="648"/>
      <c r="AN755" s="719"/>
    </row>
    <row r="756" spans="1:81" s="605" customFormat="1">
      <c r="A756" s="585"/>
      <c r="B756" s="651"/>
      <c r="C756" s="977"/>
      <c r="D756" s="698"/>
      <c r="E756" s="1967"/>
      <c r="F756" s="1967"/>
      <c r="G756" s="1967"/>
      <c r="H756" s="1967"/>
      <c r="I756" s="1967"/>
      <c r="J756" s="1967"/>
      <c r="K756" s="1967"/>
      <c r="L756" s="1967"/>
      <c r="M756" s="1967"/>
      <c r="N756" s="1967"/>
      <c r="O756" s="1967"/>
      <c r="P756" s="1967"/>
      <c r="Q756" s="1967"/>
      <c r="R756" s="1967"/>
      <c r="S756" s="1967"/>
      <c r="T756" s="1967"/>
      <c r="U756" s="1967"/>
      <c r="V756" s="1967"/>
      <c r="W756" s="1967"/>
      <c r="X756" s="1967"/>
      <c r="Y756" s="1967"/>
      <c r="Z756" s="1967"/>
      <c r="AA756" s="1967"/>
      <c r="AB756" s="1967"/>
      <c r="AC756" s="1967"/>
      <c r="AD756" s="1967"/>
      <c r="AE756" s="571"/>
      <c r="AF756" s="571"/>
      <c r="AG756" s="571"/>
      <c r="AH756" s="571"/>
      <c r="AI756" s="571"/>
      <c r="AJ756" s="571"/>
      <c r="AK756" s="571"/>
      <c r="AL756" s="629"/>
      <c r="AM756" s="648"/>
      <c r="AN756" s="569"/>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row>
    <row r="757" spans="1:81" s="605" customFormat="1" ht="18.600000000000001" customHeight="1">
      <c r="A757" s="585"/>
      <c r="B757" s="651"/>
      <c r="C757" s="977"/>
      <c r="D757" s="698"/>
      <c r="E757" s="1967"/>
      <c r="F757" s="1967"/>
      <c r="G757" s="1967"/>
      <c r="H757" s="1967"/>
      <c r="I757" s="1967"/>
      <c r="J757" s="1967"/>
      <c r="K757" s="1967"/>
      <c r="L757" s="1967"/>
      <c r="M757" s="1967"/>
      <c r="N757" s="1967"/>
      <c r="O757" s="1967"/>
      <c r="P757" s="1967"/>
      <c r="Q757" s="1967"/>
      <c r="R757" s="1967"/>
      <c r="S757" s="1967"/>
      <c r="T757" s="1967"/>
      <c r="U757" s="1967"/>
      <c r="V757" s="1967"/>
      <c r="W757" s="1967"/>
      <c r="X757" s="1967"/>
      <c r="Y757" s="1967"/>
      <c r="Z757" s="1967"/>
      <c r="AA757" s="1967"/>
      <c r="AB757" s="1967"/>
      <c r="AC757" s="1967"/>
      <c r="AD757" s="1967"/>
      <c r="AE757" s="629"/>
      <c r="AF757" s="629"/>
      <c r="AG757" s="629"/>
      <c r="AH757" s="629"/>
      <c r="AI757" s="629"/>
      <c r="AJ757" s="629"/>
      <c r="AK757" s="629"/>
      <c r="AL757" s="629"/>
      <c r="AM757" s="648"/>
      <c r="AN757" s="569"/>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row>
    <row r="758" spans="1:81" s="585" customFormat="1" ht="12.75" customHeight="1">
      <c r="B758" s="651"/>
      <c r="C758" s="977"/>
      <c r="D758" s="698"/>
      <c r="E758" s="945"/>
      <c r="F758" s="945"/>
      <c r="G758" s="945"/>
      <c r="H758" s="945"/>
      <c r="I758" s="945"/>
      <c r="J758" s="945"/>
      <c r="K758" s="945"/>
      <c r="L758" s="945"/>
      <c r="M758" s="945"/>
      <c r="N758" s="945"/>
      <c r="O758" s="945"/>
      <c r="P758" s="945"/>
      <c r="Q758" s="945"/>
      <c r="R758" s="945"/>
      <c r="S758" s="945"/>
      <c r="T758" s="945"/>
      <c r="U758" s="945"/>
      <c r="V758" s="945"/>
      <c r="W758" s="945"/>
      <c r="X758" s="945"/>
      <c r="Y758" s="945"/>
      <c r="Z758" s="945"/>
      <c r="AA758" s="945"/>
      <c r="AB758" s="945"/>
      <c r="AC758" s="945"/>
      <c r="AD758" s="945"/>
      <c r="AE758" s="629"/>
      <c r="AF758" s="571"/>
      <c r="AG758" s="571"/>
      <c r="AH758" s="571"/>
      <c r="AI758" s="571"/>
      <c r="AJ758" s="571"/>
      <c r="AK758" s="571"/>
      <c r="AL758" s="571"/>
      <c r="AM758" s="648"/>
      <c r="AN758" s="632"/>
    </row>
    <row r="759" spans="1:81" s="585" customFormat="1" ht="12.75" customHeight="1">
      <c r="B759" s="651"/>
      <c r="C759" s="977"/>
      <c r="D759" s="698" t="s">
        <v>518</v>
      </c>
      <c r="E759" s="2002" t="s">
        <v>1957</v>
      </c>
      <c r="F759" s="2002"/>
      <c r="G759" s="2002"/>
      <c r="H759" s="2002"/>
      <c r="I759" s="2002"/>
      <c r="J759" s="2002"/>
      <c r="K759" s="2002"/>
      <c r="L759" s="2002"/>
      <c r="M759" s="2002"/>
      <c r="N759" s="2002"/>
      <c r="O759" s="2002"/>
      <c r="P759" s="2002"/>
      <c r="Q759" s="2002"/>
      <c r="R759" s="2002"/>
      <c r="S759" s="2002"/>
      <c r="T759" s="2002"/>
      <c r="U759" s="2002"/>
      <c r="V759" s="2002"/>
      <c r="W759" s="2002"/>
      <c r="X759" s="2002"/>
      <c r="Y759" s="2002"/>
      <c r="Z759" s="2002"/>
      <c r="AA759" s="2002"/>
      <c r="AB759" s="2002"/>
      <c r="AC759" s="2002"/>
      <c r="AD759" s="2002"/>
      <c r="AE759" s="571"/>
      <c r="AF759" s="1914" t="s">
        <v>1524</v>
      </c>
      <c r="AG759" s="1914"/>
      <c r="AH759" s="1914"/>
      <c r="AI759" s="1914"/>
      <c r="AJ759" s="1914"/>
      <c r="AK759" s="1914"/>
      <c r="AL759" s="1914"/>
      <c r="AM759" s="648"/>
      <c r="AN759" s="632"/>
    </row>
    <row r="760" spans="1:81" s="585" customFormat="1" ht="12.75" customHeight="1">
      <c r="B760" s="651"/>
      <c r="C760" s="977"/>
      <c r="D760" s="698"/>
      <c r="E760" s="2002"/>
      <c r="F760" s="2002"/>
      <c r="G760" s="2002"/>
      <c r="H760" s="2002"/>
      <c r="I760" s="2002"/>
      <c r="J760" s="2002"/>
      <c r="K760" s="2002"/>
      <c r="L760" s="2002"/>
      <c r="M760" s="2002"/>
      <c r="N760" s="2002"/>
      <c r="O760" s="2002"/>
      <c r="P760" s="2002"/>
      <c r="Q760" s="2002"/>
      <c r="R760" s="2002"/>
      <c r="S760" s="2002"/>
      <c r="T760" s="2002"/>
      <c r="U760" s="2002"/>
      <c r="V760" s="2002"/>
      <c r="W760" s="2002"/>
      <c r="X760" s="2002"/>
      <c r="Y760" s="2002"/>
      <c r="Z760" s="2002"/>
      <c r="AA760" s="2002"/>
      <c r="AB760" s="2002"/>
      <c r="AC760" s="2002"/>
      <c r="AD760" s="2002"/>
      <c r="AE760" s="629"/>
      <c r="AF760" s="629"/>
      <c r="AG760" s="629"/>
      <c r="AH760" s="629"/>
      <c r="AI760" s="629"/>
      <c r="AJ760" s="629"/>
      <c r="AK760" s="629"/>
      <c r="AL760" s="629"/>
      <c r="AM760" s="648"/>
      <c r="AN760" s="632"/>
    </row>
    <row r="761" spans="1:81" s="585" customFormat="1" ht="12.75" customHeight="1">
      <c r="B761" s="651"/>
      <c r="C761" s="977"/>
      <c r="D761" s="698"/>
      <c r="E761" s="2002"/>
      <c r="F761" s="2002"/>
      <c r="G761" s="2002"/>
      <c r="H761" s="2002"/>
      <c r="I761" s="2002"/>
      <c r="J761" s="2002"/>
      <c r="K761" s="2002"/>
      <c r="L761" s="2002"/>
      <c r="M761" s="2002"/>
      <c r="N761" s="2002"/>
      <c r="O761" s="2002"/>
      <c r="P761" s="2002"/>
      <c r="Q761" s="2002"/>
      <c r="R761" s="2002"/>
      <c r="S761" s="2002"/>
      <c r="T761" s="2002"/>
      <c r="U761" s="2002"/>
      <c r="V761" s="2002"/>
      <c r="W761" s="2002"/>
      <c r="X761" s="2002"/>
      <c r="Y761" s="2002"/>
      <c r="Z761" s="2002"/>
      <c r="AA761" s="2002"/>
      <c r="AB761" s="2002"/>
      <c r="AC761" s="2002"/>
      <c r="AD761" s="2002"/>
      <c r="AE761" s="629"/>
      <c r="AF761" s="629"/>
      <c r="AG761" s="629"/>
      <c r="AH761" s="629"/>
      <c r="AI761" s="629"/>
      <c r="AJ761" s="629"/>
      <c r="AK761" s="629"/>
      <c r="AL761" s="629"/>
      <c r="AM761" s="648"/>
      <c r="AN761" s="632"/>
    </row>
    <row r="762" spans="1:81" s="585" customFormat="1" ht="12.75" customHeight="1">
      <c r="B762" s="651"/>
      <c r="C762" s="977"/>
      <c r="D762" s="698"/>
      <c r="E762" s="2002"/>
      <c r="F762" s="2002"/>
      <c r="G762" s="2002"/>
      <c r="H762" s="2002"/>
      <c r="I762" s="2002"/>
      <c r="J762" s="2002"/>
      <c r="K762" s="2002"/>
      <c r="L762" s="2002"/>
      <c r="M762" s="2002"/>
      <c r="N762" s="2002"/>
      <c r="O762" s="2002"/>
      <c r="P762" s="2002"/>
      <c r="Q762" s="2002"/>
      <c r="R762" s="2002"/>
      <c r="S762" s="2002"/>
      <c r="T762" s="2002"/>
      <c r="U762" s="2002"/>
      <c r="V762" s="2002"/>
      <c r="W762" s="2002"/>
      <c r="X762" s="2002"/>
      <c r="Y762" s="2002"/>
      <c r="Z762" s="2002"/>
      <c r="AA762" s="2002"/>
      <c r="AB762" s="2002"/>
      <c r="AC762" s="2002"/>
      <c r="AD762" s="2002"/>
      <c r="AE762" s="629"/>
      <c r="AF762" s="629"/>
      <c r="AG762" s="629"/>
      <c r="AH762" s="629"/>
      <c r="AI762" s="629"/>
      <c r="AJ762" s="629"/>
      <c r="AK762" s="629"/>
      <c r="AL762" s="629"/>
      <c r="AM762" s="648"/>
      <c r="AN762" s="632"/>
    </row>
    <row r="763" spans="1:81" s="585" customFormat="1" ht="12.75" customHeight="1">
      <c r="A763" s="605"/>
      <c r="B763" s="571"/>
      <c r="C763" s="571"/>
      <c r="D763" s="571"/>
      <c r="E763" s="571"/>
      <c r="F763" s="571"/>
      <c r="G763" s="571"/>
      <c r="H763" s="571"/>
      <c r="I763" s="571"/>
      <c r="J763" s="571"/>
      <c r="K763" s="571"/>
      <c r="L763" s="571"/>
      <c r="M763" s="571"/>
      <c r="N763" s="571"/>
      <c r="O763" s="571"/>
      <c r="P763" s="571"/>
      <c r="Q763" s="571"/>
      <c r="R763" s="571"/>
      <c r="S763" s="571"/>
      <c r="T763" s="571"/>
      <c r="U763" s="571"/>
      <c r="V763" s="571"/>
      <c r="W763" s="571"/>
      <c r="X763" s="571"/>
      <c r="Y763" s="571"/>
      <c r="Z763" s="571"/>
      <c r="AA763" s="571"/>
      <c r="AB763" s="571"/>
      <c r="AC763" s="571"/>
      <c r="AD763" s="571"/>
      <c r="AE763" s="571"/>
      <c r="AF763" s="571"/>
      <c r="AG763" s="571"/>
      <c r="AH763" s="571"/>
      <c r="AI763" s="571"/>
      <c r="AJ763" s="571"/>
      <c r="AK763" s="571"/>
      <c r="AL763" s="571"/>
      <c r="AM763" s="605"/>
      <c r="AN763" s="632"/>
    </row>
    <row r="764" spans="1:81" s="585" customFormat="1" ht="12.75" customHeight="1">
      <c r="B764" s="651"/>
      <c r="C764" s="977"/>
      <c r="D764" s="571" t="s">
        <v>1572</v>
      </c>
      <c r="E764" s="973"/>
      <c r="F764" s="973"/>
      <c r="G764" s="973"/>
      <c r="H764" s="1996" t="s">
        <v>697</v>
      </c>
      <c r="I764" s="1996"/>
      <c r="J764" s="678"/>
      <c r="K764" s="678"/>
      <c r="L764" s="678"/>
      <c r="M764" s="678"/>
      <c r="N764" s="678"/>
      <c r="O764" s="678"/>
      <c r="P764" s="678"/>
      <c r="Q764" s="678"/>
      <c r="R764" s="678"/>
      <c r="S764" s="678"/>
      <c r="T764" s="678"/>
      <c r="U764" s="678"/>
      <c r="V764" s="678"/>
      <c r="W764" s="678"/>
      <c r="X764" s="678"/>
      <c r="Y764" s="678"/>
      <c r="Z764" s="678"/>
      <c r="AA764" s="678"/>
      <c r="AB764" s="678"/>
      <c r="AC764" s="678"/>
      <c r="AD764" s="678"/>
      <c r="AE764" s="678"/>
      <c r="AF764" s="678"/>
      <c r="AG764" s="651"/>
      <c r="AH764" s="571"/>
      <c r="AI764" s="578"/>
      <c r="AJ764" s="630"/>
      <c r="AK764" s="630"/>
      <c r="AL764" s="630"/>
      <c r="AN764" s="632"/>
    </row>
    <row r="765" spans="1:81" s="585" customFormat="1" ht="12.75" customHeight="1">
      <c r="B765" s="651"/>
      <c r="C765" s="977"/>
      <c r="D765" s="651"/>
      <c r="E765" s="651"/>
      <c r="F765" s="651"/>
      <c r="G765" s="651"/>
      <c r="H765" s="651"/>
      <c r="I765" s="651"/>
      <c r="J765" s="651"/>
      <c r="K765" s="651"/>
      <c r="L765" s="651"/>
      <c r="M765" s="651"/>
      <c r="N765" s="651"/>
      <c r="O765" s="651"/>
      <c r="P765" s="651"/>
      <c r="Q765" s="651"/>
      <c r="R765" s="651"/>
      <c r="S765" s="651"/>
      <c r="T765" s="651"/>
      <c r="U765" s="651"/>
      <c r="V765" s="651"/>
      <c r="W765" s="651"/>
      <c r="X765" s="651"/>
      <c r="Y765" s="651"/>
      <c r="Z765" s="651"/>
      <c r="AA765" s="651"/>
      <c r="AB765" s="651"/>
      <c r="AC765" s="651"/>
      <c r="AD765" s="651"/>
      <c r="AE765" s="651"/>
      <c r="AF765" s="651"/>
      <c r="AG765" s="651"/>
      <c r="AH765" s="571"/>
      <c r="AI765" s="578"/>
      <c r="AJ765" s="630"/>
      <c r="AK765" s="630"/>
      <c r="AL765" s="630"/>
      <c r="AN765" s="632"/>
    </row>
    <row r="766" spans="1:81" s="585" customFormat="1" ht="12.75" customHeight="1">
      <c r="A766" s="641"/>
      <c r="B766" s="700"/>
      <c r="C766" s="992"/>
      <c r="D766" s="700"/>
      <c r="E766" s="700"/>
      <c r="F766" s="700"/>
      <c r="G766" s="700"/>
      <c r="H766" s="700"/>
      <c r="I766" s="700"/>
      <c r="J766" s="700"/>
      <c r="K766" s="700"/>
      <c r="L766" s="700"/>
      <c r="M766" s="700"/>
      <c r="N766" s="700"/>
      <c r="O766" s="700"/>
      <c r="P766" s="700"/>
      <c r="Q766" s="700"/>
      <c r="R766" s="700"/>
      <c r="S766" s="700"/>
      <c r="T766" s="700"/>
      <c r="U766" s="700"/>
      <c r="V766" s="700"/>
      <c r="W766" s="700"/>
      <c r="X766" s="700"/>
      <c r="Y766" s="700"/>
      <c r="Z766" s="700"/>
      <c r="AA766" s="700"/>
      <c r="AB766" s="700"/>
      <c r="AC766" s="700"/>
      <c r="AD766" s="700"/>
      <c r="AE766" s="700"/>
      <c r="AF766" s="700"/>
      <c r="AG766" s="700"/>
      <c r="AH766" s="636"/>
      <c r="AI766" s="600" t="s">
        <v>1620</v>
      </c>
      <c r="AJ766" s="1947">
        <f>VLOOKUP($H$764,$AP$705:$AQ$707,2,FALSE)</f>
        <v>2</v>
      </c>
      <c r="AK766" s="1949"/>
      <c r="AL766" s="630"/>
      <c r="AN766" s="632"/>
    </row>
    <row r="767" spans="1:81" s="605" customFormat="1">
      <c r="A767" s="585"/>
      <c r="B767" s="651"/>
      <c r="C767" s="977"/>
      <c r="D767" s="651"/>
      <c r="E767" s="651"/>
      <c r="F767" s="651"/>
      <c r="G767" s="651"/>
      <c r="H767" s="651"/>
      <c r="I767" s="651"/>
      <c r="J767" s="651"/>
      <c r="K767" s="651"/>
      <c r="L767" s="651"/>
      <c r="M767" s="651"/>
      <c r="N767" s="651"/>
      <c r="O767" s="651"/>
      <c r="P767" s="651"/>
      <c r="Q767" s="651"/>
      <c r="R767" s="651"/>
      <c r="S767" s="651"/>
      <c r="T767" s="651"/>
      <c r="U767" s="651"/>
      <c r="V767" s="651"/>
      <c r="W767" s="651"/>
      <c r="X767" s="651"/>
      <c r="Y767" s="651"/>
      <c r="Z767" s="651"/>
      <c r="AA767" s="651"/>
      <c r="AB767" s="651"/>
      <c r="AC767" s="651"/>
      <c r="AD767" s="651"/>
      <c r="AE767" s="651"/>
      <c r="AF767" s="651"/>
      <c r="AG767" s="651"/>
      <c r="AH767" s="571"/>
      <c r="AI767" s="578"/>
      <c r="AJ767" s="630"/>
      <c r="AK767" s="630"/>
      <c r="AL767" s="630"/>
      <c r="AM767" s="585"/>
      <c r="AN767" s="719"/>
      <c r="AS767" s="709"/>
      <c r="AT767" s="709"/>
      <c r="AU767" s="709"/>
      <c r="AV767" s="709"/>
      <c r="AW767" s="709"/>
      <c r="AX767" s="709"/>
      <c r="AY767" s="709"/>
      <c r="AZ767" s="709"/>
      <c r="BA767" s="709"/>
      <c r="BB767" s="709"/>
      <c r="BC767" s="709"/>
      <c r="BD767" s="725"/>
      <c r="BE767" s="725"/>
      <c r="BF767" s="725"/>
      <c r="BG767" s="725"/>
      <c r="BH767" s="725"/>
      <c r="BI767" s="709"/>
      <c r="BJ767" s="709"/>
      <c r="BK767" s="709"/>
      <c r="BL767" s="709"/>
      <c r="BM767" s="709"/>
      <c r="BN767" s="709"/>
      <c r="BO767" s="709"/>
      <c r="BP767" s="709"/>
      <c r="BQ767" s="709"/>
      <c r="BR767" s="709"/>
      <c r="BS767" s="709"/>
      <c r="BT767" s="709"/>
      <c r="BU767" s="709"/>
      <c r="BV767" s="709"/>
      <c r="BW767" s="709"/>
      <c r="BX767" s="709"/>
      <c r="BY767" s="709"/>
      <c r="BZ767" s="709"/>
      <c r="CA767" s="709"/>
      <c r="CB767" s="709"/>
      <c r="CC767" s="709"/>
    </row>
    <row r="768" spans="1:81" s="605" customFormat="1">
      <c r="A768" s="585"/>
      <c r="B768" s="651"/>
      <c r="C768" s="574" t="s">
        <v>1621</v>
      </c>
      <c r="D768" s="651"/>
      <c r="E768" s="651"/>
      <c r="F768" s="651"/>
      <c r="G768" s="651"/>
      <c r="H768" s="651"/>
      <c r="I768" s="651"/>
      <c r="J768" s="651"/>
      <c r="K768" s="651"/>
      <c r="L768" s="651"/>
      <c r="M768" s="651"/>
      <c r="N768" s="651"/>
      <c r="O768" s="651"/>
      <c r="P768" s="651"/>
      <c r="Q768" s="651"/>
      <c r="R768" s="651"/>
      <c r="S768" s="651"/>
      <c r="T768" s="651"/>
      <c r="U768" s="651"/>
      <c r="V768" s="651"/>
      <c r="W768" s="651"/>
      <c r="X768" s="651"/>
      <c r="Y768" s="651"/>
      <c r="Z768" s="651"/>
      <c r="AA768" s="651"/>
      <c r="AB768" s="651"/>
      <c r="AC768" s="651"/>
      <c r="AD768" s="651"/>
      <c r="AE768" s="651"/>
      <c r="AF768" s="651"/>
      <c r="AG768" s="651"/>
      <c r="AH768" s="571"/>
      <c r="AI768" s="578"/>
      <c r="AJ768" s="630"/>
      <c r="AK768" s="630"/>
      <c r="AL768" s="630"/>
      <c r="AM768" s="585"/>
      <c r="AN768" s="719"/>
      <c r="AT768" s="709"/>
      <c r="AU768" s="709"/>
      <c r="AV768" s="709"/>
      <c r="AW768" s="709"/>
      <c r="AX768" s="709"/>
      <c r="AY768" s="709"/>
      <c r="AZ768" s="709"/>
    </row>
    <row r="769" spans="1:81" s="605" customFormat="1">
      <c r="A769" s="585"/>
      <c r="B769" s="651"/>
      <c r="C769" s="977"/>
      <c r="D769" s="651"/>
      <c r="E769" s="651"/>
      <c r="F769" s="651"/>
      <c r="G769" s="651"/>
      <c r="H769" s="651"/>
      <c r="I769" s="651"/>
      <c r="J769" s="651"/>
      <c r="K769" s="651"/>
      <c r="L769" s="651"/>
      <c r="M769" s="651"/>
      <c r="N769" s="651"/>
      <c r="O769" s="651"/>
      <c r="P769" s="651"/>
      <c r="Q769" s="651"/>
      <c r="R769" s="651"/>
      <c r="S769" s="651"/>
      <c r="T769" s="651"/>
      <c r="U769" s="651"/>
      <c r="V769" s="651"/>
      <c r="W769" s="651"/>
      <c r="X769" s="651"/>
      <c r="Y769" s="651"/>
      <c r="Z769" s="651"/>
      <c r="AA769" s="651"/>
      <c r="AB769" s="651"/>
      <c r="AC769" s="651"/>
      <c r="AD769" s="651"/>
      <c r="AE769" s="571"/>
      <c r="AF769" s="571"/>
      <c r="AG769" s="571"/>
      <c r="AH769" s="571"/>
      <c r="AI769" s="571"/>
      <c r="AJ769" s="571"/>
      <c r="AK769" s="571"/>
      <c r="AL769" s="630"/>
      <c r="AM769" s="585"/>
      <c r="AN769" s="719"/>
      <c r="AO769" s="585" t="s">
        <v>600</v>
      </c>
      <c r="AP769" s="715">
        <v>0</v>
      </c>
      <c r="AS769" s="709"/>
      <c r="AT769" s="709"/>
      <c r="AU769" s="709"/>
      <c r="AV769" s="709"/>
      <c r="AW769" s="709"/>
      <c r="AX769" s="709"/>
      <c r="AY769" s="709"/>
      <c r="AZ769" s="709"/>
      <c r="BA769" s="709"/>
      <c r="BB769" s="709"/>
      <c r="BC769" s="709"/>
      <c r="BD769" s="725"/>
      <c r="BE769" s="725"/>
      <c r="BF769" s="725"/>
      <c r="BG769" s="725"/>
      <c r="BH769" s="725"/>
      <c r="BI769" s="709"/>
      <c r="BJ769" s="709"/>
      <c r="BK769" s="709"/>
      <c r="BL769" s="709"/>
      <c r="BM769" s="709"/>
      <c r="BN769" s="709"/>
      <c r="BO769" s="709"/>
      <c r="BP769" s="709"/>
      <c r="BQ769" s="709"/>
      <c r="BR769" s="709"/>
      <c r="BS769" s="709"/>
      <c r="BT769" s="709"/>
      <c r="BU769" s="709"/>
      <c r="BV769" s="709"/>
      <c r="BW769" s="709"/>
      <c r="BX769" s="709"/>
      <c r="BY769" s="709"/>
      <c r="BZ769" s="709"/>
      <c r="CA769" s="709"/>
      <c r="CB769" s="709"/>
      <c r="CC769" s="709"/>
    </row>
    <row r="770" spans="1:81" s="605" customFormat="1" ht="13.7" customHeight="1">
      <c r="A770" s="585"/>
      <c r="B770" s="651"/>
      <c r="C770" s="977"/>
      <c r="D770" s="698" t="s">
        <v>697</v>
      </c>
      <c r="E770" s="1967" t="s">
        <v>2430</v>
      </c>
      <c r="F770" s="1967"/>
      <c r="G770" s="1967"/>
      <c r="H770" s="1967"/>
      <c r="I770" s="1967"/>
      <c r="J770" s="1967"/>
      <c r="K770" s="1967"/>
      <c r="L770" s="1967"/>
      <c r="M770" s="1967"/>
      <c r="N770" s="1967"/>
      <c r="O770" s="1967"/>
      <c r="P770" s="1967"/>
      <c r="Q770" s="1967"/>
      <c r="R770" s="1967"/>
      <c r="S770" s="1967"/>
      <c r="T770" s="1967"/>
      <c r="U770" s="1967"/>
      <c r="V770" s="1967"/>
      <c r="W770" s="1967"/>
      <c r="X770" s="1967"/>
      <c r="Y770" s="1967"/>
      <c r="Z770" s="1967"/>
      <c r="AA770" s="1967"/>
      <c r="AB770" s="1967"/>
      <c r="AC770" s="1967"/>
      <c r="AD770" s="1967"/>
      <c r="AE770" s="571"/>
      <c r="AF770" s="1914" t="s">
        <v>1524</v>
      </c>
      <c r="AG770" s="1914"/>
      <c r="AH770" s="1914"/>
      <c r="AI770" s="1914"/>
      <c r="AJ770" s="1914"/>
      <c r="AK770" s="1914"/>
      <c r="AL770" s="1914"/>
      <c r="AM770" s="648"/>
      <c r="AN770" s="719"/>
      <c r="AO770" s="646" t="s">
        <v>554</v>
      </c>
      <c r="AP770" s="585">
        <v>3</v>
      </c>
      <c r="AT770" s="709"/>
      <c r="AU770" s="709"/>
      <c r="AV770" s="709"/>
      <c r="AW770" s="709"/>
      <c r="AX770" s="709"/>
      <c r="AY770" s="709"/>
      <c r="AZ770" s="709"/>
    </row>
    <row r="771" spans="1:81" s="605" customFormat="1" ht="13.7" customHeight="1">
      <c r="A771" s="585"/>
      <c r="B771" s="651"/>
      <c r="C771" s="977"/>
      <c r="D771" s="698"/>
      <c r="E771" s="1967"/>
      <c r="F771" s="1967"/>
      <c r="G771" s="1967"/>
      <c r="H771" s="1967"/>
      <c r="I771" s="1967"/>
      <c r="J771" s="1967"/>
      <c r="K771" s="1967"/>
      <c r="L771" s="1967"/>
      <c r="M771" s="1967"/>
      <c r="N771" s="1967"/>
      <c r="O771" s="1967"/>
      <c r="P771" s="1967"/>
      <c r="Q771" s="1967"/>
      <c r="R771" s="1967"/>
      <c r="S771" s="1967"/>
      <c r="T771" s="1967"/>
      <c r="U771" s="1967"/>
      <c r="V771" s="1967"/>
      <c r="W771" s="1967"/>
      <c r="X771" s="1967"/>
      <c r="Y771" s="1967"/>
      <c r="Z771" s="1967"/>
      <c r="AA771" s="1967"/>
      <c r="AB771" s="1967"/>
      <c r="AC771" s="1967"/>
      <c r="AD771" s="1967"/>
      <c r="AE771" s="571"/>
      <c r="AF771" s="629"/>
      <c r="AG771" s="629"/>
      <c r="AH771" s="629"/>
      <c r="AI771" s="629"/>
      <c r="AJ771" s="629"/>
      <c r="AK771" s="629"/>
      <c r="AL771" s="629"/>
      <c r="AM771" s="648"/>
      <c r="AN771" s="719"/>
      <c r="AO771" s="646"/>
      <c r="AP771" s="585"/>
      <c r="AT771" s="709"/>
      <c r="AU771" s="709"/>
      <c r="AV771" s="709"/>
      <c r="AW771" s="709"/>
      <c r="AX771" s="709"/>
      <c r="AY771" s="709"/>
      <c r="AZ771" s="709"/>
    </row>
    <row r="772" spans="1:81" s="605" customFormat="1">
      <c r="A772" s="585"/>
      <c r="B772" s="651"/>
      <c r="C772" s="977"/>
      <c r="D772" s="698"/>
      <c r="E772" s="1967"/>
      <c r="F772" s="1967"/>
      <c r="G772" s="1967"/>
      <c r="H772" s="1967"/>
      <c r="I772" s="1967"/>
      <c r="J772" s="1967"/>
      <c r="K772" s="1967"/>
      <c r="L772" s="1967"/>
      <c r="M772" s="1967"/>
      <c r="N772" s="1967"/>
      <c r="O772" s="1967"/>
      <c r="P772" s="1967"/>
      <c r="Q772" s="1967"/>
      <c r="R772" s="1967"/>
      <c r="S772" s="1967"/>
      <c r="T772" s="1967"/>
      <c r="U772" s="1967"/>
      <c r="V772" s="1967"/>
      <c r="W772" s="1967"/>
      <c r="X772" s="1967"/>
      <c r="Y772" s="1967"/>
      <c r="Z772" s="1967"/>
      <c r="AA772" s="1967"/>
      <c r="AB772" s="1967"/>
      <c r="AC772" s="1967"/>
      <c r="AD772" s="1967"/>
      <c r="AE772" s="629"/>
      <c r="AF772" s="629"/>
      <c r="AG772" s="629"/>
      <c r="AH772" s="629"/>
      <c r="AI772" s="629"/>
      <c r="AJ772" s="629"/>
      <c r="AK772" s="629"/>
      <c r="AL772" s="629"/>
      <c r="AM772" s="648"/>
      <c r="AN772" s="719"/>
      <c r="AO772" s="646"/>
      <c r="AP772" s="585"/>
      <c r="AT772" s="709"/>
      <c r="AU772" s="709"/>
      <c r="AV772" s="709"/>
      <c r="AW772" s="709"/>
      <c r="AX772" s="709"/>
      <c r="AY772" s="709"/>
      <c r="AZ772" s="709"/>
    </row>
    <row r="773" spans="1:81" s="605" customFormat="1">
      <c r="A773" s="585"/>
      <c r="B773" s="651"/>
      <c r="C773" s="977"/>
      <c r="D773" s="698"/>
      <c r="E773" s="1967"/>
      <c r="F773" s="1967"/>
      <c r="G773" s="1967"/>
      <c r="H773" s="1967"/>
      <c r="I773" s="1967"/>
      <c r="J773" s="1967"/>
      <c r="K773" s="1967"/>
      <c r="L773" s="1967"/>
      <c r="M773" s="1967"/>
      <c r="N773" s="1967"/>
      <c r="O773" s="1967"/>
      <c r="P773" s="1967"/>
      <c r="Q773" s="1967"/>
      <c r="R773" s="1967"/>
      <c r="S773" s="1967"/>
      <c r="T773" s="1967"/>
      <c r="U773" s="1967"/>
      <c r="V773" s="1967"/>
      <c r="W773" s="1967"/>
      <c r="X773" s="1967"/>
      <c r="Y773" s="1967"/>
      <c r="Z773" s="1967"/>
      <c r="AA773" s="1967"/>
      <c r="AB773" s="1967"/>
      <c r="AC773" s="1967"/>
      <c r="AD773" s="1967"/>
      <c r="AE773" s="629"/>
      <c r="AF773" s="629"/>
      <c r="AG773" s="629"/>
      <c r="AH773" s="629"/>
      <c r="AI773" s="629"/>
      <c r="AJ773" s="629"/>
      <c r="AK773" s="629"/>
      <c r="AL773" s="629"/>
      <c r="AM773" s="648"/>
      <c r="AN773" s="719"/>
      <c r="AO773" s="726"/>
      <c r="AT773" s="709"/>
      <c r="AU773" s="709"/>
      <c r="AV773" s="709"/>
      <c r="AW773" s="709"/>
      <c r="AX773" s="709"/>
      <c r="AY773" s="709"/>
      <c r="AZ773" s="709"/>
    </row>
    <row r="774" spans="1:81" s="605" customFormat="1">
      <c r="A774" s="585"/>
      <c r="B774" s="651"/>
      <c r="C774" s="977"/>
      <c r="D774" s="698"/>
      <c r="E774" s="678"/>
      <c r="F774" s="678"/>
      <c r="G774" s="678"/>
      <c r="H774" s="678"/>
      <c r="I774" s="678"/>
      <c r="J774" s="678"/>
      <c r="K774" s="678"/>
      <c r="L774" s="678"/>
      <c r="M774" s="678"/>
      <c r="N774" s="678"/>
      <c r="O774" s="678"/>
      <c r="P774" s="678"/>
      <c r="Q774" s="678"/>
      <c r="R774" s="678"/>
      <c r="S774" s="678"/>
      <c r="T774" s="678"/>
      <c r="U774" s="678"/>
      <c r="V774" s="678"/>
      <c r="W774" s="678"/>
      <c r="X774" s="678"/>
      <c r="Y774" s="678"/>
      <c r="Z774" s="678"/>
      <c r="AA774" s="678"/>
      <c r="AB774" s="678"/>
      <c r="AC774" s="678"/>
      <c r="AD774" s="678"/>
      <c r="AE774" s="629"/>
      <c r="AF774" s="629"/>
      <c r="AG774" s="629"/>
      <c r="AH774" s="629"/>
      <c r="AI774" s="629"/>
      <c r="AJ774" s="629"/>
      <c r="AK774" s="629"/>
      <c r="AL774" s="629"/>
      <c r="AM774" s="648"/>
      <c r="AN774" s="719"/>
      <c r="AO774" s="726"/>
      <c r="AT774" s="709"/>
      <c r="AU774" s="709"/>
      <c r="AV774" s="709"/>
      <c r="AW774" s="709"/>
      <c r="AX774" s="709"/>
      <c r="AY774" s="709"/>
      <c r="AZ774" s="709"/>
    </row>
    <row r="775" spans="1:81" s="605" customFormat="1">
      <c r="A775" s="585"/>
      <c r="B775" s="651"/>
      <c r="C775" s="977"/>
      <c r="D775" s="571" t="s">
        <v>1572</v>
      </c>
      <c r="E775" s="973"/>
      <c r="F775" s="973"/>
      <c r="G775" s="973"/>
      <c r="H775" s="1996" t="s">
        <v>600</v>
      </c>
      <c r="I775" s="1996"/>
      <c r="J775" s="651"/>
      <c r="K775" s="651"/>
      <c r="L775" s="651"/>
      <c r="M775" s="651"/>
      <c r="N775" s="651"/>
      <c r="O775" s="651"/>
      <c r="P775" s="651"/>
      <c r="Q775" s="651"/>
      <c r="R775" s="651"/>
      <c r="S775" s="651"/>
      <c r="T775" s="651"/>
      <c r="U775" s="651"/>
      <c r="V775" s="651"/>
      <c r="W775" s="651"/>
      <c r="X775" s="651"/>
      <c r="Y775" s="651"/>
      <c r="Z775" s="651"/>
      <c r="AA775" s="651"/>
      <c r="AB775" s="651"/>
      <c r="AC775" s="651"/>
      <c r="AD775" s="651"/>
      <c r="AE775" s="651"/>
      <c r="AF775" s="651"/>
      <c r="AG775" s="651"/>
      <c r="AH775" s="571"/>
      <c r="AI775" s="578"/>
      <c r="AJ775" s="630"/>
      <c r="AK775" s="630"/>
      <c r="AL775" s="630"/>
      <c r="AM775" s="585"/>
      <c r="AN775" s="719"/>
      <c r="AS775" s="709"/>
      <c r="AT775" s="709"/>
      <c r="AU775" s="709"/>
      <c r="AV775" s="709"/>
      <c r="AW775" s="709"/>
      <c r="AX775" s="709"/>
      <c r="AY775" s="709"/>
      <c r="AZ775" s="709"/>
      <c r="BA775" s="709"/>
      <c r="BB775" s="709"/>
      <c r="BC775" s="709"/>
      <c r="BD775" s="725"/>
      <c r="BE775" s="725"/>
      <c r="BF775" s="725"/>
      <c r="BG775" s="725"/>
      <c r="BH775" s="725"/>
      <c r="BI775" s="709"/>
      <c r="BJ775" s="709"/>
      <c r="BK775" s="709"/>
      <c r="BL775" s="709"/>
      <c r="BM775" s="709"/>
      <c r="BN775" s="709"/>
      <c r="BO775" s="709"/>
      <c r="BP775" s="709"/>
      <c r="BQ775" s="709"/>
      <c r="BR775" s="709"/>
      <c r="BS775" s="709"/>
      <c r="BT775" s="709"/>
      <c r="BU775" s="709"/>
      <c r="BV775" s="709"/>
      <c r="BW775" s="709"/>
      <c r="BX775" s="709"/>
      <c r="BY775" s="709"/>
      <c r="BZ775" s="709"/>
      <c r="CA775" s="709"/>
      <c r="CB775" s="709"/>
      <c r="CC775" s="709"/>
    </row>
    <row r="776" spans="1:81" s="605" customFormat="1">
      <c r="A776" s="585"/>
      <c r="B776" s="651"/>
      <c r="C776" s="723"/>
      <c r="D776" s="586"/>
      <c r="E776" s="586"/>
      <c r="F776" s="586"/>
      <c r="G776" s="586"/>
      <c r="H776" s="586"/>
      <c r="I776" s="586"/>
      <c r="J776" s="586"/>
      <c r="K776" s="586"/>
      <c r="L776" s="586"/>
      <c r="M776" s="586"/>
      <c r="N776" s="586"/>
      <c r="O776" s="586"/>
      <c r="P776" s="586"/>
      <c r="Q776" s="586"/>
      <c r="R776" s="586"/>
      <c r="S776" s="586"/>
      <c r="T776" s="586"/>
      <c r="U776" s="586"/>
      <c r="V776" s="586"/>
      <c r="W776" s="586"/>
      <c r="X776" s="586"/>
      <c r="Y776" s="586"/>
      <c r="Z776" s="586"/>
      <c r="AA776" s="586"/>
      <c r="AB776" s="586"/>
      <c r="AC776" s="586"/>
      <c r="AD776" s="651"/>
      <c r="AE776" s="586"/>
      <c r="AF776" s="586"/>
      <c r="AG776" s="586"/>
      <c r="AH776" s="586"/>
      <c r="AI776" s="585"/>
      <c r="AJ776" s="585"/>
      <c r="AK776" s="585"/>
      <c r="AL776" s="585"/>
      <c r="AM776" s="585"/>
      <c r="AN776" s="719"/>
      <c r="AT776" s="709"/>
      <c r="AU776" s="709"/>
      <c r="AV776" s="709"/>
      <c r="AW776" s="709"/>
      <c r="AX776" s="709"/>
      <c r="AY776" s="709"/>
      <c r="AZ776" s="709"/>
    </row>
    <row r="777" spans="1:81" s="605" customFormat="1">
      <c r="A777" s="641"/>
      <c r="B777" s="700"/>
      <c r="C777" s="724"/>
      <c r="D777" s="699"/>
      <c r="E777" s="699"/>
      <c r="F777" s="699"/>
      <c r="G777" s="699"/>
      <c r="H777" s="699"/>
      <c r="I777" s="699"/>
      <c r="J777" s="699"/>
      <c r="K777" s="699"/>
      <c r="L777" s="699"/>
      <c r="M777" s="699"/>
      <c r="N777" s="699"/>
      <c r="O777" s="699"/>
      <c r="P777" s="699"/>
      <c r="Q777" s="699"/>
      <c r="R777" s="699"/>
      <c r="S777" s="699"/>
      <c r="T777" s="699"/>
      <c r="U777" s="699"/>
      <c r="V777" s="699"/>
      <c r="W777" s="699"/>
      <c r="X777" s="699"/>
      <c r="Y777" s="699"/>
      <c r="Z777" s="699"/>
      <c r="AA777" s="699"/>
      <c r="AB777" s="699"/>
      <c r="AC777" s="700"/>
      <c r="AD777" s="699"/>
      <c r="AE777" s="699"/>
      <c r="AF777" s="699"/>
      <c r="AG777" s="699"/>
      <c r="AH777" s="599"/>
      <c r="AI777" s="600" t="s">
        <v>1622</v>
      </c>
      <c r="AJ777" s="1947">
        <f>VLOOKUP($H$775,$AO$769:$AP$770,2,FALSE)</f>
        <v>0</v>
      </c>
      <c r="AK777" s="1949"/>
      <c r="AL777" s="630"/>
      <c r="AM777" s="585"/>
      <c r="AN777" s="719"/>
      <c r="AS777" s="709"/>
      <c r="AT777" s="709"/>
      <c r="AU777" s="709"/>
      <c r="AV777" s="709"/>
      <c r="AW777" s="709"/>
      <c r="AX777" s="709"/>
      <c r="AY777" s="709"/>
      <c r="AZ777" s="709"/>
      <c r="BA777" s="709"/>
      <c r="BB777" s="709"/>
      <c r="BC777" s="709"/>
      <c r="BD777" s="725"/>
      <c r="BE777" s="725"/>
      <c r="BF777" s="725"/>
      <c r="BG777" s="725"/>
      <c r="BH777" s="725"/>
      <c r="BI777" s="709"/>
      <c r="BJ777" s="709"/>
      <c r="BK777" s="709"/>
      <c r="BL777" s="709"/>
      <c r="BM777" s="709"/>
      <c r="BN777" s="709"/>
      <c r="BO777" s="709"/>
      <c r="BP777" s="709"/>
      <c r="BQ777" s="709"/>
      <c r="BR777" s="709"/>
      <c r="BS777" s="709"/>
      <c r="BT777" s="709"/>
      <c r="BU777" s="709"/>
      <c r="BV777" s="709"/>
      <c r="BW777" s="709"/>
      <c r="BX777" s="709"/>
      <c r="BY777" s="709"/>
      <c r="BZ777" s="709"/>
      <c r="CA777" s="709"/>
      <c r="CB777" s="709"/>
      <c r="CC777" s="709"/>
    </row>
    <row r="778" spans="1:81" s="585" customFormat="1" ht="12.75" customHeight="1">
      <c r="B778" s="651"/>
      <c r="C778" s="723"/>
      <c r="D778" s="586"/>
      <c r="E778" s="586"/>
      <c r="F778" s="586"/>
      <c r="G778" s="586"/>
      <c r="H778" s="586"/>
      <c r="I778" s="586"/>
      <c r="J778" s="586"/>
      <c r="K778" s="586"/>
      <c r="L778" s="586"/>
      <c r="M778" s="586"/>
      <c r="N778" s="586"/>
      <c r="O778" s="586"/>
      <c r="P778" s="586"/>
      <c r="Q778" s="586"/>
      <c r="R778" s="586"/>
      <c r="S778" s="586"/>
      <c r="T778" s="586"/>
      <c r="U778" s="586"/>
      <c r="V778" s="586"/>
      <c r="W778" s="586"/>
      <c r="X778" s="586"/>
      <c r="Y778" s="586"/>
      <c r="Z778" s="586"/>
      <c r="AA778" s="586"/>
      <c r="AB778" s="586"/>
      <c r="AC778" s="586"/>
      <c r="AD778" s="651"/>
      <c r="AE778" s="586"/>
      <c r="AF778" s="586"/>
      <c r="AG778" s="586"/>
      <c r="AH778" s="586"/>
      <c r="AN778" s="632"/>
    </row>
    <row r="779" spans="1:81" s="585" customFormat="1" ht="12.75" customHeight="1">
      <c r="A779" s="641"/>
      <c r="B779" s="699"/>
      <c r="C779" s="699"/>
      <c r="D779" s="699"/>
      <c r="E779" s="699"/>
      <c r="F779" s="699"/>
      <c r="G779" s="699"/>
      <c r="H779" s="699"/>
      <c r="I779" s="699"/>
      <c r="J779" s="699"/>
      <c r="K779" s="699"/>
      <c r="L779" s="699"/>
      <c r="M779" s="699"/>
      <c r="N779" s="699"/>
      <c r="O779" s="699"/>
      <c r="P779" s="699"/>
      <c r="Q779" s="699"/>
      <c r="R779" s="699"/>
      <c r="S779" s="699"/>
      <c r="T779" s="699"/>
      <c r="U779" s="699"/>
      <c r="V779" s="699"/>
      <c r="W779" s="699"/>
      <c r="X779" s="699"/>
      <c r="Y779" s="699"/>
      <c r="Z779" s="699"/>
      <c r="AA779" s="699"/>
      <c r="AB779" s="699"/>
      <c r="AC779" s="700"/>
      <c r="AD779" s="699"/>
      <c r="AE779" s="599"/>
      <c r="AF779" s="599"/>
      <c r="AG779" s="599"/>
      <c r="AH779" s="599"/>
      <c r="AI779" s="600"/>
      <c r="AJ779" s="600" t="s">
        <v>1623</v>
      </c>
      <c r="AK779" s="1947">
        <f>IF(($AJ$610+$AJ$629+$AJ$641+$AJ$676+$AJ$696+$AJ$710+$AJ$722+$AJ$738+$AJ$750+$AJ$766+AJ777)&gt;10,10,($AJ$610+$AJ$629+$AJ$641+$AJ$676+$AJ$696+$AJ$710+$AJ$722+$AJ$738+$AJ$750+$AJ$766+AJ777))</f>
        <v>10</v>
      </c>
      <c r="AL779" s="1948"/>
      <c r="AM779" s="1949"/>
      <c r="AN779" s="632"/>
    </row>
    <row r="780" spans="1:81" s="585" customFormat="1" ht="12.75" customHeight="1">
      <c r="B780" s="586"/>
      <c r="C780" s="586"/>
      <c r="D780" s="586"/>
      <c r="E780" s="586"/>
      <c r="F780" s="586"/>
      <c r="G780" s="586"/>
      <c r="H780" s="586"/>
      <c r="I780" s="586"/>
      <c r="J780" s="586"/>
      <c r="K780" s="586"/>
      <c r="L780" s="586"/>
      <c r="M780" s="586"/>
      <c r="N780" s="586"/>
      <c r="O780" s="586"/>
      <c r="P780" s="586"/>
      <c r="Q780" s="586"/>
      <c r="R780" s="586"/>
      <c r="S780" s="586"/>
      <c r="T780" s="586"/>
      <c r="U780" s="586"/>
      <c r="V780" s="586"/>
      <c r="W780" s="586"/>
      <c r="X780" s="586"/>
      <c r="Y780" s="586"/>
      <c r="Z780" s="586"/>
      <c r="AA780" s="586"/>
      <c r="AB780" s="586"/>
      <c r="AC780" s="651"/>
      <c r="AD780" s="586"/>
      <c r="AI780" s="578"/>
      <c r="AJ780" s="578"/>
      <c r="AK780" s="630"/>
      <c r="AL780" s="630"/>
      <c r="AM780" s="630"/>
      <c r="AN780" s="632"/>
    </row>
    <row r="781" spans="1:81">
      <c r="B781" s="585"/>
      <c r="C781" s="585"/>
      <c r="D781" s="585"/>
      <c r="E781" s="585"/>
      <c r="F781" s="585"/>
      <c r="G781" s="585"/>
      <c r="H781" s="585"/>
      <c r="I781" s="585"/>
      <c r="J781" s="585"/>
      <c r="K781" s="585"/>
      <c r="L781" s="585"/>
      <c r="M781" s="585"/>
      <c r="N781" s="585"/>
      <c r="O781" s="585"/>
      <c r="P781" s="585"/>
      <c r="Q781" s="585"/>
      <c r="R781" s="585"/>
      <c r="S781" s="585"/>
      <c r="T781" s="585"/>
      <c r="U781" s="585"/>
      <c r="V781" s="585"/>
      <c r="W781" s="585"/>
      <c r="X781" s="585"/>
      <c r="Y781" s="585"/>
      <c r="Z781" s="585"/>
      <c r="AA781" s="585"/>
      <c r="AB781" s="585"/>
      <c r="AC781" s="585"/>
      <c r="AD781" s="585"/>
      <c r="AE781" s="585"/>
      <c r="AF781" s="585"/>
      <c r="AG781" s="585"/>
      <c r="AH781" s="585"/>
      <c r="AI781" s="585"/>
      <c r="AJ781" s="585"/>
      <c r="AK781" s="585"/>
      <c r="AL781" s="585"/>
      <c r="AM781" s="585"/>
    </row>
    <row r="782" spans="1:81">
      <c r="A782" s="2053" t="s">
        <v>1745</v>
      </c>
      <c r="B782" s="2054"/>
      <c r="C782" s="2054"/>
      <c r="D782" s="2054"/>
      <c r="E782" s="2054"/>
      <c r="F782" s="2054"/>
      <c r="G782" s="2054"/>
      <c r="H782" s="2054"/>
      <c r="I782" s="2054"/>
      <c r="J782" s="2054"/>
      <c r="K782" s="2054"/>
      <c r="L782" s="2054"/>
      <c r="M782" s="2054"/>
      <c r="N782" s="2054"/>
      <c r="O782" s="2054"/>
      <c r="P782" s="2054"/>
      <c r="Q782" s="2054"/>
      <c r="R782" s="2054"/>
      <c r="S782" s="2054"/>
      <c r="T782" s="2054"/>
      <c r="U782" s="2054"/>
      <c r="V782" s="2054"/>
      <c r="W782" s="2054"/>
      <c r="X782" s="2054"/>
      <c r="Y782" s="2054"/>
      <c r="Z782" s="2054"/>
      <c r="AA782" s="2054"/>
      <c r="AB782" s="2054"/>
      <c r="AC782" s="2054"/>
      <c r="AD782" s="2054"/>
      <c r="AE782" s="2054"/>
      <c r="AF782" s="2054"/>
      <c r="AG782" s="2054"/>
      <c r="AH782" s="2054"/>
      <c r="AI782" s="2054"/>
      <c r="AJ782" s="2054"/>
      <c r="AK782" s="2054"/>
      <c r="AL782" s="2054"/>
      <c r="AM782" s="2054"/>
    </row>
    <row r="783" spans="1:81">
      <c r="A783" s="2055"/>
      <c r="B783" s="2055"/>
      <c r="C783" s="2055"/>
      <c r="D783" s="2055"/>
      <c r="E783" s="2055"/>
      <c r="F783" s="2055"/>
      <c r="G783" s="2055"/>
      <c r="H783" s="2055"/>
      <c r="I783" s="2055"/>
      <c r="J783" s="2055"/>
      <c r="K783" s="2055"/>
      <c r="L783" s="2055"/>
      <c r="M783" s="2055"/>
      <c r="N783" s="2055"/>
      <c r="O783" s="2055"/>
      <c r="P783" s="2055"/>
      <c r="Q783" s="2055"/>
      <c r="R783" s="2055"/>
      <c r="S783" s="2055"/>
      <c r="T783" s="2055"/>
      <c r="U783" s="2055"/>
      <c r="V783" s="2055"/>
      <c r="W783" s="2055"/>
      <c r="X783" s="2055"/>
      <c r="Y783" s="2055"/>
      <c r="Z783" s="2055"/>
      <c r="AA783" s="2055"/>
      <c r="AB783" s="2055"/>
      <c r="AC783" s="2055"/>
      <c r="AD783" s="2055"/>
      <c r="AE783" s="2055"/>
      <c r="AF783" s="2055"/>
      <c r="AG783" s="2055"/>
      <c r="AH783" s="2055"/>
      <c r="AI783" s="2055"/>
      <c r="AJ783" s="2055"/>
      <c r="AK783" s="2055"/>
      <c r="AL783" s="2055"/>
      <c r="AM783" s="2055"/>
      <c r="AO783" s="852"/>
      <c r="AP783" s="852"/>
      <c r="AQ783" s="852"/>
    </row>
    <row r="784" spans="1:81">
      <c r="A784" s="585"/>
      <c r="B784" s="606"/>
      <c r="C784" s="607"/>
      <c r="D784" s="607"/>
      <c r="E784" s="607"/>
      <c r="F784" s="607"/>
      <c r="G784" s="607"/>
      <c r="H784" s="607"/>
      <c r="I784" s="608"/>
      <c r="J784" s="608"/>
      <c r="K784" s="608"/>
      <c r="L784" s="608"/>
      <c r="M784" s="608"/>
      <c r="N784" s="608"/>
      <c r="O784" s="608"/>
      <c r="P784" s="608"/>
      <c r="Q784" s="608"/>
      <c r="S784" s="574"/>
      <c r="T784" s="574"/>
      <c r="U784" s="574"/>
      <c r="V784" s="574"/>
      <c r="W784" s="574"/>
      <c r="X784" s="574"/>
      <c r="Y784" s="574"/>
      <c r="Z784" s="574"/>
      <c r="AA784" s="574"/>
      <c r="AB784" s="574"/>
      <c r="AC784" s="574"/>
      <c r="AD784" s="574"/>
      <c r="AE784" s="574"/>
      <c r="AG784" s="574"/>
      <c r="AH784" s="574"/>
      <c r="AI784" s="574"/>
      <c r="AJ784" s="574"/>
      <c r="AK784" s="585"/>
      <c r="AL784" s="585"/>
      <c r="AM784" s="572"/>
      <c r="AO784" s="852"/>
      <c r="AP784" s="852"/>
      <c r="AQ784" s="852"/>
    </row>
    <row r="785" spans="1:81">
      <c r="A785" s="1988"/>
      <c r="B785" s="1988"/>
      <c r="C785" s="1988"/>
      <c r="D785" s="1988"/>
      <c r="E785" s="1988"/>
      <c r="F785" s="1988"/>
      <c r="G785" s="1988"/>
      <c r="H785" s="1988"/>
      <c r="I785" s="1988"/>
      <c r="J785" s="1988"/>
      <c r="K785" s="1988"/>
      <c r="L785" s="1988"/>
      <c r="M785" s="1988"/>
      <c r="N785" s="1988"/>
      <c r="O785" s="1988"/>
      <c r="P785" s="1988"/>
      <c r="Q785" s="1988"/>
      <c r="R785" s="1988"/>
      <c r="S785" s="1988"/>
      <c r="T785" s="1988"/>
      <c r="U785" s="1988"/>
      <c r="V785" s="1988"/>
      <c r="W785" s="1988"/>
      <c r="X785" s="1988"/>
      <c r="Y785" s="1988"/>
      <c r="Z785" s="1988"/>
      <c r="AA785" s="1988"/>
      <c r="AB785" s="1988"/>
      <c r="AC785" s="1988"/>
      <c r="AD785" s="1988"/>
      <c r="AE785" s="1988"/>
      <c r="AF785" s="1988"/>
      <c r="AG785" s="1988"/>
      <c r="AH785" s="1988"/>
      <c r="AI785" s="1988"/>
      <c r="AJ785" s="1988"/>
      <c r="AK785" s="1988"/>
      <c r="AL785" s="1988"/>
      <c r="AM785" s="1988"/>
      <c r="AP785" s="852"/>
      <c r="AQ785" s="852"/>
    </row>
    <row r="786" spans="1:81">
      <c r="A786" s="1988"/>
      <c r="B786" s="1988"/>
      <c r="C786" s="1988"/>
      <c r="D786" s="1988"/>
      <c r="E786" s="1988"/>
      <c r="F786" s="1988"/>
      <c r="G786" s="1988"/>
      <c r="H786" s="1988"/>
      <c r="I786" s="1988"/>
      <c r="J786" s="1988"/>
      <c r="K786" s="1988"/>
      <c r="L786" s="1988"/>
      <c r="M786" s="1988"/>
      <c r="N786" s="1988"/>
      <c r="O786" s="1988"/>
      <c r="P786" s="1988"/>
      <c r="Q786" s="1988"/>
      <c r="R786" s="1988"/>
      <c r="S786" s="1988"/>
      <c r="T786" s="1988"/>
      <c r="U786" s="1988"/>
      <c r="V786" s="1988"/>
      <c r="W786" s="1988"/>
      <c r="X786" s="1988"/>
      <c r="Y786" s="1988"/>
      <c r="Z786" s="1988"/>
      <c r="AA786" s="1988"/>
      <c r="AB786" s="1988"/>
      <c r="AC786" s="1988"/>
      <c r="AD786" s="1988"/>
      <c r="AE786" s="1988"/>
      <c r="AF786" s="1988"/>
      <c r="AG786" s="1988"/>
      <c r="AH786" s="1988"/>
      <c r="AI786" s="1988"/>
      <c r="AJ786" s="1988"/>
      <c r="AK786" s="1988"/>
      <c r="AL786" s="1988"/>
      <c r="AM786" s="1988"/>
      <c r="AO786" s="852"/>
      <c r="AQ786" s="852"/>
    </row>
    <row r="787" spans="1:81">
      <c r="A787" s="853"/>
      <c r="B787" s="702"/>
      <c r="C787" s="702"/>
      <c r="D787" s="702"/>
      <c r="E787" s="702"/>
      <c r="F787" s="702"/>
      <c r="G787" s="702"/>
      <c r="H787" s="702"/>
      <c r="I787" s="702"/>
      <c r="J787" s="702"/>
      <c r="K787" s="702"/>
      <c r="L787" s="702"/>
      <c r="M787" s="702"/>
      <c r="N787" s="702"/>
      <c r="O787" s="702"/>
      <c r="P787" s="702"/>
      <c r="Q787" s="702"/>
      <c r="R787" s="702"/>
      <c r="S787" s="704"/>
      <c r="T787" s="2056" t="s">
        <v>1746</v>
      </c>
      <c r="U787" s="2057"/>
      <c r="V787" s="2057"/>
      <c r="W787" s="2057"/>
      <c r="X787" s="2057"/>
      <c r="Y787" s="2058"/>
      <c r="Z787" s="2056" t="s">
        <v>1747</v>
      </c>
      <c r="AA787" s="2057"/>
      <c r="AB787" s="2057"/>
      <c r="AC787" s="2057"/>
      <c r="AD787" s="2057"/>
      <c r="AE787" s="2058"/>
      <c r="AF787" s="2056" t="s">
        <v>1748</v>
      </c>
      <c r="AG787" s="2057"/>
      <c r="AH787" s="2057"/>
      <c r="AI787" s="2057"/>
      <c r="AJ787" s="2057"/>
      <c r="AK787" s="2058"/>
      <c r="AL787" s="854"/>
      <c r="AM787" s="631"/>
      <c r="AO787" s="852"/>
      <c r="AP787" s="852"/>
      <c r="AQ787" s="852"/>
    </row>
    <row r="788" spans="1:81">
      <c r="A788" s="855"/>
      <c r="B788" s="729"/>
      <c r="C788" s="729"/>
      <c r="D788" s="729"/>
      <c r="E788" s="729"/>
      <c r="F788" s="729"/>
      <c r="G788" s="729"/>
      <c r="H788" s="729"/>
      <c r="I788" s="729"/>
      <c r="J788" s="729"/>
      <c r="K788" s="729"/>
      <c r="L788" s="729"/>
      <c r="M788" s="729"/>
      <c r="N788" s="729"/>
      <c r="O788" s="729"/>
      <c r="P788" s="729"/>
      <c r="Q788" s="729"/>
      <c r="R788" s="729"/>
      <c r="S788" s="743"/>
      <c r="T788" s="2059"/>
      <c r="U788" s="2060"/>
      <c r="V788" s="2060"/>
      <c r="W788" s="2060"/>
      <c r="X788" s="2060"/>
      <c r="Y788" s="2061"/>
      <c r="Z788" s="2059"/>
      <c r="AA788" s="2060"/>
      <c r="AB788" s="2060"/>
      <c r="AC788" s="2060"/>
      <c r="AD788" s="2060"/>
      <c r="AE788" s="2061"/>
      <c r="AF788" s="2059"/>
      <c r="AG788" s="2060"/>
      <c r="AH788" s="2060"/>
      <c r="AI788" s="2060"/>
      <c r="AJ788" s="2060"/>
      <c r="AK788" s="2061"/>
      <c r="AL788" s="854"/>
      <c r="AM788" s="631"/>
      <c r="AO788" s="852"/>
      <c r="AP788" s="852"/>
      <c r="AQ788" s="852"/>
    </row>
    <row r="789" spans="1:81">
      <c r="A789" s="855" t="s">
        <v>769</v>
      </c>
      <c r="B789" s="2036" t="s">
        <v>1476</v>
      </c>
      <c r="C789" s="2036"/>
      <c r="D789" s="2036"/>
      <c r="E789" s="2036"/>
      <c r="F789" s="2036"/>
      <c r="G789" s="2036"/>
      <c r="H789" s="2036"/>
      <c r="I789" s="2036"/>
      <c r="J789" s="2036"/>
      <c r="K789" s="2036"/>
      <c r="L789" s="2036"/>
      <c r="M789" s="2036"/>
      <c r="N789" s="2036"/>
      <c r="O789" s="2036"/>
      <c r="P789" s="2036"/>
      <c r="Q789" s="2036"/>
      <c r="R789" s="2036"/>
      <c r="S789" s="2037"/>
      <c r="T789" s="2038">
        <f>AK56</f>
        <v>0</v>
      </c>
      <c r="U789" s="2039"/>
      <c r="V789" s="2039"/>
      <c r="W789" s="2039"/>
      <c r="X789" s="2039"/>
      <c r="Y789" s="2040"/>
      <c r="Z789" s="2041">
        <v>20</v>
      </c>
      <c r="AA789" s="2039"/>
      <c r="AB789" s="2039"/>
      <c r="AC789" s="2039"/>
      <c r="AD789" s="2039"/>
      <c r="AE789" s="2040"/>
      <c r="AF789" s="2005">
        <f>IF(T789&gt;Z789,Z789,T789)</f>
        <v>0</v>
      </c>
      <c r="AG789" s="2005"/>
      <c r="AH789" s="2005"/>
      <c r="AI789" s="2005"/>
      <c r="AJ789" s="2005"/>
      <c r="AK789" s="2005"/>
      <c r="AL789" s="854"/>
      <c r="AM789" s="631"/>
      <c r="AO789" s="852"/>
      <c r="AP789" s="852"/>
      <c r="AQ789" s="852"/>
    </row>
    <row r="790" spans="1:81">
      <c r="A790" s="855" t="s">
        <v>1718</v>
      </c>
      <c r="B790" s="2036" t="s">
        <v>1485</v>
      </c>
      <c r="C790" s="2036"/>
      <c r="D790" s="2036"/>
      <c r="E790" s="2036"/>
      <c r="F790" s="2036"/>
      <c r="G790" s="2036"/>
      <c r="H790" s="2036"/>
      <c r="I790" s="2036"/>
      <c r="J790" s="2036"/>
      <c r="K790" s="2036"/>
      <c r="L790" s="2036"/>
      <c r="M790" s="2036"/>
      <c r="N790" s="2036"/>
      <c r="O790" s="2036"/>
      <c r="P790" s="2036"/>
      <c r="Q790" s="2036"/>
      <c r="R790" s="2036"/>
      <c r="S790" s="2037"/>
      <c r="T790" s="2038">
        <f>AK78</f>
        <v>10</v>
      </c>
      <c r="U790" s="2039"/>
      <c r="V790" s="2039"/>
      <c r="W790" s="2039"/>
      <c r="X790" s="2039"/>
      <c r="Y790" s="2040"/>
      <c r="Z790" s="2041">
        <v>10</v>
      </c>
      <c r="AA790" s="2039"/>
      <c r="AB790" s="2039"/>
      <c r="AC790" s="2039"/>
      <c r="AD790" s="2039"/>
      <c r="AE790" s="2040"/>
      <c r="AF790" s="2005">
        <f>IF(T790&gt;Z790,Z790,T790)</f>
        <v>10</v>
      </c>
      <c r="AG790" s="2005"/>
      <c r="AH790" s="2005"/>
      <c r="AI790" s="2005"/>
      <c r="AJ790" s="2005"/>
      <c r="AK790" s="2005"/>
      <c r="AL790" s="854"/>
      <c r="AM790" s="631"/>
      <c r="AO790" s="852"/>
      <c r="AP790" s="852"/>
      <c r="AQ790" s="852"/>
    </row>
    <row r="791" spans="1:81">
      <c r="A791" s="855" t="s">
        <v>1727</v>
      </c>
      <c r="B791" s="2036" t="s">
        <v>1495</v>
      </c>
      <c r="C791" s="2036"/>
      <c r="D791" s="2036"/>
      <c r="E791" s="2036"/>
      <c r="F791" s="2036"/>
      <c r="G791" s="2036"/>
      <c r="H791" s="2036"/>
      <c r="I791" s="2036"/>
      <c r="J791" s="2036"/>
      <c r="K791" s="2036"/>
      <c r="L791" s="2036"/>
      <c r="M791" s="2036"/>
      <c r="N791" s="2036"/>
      <c r="O791" s="2036"/>
      <c r="P791" s="2036"/>
      <c r="Q791" s="2036"/>
      <c r="R791" s="2036"/>
      <c r="S791" s="2037"/>
      <c r="T791" s="2038">
        <f ca="1">AK103</f>
        <v>20</v>
      </c>
      <c r="U791" s="2039"/>
      <c r="V791" s="2039"/>
      <c r="W791" s="2039"/>
      <c r="X791" s="2039"/>
      <c r="Y791" s="2040"/>
      <c r="Z791" s="2041">
        <v>20</v>
      </c>
      <c r="AA791" s="2039"/>
      <c r="AB791" s="2039"/>
      <c r="AC791" s="2039"/>
      <c r="AD791" s="2039"/>
      <c r="AE791" s="2040"/>
      <c r="AF791" s="2005">
        <f ca="1">IF(T791&gt;Z791,Z791,T791)</f>
        <v>20</v>
      </c>
      <c r="AG791" s="2005"/>
      <c r="AH791" s="2005"/>
      <c r="AI791" s="2005"/>
      <c r="AJ791" s="2005"/>
      <c r="AK791" s="2005"/>
      <c r="AL791" s="854"/>
      <c r="AM791" s="631"/>
      <c r="AO791" s="852"/>
      <c r="AP791" s="852"/>
      <c r="AQ791" s="852"/>
    </row>
    <row r="792" spans="1:81">
      <c r="A792" s="855" t="s">
        <v>1749</v>
      </c>
      <c r="B792" s="2036" t="s">
        <v>1505</v>
      </c>
      <c r="C792" s="2036"/>
      <c r="D792" s="2036"/>
      <c r="E792" s="2036"/>
      <c r="F792" s="2036"/>
      <c r="G792" s="2036"/>
      <c r="H792" s="2036"/>
      <c r="I792" s="2036"/>
      <c r="J792" s="2036"/>
      <c r="K792" s="2036"/>
      <c r="L792" s="2036"/>
      <c r="M792" s="2036"/>
      <c r="N792" s="2036"/>
      <c r="O792" s="2036"/>
      <c r="P792" s="2036"/>
      <c r="Q792" s="2036"/>
      <c r="R792" s="2036"/>
      <c r="S792" s="2037"/>
      <c r="T792" s="2038">
        <f>AK137</f>
        <v>10</v>
      </c>
      <c r="U792" s="2039"/>
      <c r="V792" s="2039"/>
      <c r="W792" s="2039"/>
      <c r="X792" s="2039"/>
      <c r="Y792" s="2040"/>
      <c r="Z792" s="2041">
        <v>10</v>
      </c>
      <c r="AA792" s="2039"/>
      <c r="AB792" s="2039"/>
      <c r="AC792" s="2039"/>
      <c r="AD792" s="2039"/>
      <c r="AE792" s="2040"/>
      <c r="AF792" s="2005">
        <f>IF(T792&gt;Z792,Z792,T792)</f>
        <v>10</v>
      </c>
      <c r="AG792" s="2005"/>
      <c r="AH792" s="2005"/>
      <c r="AI792" s="2005"/>
      <c r="AJ792" s="2005"/>
      <c r="AK792" s="2005"/>
      <c r="AL792" s="854"/>
      <c r="AM792" s="631"/>
      <c r="AO792" s="852"/>
      <c r="AP792" s="852"/>
      <c r="AQ792" s="852"/>
    </row>
    <row r="793" spans="1:81">
      <c r="A793" s="856" t="s">
        <v>1750</v>
      </c>
      <c r="B793" s="2036" t="s">
        <v>1751</v>
      </c>
      <c r="C793" s="2036"/>
      <c r="D793" s="2036"/>
      <c r="E793" s="2036"/>
      <c r="F793" s="2036"/>
      <c r="G793" s="2036"/>
      <c r="H793" s="2036"/>
      <c r="I793" s="2036"/>
      <c r="J793" s="2036"/>
      <c r="K793" s="2036"/>
      <c r="L793" s="2036"/>
      <c r="M793" s="2036"/>
      <c r="N793" s="2036"/>
      <c r="O793" s="2036"/>
      <c r="P793" s="2036"/>
      <c r="Q793" s="2036"/>
      <c r="R793" s="2036"/>
      <c r="S793" s="2037"/>
      <c r="T793" s="2062">
        <f>SUM(T794:Y795)</f>
        <v>10</v>
      </c>
      <c r="U793" s="2062"/>
      <c r="V793" s="2062"/>
      <c r="W793" s="2062"/>
      <c r="X793" s="2062"/>
      <c r="Y793" s="2062"/>
      <c r="Z793" s="2005">
        <v>10</v>
      </c>
      <c r="AA793" s="2005"/>
      <c r="AB793" s="2005"/>
      <c r="AC793" s="2005"/>
      <c r="AD793" s="2005"/>
      <c r="AE793" s="2005"/>
      <c r="AF793" s="2005">
        <f>IF(T793&gt;Z793,Z793,T793)</f>
        <v>10</v>
      </c>
      <c r="AG793" s="2005"/>
      <c r="AH793" s="2005"/>
      <c r="AI793" s="2005"/>
      <c r="AJ793" s="2005"/>
      <c r="AK793" s="2005"/>
      <c r="AL793" s="854"/>
      <c r="AM793" s="631"/>
    </row>
    <row r="794" spans="1:81">
      <c r="A794" s="570"/>
      <c r="B794" s="636"/>
      <c r="C794" s="2063" t="s">
        <v>1752</v>
      </c>
      <c r="D794" s="2063"/>
      <c r="E794" s="2063"/>
      <c r="F794" s="2063"/>
      <c r="G794" s="2063"/>
      <c r="H794" s="2063"/>
      <c r="I794" s="2063"/>
      <c r="J794" s="2063"/>
      <c r="K794" s="2063"/>
      <c r="L794" s="2063"/>
      <c r="M794" s="2063"/>
      <c r="N794" s="2063"/>
      <c r="O794" s="2063"/>
      <c r="P794" s="2063"/>
      <c r="Q794" s="2063"/>
      <c r="R794" s="2063"/>
      <c r="S794" s="2064"/>
      <c r="T794" s="1942">
        <f>AJ155</f>
        <v>7</v>
      </c>
      <c r="U794" s="1942"/>
      <c r="V794" s="1942"/>
      <c r="W794" s="1942"/>
      <c r="X794" s="1942"/>
      <c r="Y794" s="1942"/>
      <c r="Z794" s="1943">
        <v>7</v>
      </c>
      <c r="AA794" s="1943"/>
      <c r="AB794" s="1943"/>
      <c r="AC794" s="1943"/>
      <c r="AD794" s="1943"/>
      <c r="AE794" s="1943"/>
      <c r="AF794" s="2065"/>
      <c r="AG794" s="2065"/>
      <c r="AH794" s="2065"/>
      <c r="AI794" s="2065"/>
      <c r="AJ794" s="2065"/>
      <c r="AK794" s="2065"/>
      <c r="AL794" s="854"/>
      <c r="AM794" s="631"/>
    </row>
    <row r="795" spans="1:81">
      <c r="A795" s="635"/>
      <c r="B795" s="636"/>
      <c r="C795" s="2063" t="s">
        <v>1753</v>
      </c>
      <c r="D795" s="2063"/>
      <c r="E795" s="2063"/>
      <c r="F795" s="2063"/>
      <c r="G795" s="2063"/>
      <c r="H795" s="2063"/>
      <c r="I795" s="2063"/>
      <c r="J795" s="2063"/>
      <c r="K795" s="2063"/>
      <c r="L795" s="2063"/>
      <c r="M795" s="2063"/>
      <c r="N795" s="2063"/>
      <c r="O795" s="2063"/>
      <c r="P795" s="2063"/>
      <c r="Q795" s="2063"/>
      <c r="R795" s="2063"/>
      <c r="S795" s="2064"/>
      <c r="T795" s="1942">
        <f>AJ169</f>
        <v>3</v>
      </c>
      <c r="U795" s="1942"/>
      <c r="V795" s="1942"/>
      <c r="W795" s="1942"/>
      <c r="X795" s="1942"/>
      <c r="Y795" s="1942"/>
      <c r="Z795" s="1943">
        <v>3</v>
      </c>
      <c r="AA795" s="1943"/>
      <c r="AB795" s="1943"/>
      <c r="AC795" s="1943"/>
      <c r="AD795" s="1943"/>
      <c r="AE795" s="1943"/>
      <c r="AF795" s="2065"/>
      <c r="AG795" s="2065"/>
      <c r="AH795" s="2065"/>
      <c r="AI795" s="2065"/>
      <c r="AJ795" s="2065"/>
      <c r="AK795" s="2065"/>
      <c r="AL795" s="854"/>
      <c r="AM795" s="631"/>
      <c r="AO795" s="585"/>
    </row>
    <row r="796" spans="1:81">
      <c r="A796" s="856" t="s">
        <v>1533</v>
      </c>
      <c r="B796" s="2036" t="s">
        <v>1754</v>
      </c>
      <c r="C796" s="2036"/>
      <c r="D796" s="2036"/>
      <c r="E796" s="2036"/>
      <c r="F796" s="2036"/>
      <c r="G796" s="2036"/>
      <c r="H796" s="2036"/>
      <c r="I796" s="2036"/>
      <c r="J796" s="2036"/>
      <c r="K796" s="2036"/>
      <c r="L796" s="2036"/>
      <c r="M796" s="2036"/>
      <c r="N796" s="2036"/>
      <c r="O796" s="2036"/>
      <c r="P796" s="2036"/>
      <c r="Q796" s="2036"/>
      <c r="R796" s="2036"/>
      <c r="S796" s="2037"/>
      <c r="T796" s="2062">
        <f>AK180</f>
        <v>10</v>
      </c>
      <c r="U796" s="2062"/>
      <c r="V796" s="2062"/>
      <c r="W796" s="2062"/>
      <c r="X796" s="2062"/>
      <c r="Y796" s="2062"/>
      <c r="Z796" s="2005">
        <v>10</v>
      </c>
      <c r="AA796" s="2005"/>
      <c r="AB796" s="2005"/>
      <c r="AC796" s="2005"/>
      <c r="AD796" s="2005"/>
      <c r="AE796" s="2005"/>
      <c r="AF796" s="2005">
        <f>IF(T796&gt;Z796,Z796,T796)</f>
        <v>10</v>
      </c>
      <c r="AG796" s="2005"/>
      <c r="AH796" s="2005"/>
      <c r="AI796" s="2005"/>
      <c r="AJ796" s="2005"/>
      <c r="AK796" s="2005"/>
      <c r="AL796" s="854"/>
      <c r="AM796" s="631"/>
    </row>
    <row r="797" spans="1:81">
      <c r="A797" s="855" t="s">
        <v>1542</v>
      </c>
      <c r="B797" s="2036" t="s">
        <v>1543</v>
      </c>
      <c r="C797" s="2036"/>
      <c r="D797" s="2036"/>
      <c r="E797" s="2036"/>
      <c r="F797" s="2036"/>
      <c r="G797" s="2036"/>
      <c r="H797" s="2036"/>
      <c r="I797" s="2036"/>
      <c r="J797" s="2036"/>
      <c r="K797" s="2036"/>
      <c r="L797" s="2036"/>
      <c r="M797" s="2036"/>
      <c r="N797" s="2036"/>
      <c r="O797" s="2036"/>
      <c r="P797" s="2036"/>
      <c r="Q797" s="2036"/>
      <c r="R797" s="2036"/>
      <c r="S797" s="2037"/>
      <c r="T797" s="2062">
        <f>AK262</f>
        <v>8</v>
      </c>
      <c r="U797" s="2062"/>
      <c r="V797" s="2062"/>
      <c r="W797" s="2062"/>
      <c r="X797" s="2062"/>
      <c r="Y797" s="2062"/>
      <c r="Z797" s="2041">
        <v>8</v>
      </c>
      <c r="AA797" s="2039"/>
      <c r="AB797" s="2039"/>
      <c r="AC797" s="2039"/>
      <c r="AD797" s="2039"/>
      <c r="AE797" s="2040"/>
      <c r="AF797" s="2005">
        <f>IF(T797&gt;Z797,Z797,T797)</f>
        <v>8</v>
      </c>
      <c r="AG797" s="2005"/>
      <c r="AH797" s="2005"/>
      <c r="AI797" s="2005"/>
      <c r="AJ797" s="2005"/>
      <c r="AK797" s="2005"/>
      <c r="AL797" s="854"/>
      <c r="AM797" s="631"/>
    </row>
    <row r="798" spans="1:81" s="569" customFormat="1" hidden="1">
      <c r="A798" s="856" t="s">
        <v>598</v>
      </c>
      <c r="B798" s="2036" t="s">
        <v>1755</v>
      </c>
      <c r="C798" s="2036"/>
      <c r="D798" s="2036"/>
      <c r="E798" s="2036"/>
      <c r="F798" s="2036"/>
      <c r="G798" s="2036"/>
      <c r="H798" s="2036"/>
      <c r="I798" s="2036"/>
      <c r="J798" s="2036"/>
      <c r="K798" s="2036"/>
      <c r="L798" s="2036"/>
      <c r="M798" s="2036"/>
      <c r="N798" s="2036"/>
      <c r="O798" s="2036"/>
      <c r="P798" s="2036"/>
      <c r="Q798" s="2036"/>
      <c r="R798" s="2036"/>
      <c r="S798" s="2037"/>
      <c r="T798" s="2062">
        <f>IF(AK524&gt;5,5,AK524)</f>
        <v>0</v>
      </c>
      <c r="U798" s="2062"/>
      <c r="V798" s="2062"/>
      <c r="W798" s="2062"/>
      <c r="X798" s="2062"/>
      <c r="Y798" s="2062"/>
      <c r="Z798" s="2005">
        <v>5</v>
      </c>
      <c r="AA798" s="2005"/>
      <c r="AB798" s="2005"/>
      <c r="AC798" s="2005"/>
      <c r="AD798" s="2005"/>
      <c r="AE798" s="2005"/>
      <c r="AF798" s="2005">
        <f>IF(T798&gt;Z798,5,T798)</f>
        <v>0</v>
      </c>
      <c r="AG798" s="2005"/>
      <c r="AH798" s="2005"/>
      <c r="AI798" s="2005"/>
      <c r="AJ798" s="2005"/>
      <c r="AK798" s="2005"/>
      <c r="AL798" s="854"/>
      <c r="AM798" s="631"/>
      <c r="AO798" s="30"/>
      <c r="AP798" s="14"/>
      <c r="AQ798" s="14"/>
      <c r="AR798" s="14"/>
      <c r="AS798" s="14"/>
      <c r="AT798" s="14"/>
      <c r="AU798" s="14"/>
      <c r="AV798" s="14"/>
      <c r="AW798" s="14"/>
      <c r="AX798" s="14"/>
      <c r="AY798" s="14"/>
      <c r="AZ798" s="14"/>
      <c r="BA798" s="14"/>
      <c r="BB798" s="14"/>
      <c r="BC798" s="14"/>
      <c r="BD798" s="32"/>
      <c r="BE798" s="32"/>
      <c r="BF798" s="32"/>
      <c r="BG798" s="32"/>
      <c r="BH798" s="32"/>
      <c r="BI798" s="14"/>
      <c r="BJ798" s="14"/>
      <c r="BK798" s="14"/>
      <c r="BL798" s="14"/>
      <c r="BM798" s="14"/>
      <c r="BN798" s="14"/>
      <c r="BO798" s="14"/>
      <c r="BP798" s="14"/>
      <c r="BQ798" s="14"/>
      <c r="BR798" s="14"/>
      <c r="BS798" s="14"/>
      <c r="BT798" s="14"/>
      <c r="BU798" s="14"/>
      <c r="BV798" s="14"/>
      <c r="BW798" s="14"/>
      <c r="BX798" s="14"/>
      <c r="BY798" s="14"/>
      <c r="BZ798" s="14"/>
      <c r="CA798" s="14"/>
      <c r="CB798" s="14"/>
      <c r="CC798" s="14"/>
    </row>
    <row r="799" spans="1:81" s="569" customFormat="1">
      <c r="A799" s="855" t="s">
        <v>1548</v>
      </c>
      <c r="B799" s="2036" t="s">
        <v>1756</v>
      </c>
      <c r="C799" s="2036"/>
      <c r="D799" s="2036"/>
      <c r="E799" s="2036"/>
      <c r="F799" s="2036"/>
      <c r="G799" s="2036"/>
      <c r="H799" s="2036"/>
      <c r="I799" s="2036"/>
      <c r="J799" s="2036"/>
      <c r="K799" s="2036"/>
      <c r="L799" s="2036"/>
      <c r="M799" s="2036"/>
      <c r="N799" s="2036"/>
      <c r="O799" s="2036"/>
      <c r="P799" s="2036"/>
      <c r="Q799" s="2036"/>
      <c r="R799" s="2036"/>
      <c r="S799" s="2037"/>
      <c r="T799" s="2062">
        <f>AK274</f>
        <v>10</v>
      </c>
      <c r="U799" s="2062"/>
      <c r="V799" s="2062"/>
      <c r="W799" s="2062"/>
      <c r="X799" s="2062"/>
      <c r="Y799" s="2062"/>
      <c r="Z799" s="2005">
        <v>10</v>
      </c>
      <c r="AA799" s="2005"/>
      <c r="AB799" s="2005"/>
      <c r="AC799" s="2005"/>
      <c r="AD799" s="2005"/>
      <c r="AE799" s="2005"/>
      <c r="AF799" s="2068">
        <f>IF(T799&gt;Z799,Z799,T799)</f>
        <v>10</v>
      </c>
      <c r="AG799" s="2069"/>
      <c r="AH799" s="2069"/>
      <c r="AI799" s="2069"/>
      <c r="AJ799" s="2069"/>
      <c r="AK799" s="2070"/>
      <c r="AL799" s="854"/>
      <c r="AM799" s="631"/>
      <c r="AO799" s="30"/>
      <c r="AP799" s="14"/>
      <c r="AQ799" s="14"/>
      <c r="AR799" s="14"/>
      <c r="AS799" s="14"/>
      <c r="AT799" s="14"/>
      <c r="AU799" s="14"/>
      <c r="AV799" s="14"/>
      <c r="AW799" s="14"/>
      <c r="AX799" s="14"/>
      <c r="AY799" s="14"/>
      <c r="AZ799" s="14"/>
      <c r="BA799" s="14"/>
      <c r="BB799" s="14"/>
      <c r="BC799" s="14"/>
      <c r="BD799" s="32"/>
      <c r="BE799" s="32"/>
      <c r="BF799" s="32"/>
      <c r="BG799" s="32"/>
      <c r="BH799" s="32"/>
      <c r="BI799" s="14"/>
      <c r="BJ799" s="14"/>
      <c r="BK799" s="14"/>
      <c r="BL799" s="14"/>
      <c r="BM799" s="14"/>
      <c r="BN799" s="14"/>
      <c r="BO799" s="14"/>
      <c r="BP799" s="14"/>
      <c r="BQ799" s="14"/>
      <c r="BR799" s="14"/>
      <c r="BS799" s="14"/>
      <c r="BT799" s="14"/>
      <c r="BU799" s="14"/>
      <c r="BV799" s="14"/>
      <c r="BW799" s="14"/>
      <c r="BX799" s="14"/>
      <c r="BY799" s="14"/>
      <c r="BZ799" s="14"/>
      <c r="CA799" s="14"/>
      <c r="CB799" s="14"/>
      <c r="CC799" s="14"/>
    </row>
    <row r="800" spans="1:81" s="569" customFormat="1">
      <c r="A800" s="856" t="s">
        <v>1552</v>
      </c>
      <c r="B800" s="2036" t="s">
        <v>1553</v>
      </c>
      <c r="C800" s="2036"/>
      <c r="D800" s="2036"/>
      <c r="E800" s="2036"/>
      <c r="F800" s="2036"/>
      <c r="G800" s="2036"/>
      <c r="H800" s="2036"/>
      <c r="I800" s="2036"/>
      <c r="J800" s="2036"/>
      <c r="K800" s="2036"/>
      <c r="L800" s="2036"/>
      <c r="M800" s="2036"/>
      <c r="N800" s="2036"/>
      <c r="O800" s="2036"/>
      <c r="P800" s="2036"/>
      <c r="Q800" s="2036"/>
      <c r="R800" s="2036"/>
      <c r="S800" s="2037"/>
      <c r="T800" s="2062">
        <f>AK327</f>
        <v>10</v>
      </c>
      <c r="U800" s="2062"/>
      <c r="V800" s="2062"/>
      <c r="W800" s="2062"/>
      <c r="X800" s="2062"/>
      <c r="Y800" s="2062"/>
      <c r="Z800" s="2068">
        <v>10</v>
      </c>
      <c r="AA800" s="2069"/>
      <c r="AB800" s="2069"/>
      <c r="AC800" s="2069"/>
      <c r="AD800" s="2069"/>
      <c r="AE800" s="2070"/>
      <c r="AF800" s="2068">
        <f>IF(T800&gt;Z800,Z800,T800)</f>
        <v>10</v>
      </c>
      <c r="AG800" s="2069"/>
      <c r="AH800" s="2069"/>
      <c r="AI800" s="2069"/>
      <c r="AJ800" s="2069"/>
      <c r="AK800" s="2070"/>
      <c r="AL800" s="574"/>
      <c r="AM800" s="631"/>
      <c r="AO800" s="30"/>
      <c r="AP800" s="14"/>
      <c r="AQ800" s="14"/>
      <c r="AR800" s="14"/>
      <c r="AS800" s="14"/>
      <c r="AT800" s="14"/>
      <c r="AU800" s="14"/>
      <c r="AV800" s="14"/>
      <c r="AW800" s="14"/>
      <c r="AX800" s="14"/>
      <c r="AY800" s="14"/>
      <c r="AZ800" s="14"/>
      <c r="BA800" s="14"/>
      <c r="BB800" s="14"/>
      <c r="BC800" s="14"/>
      <c r="BD800" s="32"/>
      <c r="BE800" s="32"/>
      <c r="BF800" s="32"/>
      <c r="BG800" s="32"/>
      <c r="BH800" s="32"/>
      <c r="BI800" s="14"/>
      <c r="BJ800" s="14"/>
      <c r="BK800" s="14"/>
      <c r="BL800" s="14"/>
      <c r="BM800" s="14"/>
      <c r="BN800" s="14"/>
      <c r="BO800" s="14"/>
      <c r="BP800" s="14"/>
      <c r="BQ800" s="14"/>
      <c r="BR800" s="14"/>
      <c r="BS800" s="14"/>
      <c r="BT800" s="14"/>
      <c r="BU800" s="14"/>
      <c r="BV800" s="14"/>
      <c r="BW800" s="14"/>
      <c r="BX800" s="14"/>
      <c r="BY800" s="14"/>
      <c r="BZ800" s="14"/>
      <c r="CA800" s="14"/>
      <c r="CB800" s="14"/>
      <c r="CC800" s="14"/>
    </row>
    <row r="801" spans="1:81" s="569" customFormat="1" hidden="1">
      <c r="A801" s="856"/>
      <c r="B801" s="857"/>
      <c r="C801" s="858" t="s">
        <v>1757</v>
      </c>
      <c r="D801" s="859"/>
      <c r="E801" s="859"/>
      <c r="F801" s="859"/>
      <c r="G801" s="859"/>
      <c r="H801" s="859"/>
      <c r="I801" s="859"/>
      <c r="J801" s="859"/>
      <c r="K801" s="859"/>
      <c r="L801" s="859"/>
      <c r="M801" s="859"/>
      <c r="N801" s="859"/>
      <c r="O801" s="859"/>
      <c r="P801" s="859"/>
      <c r="Q801" s="859"/>
      <c r="R801" s="857"/>
      <c r="S801" s="860"/>
      <c r="T801" s="1942">
        <f>AK327</f>
        <v>10</v>
      </c>
      <c r="U801" s="1942"/>
      <c r="V801" s="1942"/>
      <c r="W801" s="1942"/>
      <c r="X801" s="1942"/>
      <c r="Y801" s="1942"/>
      <c r="Z801" s="1947">
        <v>20</v>
      </c>
      <c r="AA801" s="1948"/>
      <c r="AB801" s="1948"/>
      <c r="AC801" s="1948"/>
      <c r="AD801" s="1948"/>
      <c r="AE801" s="1949"/>
      <c r="AF801" s="2065"/>
      <c r="AG801" s="2065"/>
      <c r="AH801" s="2065"/>
      <c r="AI801" s="2065"/>
      <c r="AJ801" s="2065"/>
      <c r="AK801" s="2065"/>
      <c r="AL801" s="574"/>
      <c r="AM801" s="631"/>
      <c r="AO801" s="30"/>
      <c r="AP801" s="14"/>
      <c r="AQ801" s="14"/>
      <c r="AR801" s="14"/>
      <c r="AS801" s="14"/>
      <c r="AT801" s="14"/>
      <c r="AU801" s="14"/>
      <c r="AV801" s="14"/>
      <c r="AW801" s="14"/>
      <c r="AX801" s="14"/>
      <c r="AY801" s="14"/>
      <c r="AZ801" s="14"/>
      <c r="BA801" s="14"/>
      <c r="BB801" s="14"/>
      <c r="BC801" s="14"/>
      <c r="BD801" s="32"/>
      <c r="BE801" s="32"/>
      <c r="BF801" s="32"/>
      <c r="BG801" s="32"/>
      <c r="BH801" s="32"/>
      <c r="BI801" s="14"/>
      <c r="BJ801" s="14"/>
      <c r="BK801" s="14"/>
      <c r="BL801" s="14"/>
      <c r="BM801" s="14"/>
      <c r="BN801" s="14"/>
      <c r="BO801" s="14"/>
      <c r="BP801" s="14"/>
      <c r="BQ801" s="14"/>
      <c r="BR801" s="14"/>
      <c r="BS801" s="14"/>
      <c r="BT801" s="14"/>
      <c r="BU801" s="14"/>
      <c r="BV801" s="14"/>
      <c r="BW801" s="14"/>
      <c r="BX801" s="14"/>
      <c r="BY801" s="14"/>
      <c r="BZ801" s="14"/>
      <c r="CA801" s="14"/>
      <c r="CB801" s="14"/>
      <c r="CC801" s="14"/>
    </row>
    <row r="802" spans="1:81" s="569" customFormat="1">
      <c r="A802" s="856" t="s">
        <v>1625</v>
      </c>
      <c r="B802" s="2036" t="s">
        <v>873</v>
      </c>
      <c r="C802" s="2036"/>
      <c r="D802" s="2036"/>
      <c r="E802" s="2036"/>
      <c r="F802" s="2036"/>
      <c r="G802" s="2036"/>
      <c r="H802" s="2036"/>
      <c r="I802" s="2036"/>
      <c r="J802" s="2036"/>
      <c r="K802" s="2036"/>
      <c r="L802" s="2036"/>
      <c r="M802" s="2036"/>
      <c r="N802" s="2036"/>
      <c r="O802" s="2036"/>
      <c r="P802" s="2036"/>
      <c r="Q802" s="2036"/>
      <c r="R802" s="2036"/>
      <c r="S802" s="2037"/>
      <c r="T802" s="2062">
        <f>AK458</f>
        <v>10</v>
      </c>
      <c r="U802" s="2062"/>
      <c r="V802" s="2062"/>
      <c r="W802" s="2062"/>
      <c r="X802" s="2062"/>
      <c r="Y802" s="2062"/>
      <c r="Z802" s="2068">
        <v>10</v>
      </c>
      <c r="AA802" s="2069"/>
      <c r="AB802" s="2069"/>
      <c r="AC802" s="2069"/>
      <c r="AD802" s="2069"/>
      <c r="AE802" s="2070"/>
      <c r="AF802" s="2005">
        <f>IF(T802&gt;Z802,Z802,T802)</f>
        <v>10</v>
      </c>
      <c r="AG802" s="2005"/>
      <c r="AH802" s="2005"/>
      <c r="AI802" s="2005"/>
      <c r="AJ802" s="2005"/>
      <c r="AK802" s="2005"/>
      <c r="AL802" s="574"/>
      <c r="AM802" s="631"/>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9" customFormat="1">
      <c r="A803" s="856" t="s">
        <v>1735</v>
      </c>
      <c r="B803" s="2036" t="s">
        <v>1736</v>
      </c>
      <c r="C803" s="2036"/>
      <c r="D803" s="2036"/>
      <c r="E803" s="2036"/>
      <c r="F803" s="2036"/>
      <c r="G803" s="2036"/>
      <c r="H803" s="2036"/>
      <c r="I803" s="2036"/>
      <c r="J803" s="2036"/>
      <c r="K803" s="2036"/>
      <c r="L803" s="2036"/>
      <c r="M803" s="2036"/>
      <c r="N803" s="2036"/>
      <c r="O803" s="2036"/>
      <c r="P803" s="2036"/>
      <c r="Q803" s="2036"/>
      <c r="R803" s="2036"/>
      <c r="S803" s="2037"/>
      <c r="T803" s="2062">
        <f>AK548</f>
        <v>12</v>
      </c>
      <c r="U803" s="2062"/>
      <c r="V803" s="2062"/>
      <c r="W803" s="2062"/>
      <c r="X803" s="2062"/>
      <c r="Y803" s="2062"/>
      <c r="Z803" s="2068">
        <v>12</v>
      </c>
      <c r="AA803" s="2069"/>
      <c r="AB803" s="2069"/>
      <c r="AC803" s="2069"/>
      <c r="AD803" s="2069"/>
      <c r="AE803" s="2070"/>
      <c r="AF803" s="2005">
        <f>IF(T803&gt;Z803,Z803,T803)</f>
        <v>12</v>
      </c>
      <c r="AG803" s="2005"/>
      <c r="AH803" s="2005"/>
      <c r="AI803" s="2005"/>
      <c r="AJ803" s="2005"/>
      <c r="AK803" s="2005"/>
      <c r="AL803" s="574"/>
      <c r="AM803" s="631"/>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9" customFormat="1">
      <c r="A804" s="856" t="s">
        <v>2418</v>
      </c>
      <c r="B804" s="2036" t="s">
        <v>1758</v>
      </c>
      <c r="C804" s="2036"/>
      <c r="D804" s="2036"/>
      <c r="E804" s="2036"/>
      <c r="F804" s="2036"/>
      <c r="G804" s="2036"/>
      <c r="H804" s="2036"/>
      <c r="I804" s="2036"/>
      <c r="J804" s="2036"/>
      <c r="K804" s="2036"/>
      <c r="L804" s="2036"/>
      <c r="M804" s="2036"/>
      <c r="N804" s="2036"/>
      <c r="O804" s="2036"/>
      <c r="P804" s="2036"/>
      <c r="Q804" s="2036"/>
      <c r="R804" s="2036"/>
      <c r="S804" s="2037"/>
      <c r="T804" s="2062">
        <f>AK779</f>
        <v>10</v>
      </c>
      <c r="U804" s="2062"/>
      <c r="V804" s="2062"/>
      <c r="W804" s="2062"/>
      <c r="X804" s="2062"/>
      <c r="Y804" s="2062"/>
      <c r="Z804" s="2068">
        <v>10</v>
      </c>
      <c r="AA804" s="2069"/>
      <c r="AB804" s="2069"/>
      <c r="AC804" s="2069"/>
      <c r="AD804" s="2069"/>
      <c r="AE804" s="2070"/>
      <c r="AF804" s="2005">
        <f>IF(T804&gt;Z804,Z804,T804)</f>
        <v>10</v>
      </c>
      <c r="AG804" s="2005"/>
      <c r="AH804" s="2005"/>
      <c r="AI804" s="2005"/>
      <c r="AJ804" s="2005"/>
      <c r="AK804" s="2005"/>
      <c r="AL804" s="574"/>
      <c r="AM804" s="631"/>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9" customFormat="1">
      <c r="A805" s="2066" t="s">
        <v>1759</v>
      </c>
      <c r="B805" s="2036"/>
      <c r="C805" s="2036"/>
      <c r="D805" s="2036"/>
      <c r="E805" s="2036"/>
      <c r="F805" s="2036"/>
      <c r="G805" s="2036"/>
      <c r="H805" s="2036"/>
      <c r="I805" s="2036"/>
      <c r="J805" s="2036"/>
      <c r="K805" s="2036"/>
      <c r="L805" s="2036"/>
      <c r="M805" s="2036"/>
      <c r="N805" s="2036"/>
      <c r="O805" s="2036"/>
      <c r="P805" s="2036"/>
      <c r="Q805" s="2036"/>
      <c r="R805" s="2036"/>
      <c r="S805" s="2037"/>
      <c r="T805" s="2067"/>
      <c r="U805" s="2067"/>
      <c r="V805" s="2067"/>
      <c r="W805" s="2067"/>
      <c r="X805" s="2067"/>
      <c r="Y805" s="2067"/>
      <c r="Z805" s="1943" t="s">
        <v>1760</v>
      </c>
      <c r="AA805" s="1943"/>
      <c r="AB805" s="1943"/>
      <c r="AC805" s="1943"/>
      <c r="AD805" s="1943"/>
      <c r="AE805" s="1943"/>
      <c r="AF805" s="2068">
        <f>IF(T805&gt;0,T805,0)</f>
        <v>0</v>
      </c>
      <c r="AG805" s="2069"/>
      <c r="AH805" s="2069"/>
      <c r="AI805" s="2069"/>
      <c r="AJ805" s="2069"/>
      <c r="AK805" s="2070"/>
      <c r="AL805" s="626"/>
      <c r="AM805" s="631"/>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9" customFormat="1" ht="15.75">
      <c r="A806" s="2071" t="s">
        <v>1761</v>
      </c>
      <c r="B806" s="2072"/>
      <c r="C806" s="2072"/>
      <c r="D806" s="2072"/>
      <c r="E806" s="2072"/>
      <c r="F806" s="2072"/>
      <c r="G806" s="2072"/>
      <c r="H806" s="2072"/>
      <c r="I806" s="2072"/>
      <c r="J806" s="2072"/>
      <c r="K806" s="2072"/>
      <c r="L806" s="2072"/>
      <c r="M806" s="2072"/>
      <c r="N806" s="2072"/>
      <c r="O806" s="2072"/>
      <c r="P806" s="2072"/>
      <c r="Q806" s="2072"/>
      <c r="R806" s="2072"/>
      <c r="S806" s="2072"/>
      <c r="T806" s="2072"/>
      <c r="U806" s="2072"/>
      <c r="V806" s="2072"/>
      <c r="W806" s="2072"/>
      <c r="X806" s="2072"/>
      <c r="Y806" s="2072"/>
      <c r="Z806" s="2072"/>
      <c r="AA806" s="2072"/>
      <c r="AB806" s="2072"/>
      <c r="AC806" s="2072"/>
      <c r="AD806" s="2072"/>
      <c r="AE806" s="2073"/>
      <c r="AF806" s="2077">
        <f ca="1">SUM(AF789:AK804)-AF805</f>
        <v>120</v>
      </c>
      <c r="AG806" s="2078"/>
      <c r="AH806" s="2078"/>
      <c r="AI806" s="2078"/>
      <c r="AJ806" s="2078"/>
      <c r="AK806" s="2079"/>
      <c r="AL806" s="861"/>
      <c r="AM806" s="585"/>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9" customFormat="1" ht="15.75">
      <c r="A807" s="2074"/>
      <c r="B807" s="2075"/>
      <c r="C807" s="2075"/>
      <c r="D807" s="2075"/>
      <c r="E807" s="2075"/>
      <c r="F807" s="2075"/>
      <c r="G807" s="2075"/>
      <c r="H807" s="2075"/>
      <c r="I807" s="2075"/>
      <c r="J807" s="2075"/>
      <c r="K807" s="2075"/>
      <c r="L807" s="2075"/>
      <c r="M807" s="2075"/>
      <c r="N807" s="2075"/>
      <c r="O807" s="2075"/>
      <c r="P807" s="2075"/>
      <c r="Q807" s="2075"/>
      <c r="R807" s="2075"/>
      <c r="S807" s="2075"/>
      <c r="T807" s="2075"/>
      <c r="U807" s="2075"/>
      <c r="V807" s="2075"/>
      <c r="W807" s="2075"/>
      <c r="X807" s="2075"/>
      <c r="Y807" s="2075"/>
      <c r="Z807" s="2075"/>
      <c r="AA807" s="2075"/>
      <c r="AB807" s="2075"/>
      <c r="AC807" s="2075"/>
      <c r="AD807" s="2075"/>
      <c r="AE807" s="2076"/>
      <c r="AF807" s="2080"/>
      <c r="AG807" s="2081"/>
      <c r="AH807" s="2081"/>
      <c r="AI807" s="2081"/>
      <c r="AJ807" s="2081"/>
      <c r="AK807" s="2082"/>
      <c r="AL807" s="861"/>
      <c r="AM807" s="585"/>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9" customFormat="1">
      <c r="A808" s="698"/>
      <c r="B808" s="698"/>
      <c r="C808" s="698"/>
      <c r="D808" s="698"/>
      <c r="E808" s="698"/>
      <c r="F808" s="698"/>
      <c r="G808" s="698"/>
      <c r="H808" s="698"/>
      <c r="I808" s="698"/>
      <c r="J808" s="698"/>
      <c r="K808" s="698"/>
      <c r="L808" s="698"/>
      <c r="M808" s="698"/>
      <c r="N808" s="698"/>
      <c r="O808" s="698"/>
      <c r="P808" s="698"/>
      <c r="Q808" s="698"/>
      <c r="R808" s="698"/>
      <c r="S808" s="698"/>
      <c r="T808" s="698"/>
      <c r="U808" s="698"/>
      <c r="V808" s="698"/>
      <c r="W808" s="698"/>
      <c r="X808" s="698"/>
      <c r="Y808" s="698"/>
      <c r="Z808" s="698"/>
      <c r="AA808" s="698"/>
      <c r="AB808" s="698"/>
      <c r="AC808" s="698"/>
      <c r="AD808" s="698"/>
      <c r="AE808" s="698"/>
      <c r="AF808" s="698"/>
      <c r="AG808" s="698"/>
      <c r="AH808" s="698"/>
      <c r="AI808" s="698"/>
      <c r="AJ808" s="698"/>
      <c r="AK808" s="698"/>
      <c r="AL808" s="698"/>
      <c r="AM808" s="862"/>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heetData>
  <sheetProtection algorithmName="SHA-512" hashValue="wm3NSvqzTZzv3gROT/QIzugkq9LhUs1mYmSS7E9YKBFBNKZTCBkqVYuJ4B2tlwWei+bbxUpUu+vg3hwFU3lSAQ==" saltValue="ALKuIL2pcnoPnmpF2hY9PQ==" spinCount="100000" sheet="1" objects="1" scenarios="1"/>
  <mergeCells count="494">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79:AM779"/>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4:I764"/>
    <mergeCell ref="AJ766:AK766"/>
    <mergeCell ref="E770:AD773"/>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797:S797"/>
    <mergeCell ref="T797:Y797"/>
    <mergeCell ref="Z797:AE797"/>
    <mergeCell ref="AF797:AK797"/>
    <mergeCell ref="B798:S798"/>
    <mergeCell ref="T798:Y798"/>
    <mergeCell ref="Z798:AE798"/>
    <mergeCell ref="AF798:AK798"/>
    <mergeCell ref="C795:S795"/>
    <mergeCell ref="T795:Y795"/>
    <mergeCell ref="Z795:AE795"/>
    <mergeCell ref="AF795:AK795"/>
    <mergeCell ref="B796:S796"/>
    <mergeCell ref="T796:Y796"/>
    <mergeCell ref="Z796:AE796"/>
    <mergeCell ref="AF796:AK796"/>
    <mergeCell ref="B799:S799"/>
    <mergeCell ref="T799:Y799"/>
    <mergeCell ref="Z799:AE799"/>
    <mergeCell ref="AF799:AK799"/>
    <mergeCell ref="B800:S800"/>
    <mergeCell ref="T800:Y800"/>
    <mergeCell ref="Z800:AE800"/>
    <mergeCell ref="AF800:AK800"/>
    <mergeCell ref="T801:Y801"/>
    <mergeCell ref="Z801:AE801"/>
    <mergeCell ref="AF801:AK801"/>
    <mergeCell ref="A805:S805"/>
    <mergeCell ref="T805:Y805"/>
    <mergeCell ref="Z805:AE805"/>
    <mergeCell ref="AF805:AK805"/>
    <mergeCell ref="A806:AE807"/>
    <mergeCell ref="AF806:AK807"/>
    <mergeCell ref="B802:S802"/>
    <mergeCell ref="T802:Y802"/>
    <mergeCell ref="Z802:AE802"/>
    <mergeCell ref="AF802:AK802"/>
    <mergeCell ref="B803:S803"/>
    <mergeCell ref="T803:Y803"/>
    <mergeCell ref="Z803:AE803"/>
    <mergeCell ref="AF803:AK803"/>
    <mergeCell ref="T804:Y804"/>
    <mergeCell ref="Z804:AE804"/>
    <mergeCell ref="AF804:AK804"/>
    <mergeCell ref="B804:S804"/>
    <mergeCell ref="B793:S793"/>
    <mergeCell ref="T793:Y793"/>
    <mergeCell ref="Z793:AE793"/>
    <mergeCell ref="AF793:AK793"/>
    <mergeCell ref="C794:S794"/>
    <mergeCell ref="T794:Y794"/>
    <mergeCell ref="Z794:AE794"/>
    <mergeCell ref="AF794:AK794"/>
    <mergeCell ref="B791:S791"/>
    <mergeCell ref="T791:Y791"/>
    <mergeCell ref="Z791:AE791"/>
    <mergeCell ref="AF791:AK791"/>
    <mergeCell ref="B792:S792"/>
    <mergeCell ref="T792:Y792"/>
    <mergeCell ref="Z792:AE792"/>
    <mergeCell ref="AF792:AK792"/>
    <mergeCell ref="B789:S789"/>
    <mergeCell ref="T789:Y789"/>
    <mergeCell ref="Z789:AE789"/>
    <mergeCell ref="AF789:AK789"/>
    <mergeCell ref="B790:S790"/>
    <mergeCell ref="T790:Y790"/>
    <mergeCell ref="Z790:AE790"/>
    <mergeCell ref="AF790:AK790"/>
    <mergeCell ref="B544:AJ546"/>
    <mergeCell ref="AK548:AM548"/>
    <mergeCell ref="A782:AM783"/>
    <mergeCell ref="A785:AM785"/>
    <mergeCell ref="A786:AM786"/>
    <mergeCell ref="T787:Y788"/>
    <mergeCell ref="Z787:AE788"/>
    <mergeCell ref="AF787:AK788"/>
    <mergeCell ref="E680:AB683"/>
    <mergeCell ref="AF680:AL680"/>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36:I736"/>
    <mergeCell ref="AJ738:AK738"/>
    <mergeCell ref="E742:AB743"/>
    <mergeCell ref="AF742:AL742"/>
    <mergeCell ref="E745:AB746"/>
    <mergeCell ref="AF745:AL745"/>
    <mergeCell ref="H720:I720"/>
    <mergeCell ref="AJ722:AK722"/>
    <mergeCell ref="E726:AB729"/>
    <mergeCell ref="AF726:AL726"/>
    <mergeCell ref="E731:AA734"/>
    <mergeCell ref="AF731:AL731"/>
    <mergeCell ref="AF770:AL770"/>
    <mergeCell ref="H775:I775"/>
    <mergeCell ref="AJ777:AK777"/>
    <mergeCell ref="H748:I748"/>
    <mergeCell ref="AJ750:AK750"/>
    <mergeCell ref="E754:AD757"/>
    <mergeCell ref="AF754:AL754"/>
    <mergeCell ref="E759:AD762"/>
    <mergeCell ref="AF759:AL759"/>
    <mergeCell ref="AP710:AQ710"/>
    <mergeCell ref="E714:AB715"/>
    <mergeCell ref="AF714:AL714"/>
    <mergeCell ref="E717:AB718"/>
    <mergeCell ref="AF717:AL717"/>
    <mergeCell ref="AJ696:AK696"/>
    <mergeCell ref="E700:AB702"/>
    <mergeCell ref="AF700:AL700"/>
    <mergeCell ref="E704:AB706"/>
    <mergeCell ref="AF704:AL704"/>
    <mergeCell ref="H708:I708"/>
    <mergeCell ref="AJ710:AK710"/>
    <mergeCell ref="AO681:AP681"/>
    <mergeCell ref="E685:AB688"/>
    <mergeCell ref="AF685:AL685"/>
    <mergeCell ref="H694:I694"/>
    <mergeCell ref="E690:AB692"/>
    <mergeCell ref="E666:AC668"/>
    <mergeCell ref="AF666:AL666"/>
    <mergeCell ref="E670:AC672"/>
    <mergeCell ref="AF670:AL670"/>
    <mergeCell ref="H674:I674"/>
    <mergeCell ref="AJ676:AK676"/>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C161:AD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AG805:AL805 T793:AK793 AQ435:AQ437 AN444:AN448 AP434 AG796:AK796 T805:AE805 T802:Z802 Z803:Z804 T794:AF796 T804:Y804 AF804:AF806 T801:AF801 T798:AK800">
    <cfRule type="expression" dxfId="31" priority="13" stopIfTrue="1">
      <formula>ISERROR(T434)</formula>
    </cfRule>
  </conditionalFormatting>
  <conditionalFormatting sqref="AP460">
    <cfRule type="expression" dxfId="30" priority="12" stopIfTrue="1">
      <formula>ISERROR(AP460)</formula>
    </cfRule>
  </conditionalFormatting>
  <conditionalFormatting sqref="AF802:AK802">
    <cfRule type="expression" dxfId="29" priority="11" stopIfTrue="1">
      <formula>ISERROR(AF802)</formula>
    </cfRule>
  </conditionalFormatting>
  <conditionalFormatting sqref="T803:Y804">
    <cfRule type="expression" dxfId="28" priority="10" stopIfTrue="1">
      <formula>ISERROR(T803)</formula>
    </cfRule>
  </conditionalFormatting>
  <conditionalFormatting sqref="AF803:AK804">
    <cfRule type="expression" dxfId="27" priority="9" stopIfTrue="1">
      <formula>ISERROR(AF803)</formula>
    </cfRule>
  </conditionalFormatting>
  <conditionalFormatting sqref="AF797:AK797">
    <cfRule type="expression" dxfId="26" priority="8" stopIfTrue="1">
      <formula>ISERROR(AF797)</formula>
    </cfRule>
  </conditionalFormatting>
  <conditionalFormatting sqref="T797:Y797">
    <cfRule type="expression" dxfId="25" priority="7" stopIfTrue="1">
      <formula>ISERROR(T797)</formula>
    </cfRule>
  </conditionalFormatting>
  <conditionalFormatting sqref="AF792:AK792">
    <cfRule type="expression" dxfId="24" priority="6" stopIfTrue="1">
      <formula>ISERROR(AF792)</formula>
    </cfRule>
  </conditionalFormatting>
  <conditionalFormatting sqref="AF791:AK791">
    <cfRule type="expression" dxfId="23" priority="5" stopIfTrue="1">
      <formula>ISERROR(AF791)</formula>
    </cfRule>
  </conditionalFormatting>
  <conditionalFormatting sqref="AF790:AK790">
    <cfRule type="expression" dxfId="22" priority="4" stopIfTrue="1">
      <formula>ISERROR(AF790)</formula>
    </cfRule>
  </conditionalFormatting>
  <conditionalFormatting sqref="AF789:AK789">
    <cfRule type="expression" dxfId="21" priority="3" stopIfTrue="1">
      <formula>ISERROR(AF789)</formula>
    </cfRule>
  </conditionalFormatting>
  <conditionalFormatting sqref="Z804">
    <cfRule type="expression" dxfId="20" priority="1" stopIfTrue="1">
      <formula>ISERROR(Z804)</formula>
    </cfRule>
  </conditionalFormatting>
  <dataValidations count="33">
    <dataValidation type="list" allowBlank="1" showInputMessage="1" showErrorMessage="1" sqref="V476:X476" xr:uid="{00000000-0002-0000-0800-000000000000}">
      <formula1>$AO$444:$AO$446</formula1>
    </dataValidation>
    <dataValidation type="list" allowBlank="1" showInputMessage="1" showErrorMessage="1" sqref="V485:X485" xr:uid="{00000000-0002-0000-0800-000001000000}">
      <formula1>$AW$444:$AW$447</formula1>
    </dataValidation>
    <dataValidation type="list" allowBlank="1" showInputMessage="1" showErrorMessage="1" sqref="V487:X487" xr:uid="{00000000-0002-0000-0800-000002000000}">
      <formula1>$BA$444:$BA$446</formula1>
    </dataValidation>
    <dataValidation type="list" allowBlank="1" showInputMessage="1" showErrorMessage="1" sqref="F469:Z469" xr:uid="{00000000-0002-0000-0800-000003000000}">
      <formula1>$AO$434:$AO$442</formula1>
    </dataValidation>
    <dataValidation type="list" allowBlank="1" showInputMessage="1" showErrorMessage="1" sqref="V481:X481" xr:uid="{00000000-0002-0000-0800-000004000000}">
      <formula1>$AO$448:$AO$450</formula1>
    </dataValidation>
    <dataValidation type="list" allowBlank="1" showInputMessage="1" showErrorMessage="1" sqref="V474:X474" xr:uid="{00000000-0002-0000-0800-000005000000}">
      <formula1>$AR$444:$AR$446</formula1>
    </dataValidation>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48:I748 H736:I736 H720:I720 H708:I708 H694:I694 H639:I639 H627:I627"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C161:AD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5:I775" xr:uid="{00000000-0002-0000-0800-000013000000}">
      <formula1>$AO$769:$AO$770</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764:I764" xr:uid="{00000000-0002-0000-0800-00001B000000}">
      <formula1>$AP$705:$AP$707</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3" max="38" man="1"/>
    <brk id="380" max="38" man="1"/>
    <brk id="781" max="38"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zoomScaleNormal="100" workbookViewId="0">
      <selection activeCell="G72" sqref="G72"/>
    </sheetView>
  </sheetViews>
  <sheetFormatPr defaultColWidth="9.140625" defaultRowHeight="14.25"/>
  <cols>
    <col min="1" max="1" width="2.42578125" style="1088" customWidth="1"/>
    <col min="2" max="9" width="14.7109375" style="1088" customWidth="1"/>
    <col min="10" max="10" width="2.28515625" style="1088" customWidth="1"/>
    <col min="11" max="11" width="11.85546875" style="1089" customWidth="1"/>
    <col min="12" max="12" width="10.7109375" style="1088" customWidth="1"/>
    <col min="13" max="13" width="10.42578125" style="1088" customWidth="1"/>
    <col min="14" max="14" width="10.85546875" style="1088" customWidth="1"/>
    <col min="15" max="16384" width="9.140625" style="1088"/>
  </cols>
  <sheetData>
    <row r="1" spans="1:13" ht="30" customHeight="1">
      <c r="A1" s="2127" t="s">
        <v>1762</v>
      </c>
      <c r="B1" s="2127"/>
      <c r="C1" s="2127"/>
      <c r="D1" s="2127"/>
      <c r="E1" s="2127"/>
      <c r="F1" s="2127"/>
      <c r="G1" s="2127"/>
      <c r="H1" s="2127"/>
      <c r="I1" s="2127"/>
      <c r="J1" s="2127"/>
    </row>
    <row r="2" spans="1:13" ht="15" customHeight="1" thickBot="1">
      <c r="A2" s="1090"/>
      <c r="B2" s="1090"/>
      <c r="I2" s="1091"/>
      <c r="K2" s="1092"/>
    </row>
    <row r="3" spans="1:13" s="1095" customFormat="1" ht="20.100000000000001" customHeight="1">
      <c r="A3" s="1149"/>
      <c r="B3" s="1150"/>
      <c r="C3" s="1151"/>
      <c r="D3" s="1156"/>
      <c r="E3" s="1151"/>
      <c r="F3" s="1152" t="s">
        <v>2383</v>
      </c>
      <c r="G3" s="1151"/>
      <c r="H3" s="1153">
        <f>E16</f>
        <v>20060656</v>
      </c>
      <c r="I3" s="1154"/>
    </row>
    <row r="4" spans="1:13" s="1095" customFormat="1" ht="20.100000000000001" customHeight="1">
      <c r="B4" s="1143"/>
      <c r="D4" s="1157"/>
      <c r="F4" s="1141" t="s">
        <v>2385</v>
      </c>
      <c r="G4" s="1140" t="s">
        <v>2384</v>
      </c>
      <c r="H4" s="1142">
        <f>I16</f>
        <v>48204632.353349671</v>
      </c>
      <c r="I4" s="1144"/>
      <c r="K4" s="1099"/>
    </row>
    <row r="5" spans="1:13" s="1095" customFormat="1" ht="20.100000000000001" customHeight="1" thickBot="1">
      <c r="B5" s="1145"/>
      <c r="C5" s="1146"/>
      <c r="D5" s="1158"/>
      <c r="E5" s="1147"/>
      <c r="F5" s="1158" t="s">
        <v>2325</v>
      </c>
      <c r="G5" s="1159"/>
      <c r="H5" s="1155">
        <f>H3/H4</f>
        <v>0.41615618708491225</v>
      </c>
      <c r="I5" s="1148"/>
      <c r="K5" s="1099"/>
    </row>
    <row r="6" spans="1:13" s="1095" customFormat="1" ht="15" customHeight="1">
      <c r="B6" s="1096"/>
      <c r="C6" s="1097"/>
      <c r="F6" s="1098"/>
      <c r="K6" s="1099"/>
    </row>
    <row r="7" spans="1:13" s="1095" customFormat="1" ht="15" customHeight="1">
      <c r="E7" s="1100"/>
      <c r="F7" s="1098"/>
      <c r="K7" s="1101"/>
    </row>
    <row r="8" spans="1:13" s="1095" customFormat="1" ht="15" customHeight="1">
      <c r="A8" s="1102"/>
      <c r="B8" s="2129" t="s">
        <v>2323</v>
      </c>
      <c r="C8" s="2130"/>
      <c r="D8" s="2130"/>
      <c r="E8" s="2131"/>
      <c r="G8" s="2132" t="s">
        <v>2324</v>
      </c>
      <c r="H8" s="2133"/>
      <c r="I8" s="2134"/>
      <c r="K8" s="1101"/>
    </row>
    <row r="9" spans="1:13" ht="15" customHeight="1">
      <c r="A9" s="1090"/>
      <c r="B9" s="2128" t="s">
        <v>2362</v>
      </c>
      <c r="C9" s="2128"/>
      <c r="D9" s="2128"/>
      <c r="E9" s="1103">
        <f>G31</f>
        <v>10187500</v>
      </c>
      <c r="G9" s="2137" t="s">
        <v>2360</v>
      </c>
      <c r="H9" s="2137"/>
      <c r="I9" s="1104">
        <f>Application!AM550</f>
        <v>33955000</v>
      </c>
      <c r="K9" s="1105"/>
      <c r="M9" s="1106"/>
    </row>
    <row r="10" spans="1:13" ht="15" customHeight="1" thickBot="1">
      <c r="A10" s="1090"/>
      <c r="B10" s="2128" t="s">
        <v>2363</v>
      </c>
      <c r="C10" s="2128"/>
      <c r="D10" s="2128"/>
      <c r="E10" s="1104">
        <f>G40</f>
        <v>8718156</v>
      </c>
      <c r="G10" s="2137" t="s">
        <v>2326</v>
      </c>
      <c r="H10" s="2137"/>
      <c r="I10" s="1191">
        <f>'Basis &amp; Credits'!AB77</f>
        <v>13570147</v>
      </c>
      <c r="M10" s="1106"/>
    </row>
    <row r="11" spans="1:13" ht="15" customHeight="1">
      <c r="A11" s="1107"/>
      <c r="B11" s="2128" t="s">
        <v>2364</v>
      </c>
      <c r="C11" s="2128"/>
      <c r="D11" s="2128"/>
      <c r="E11" s="1104">
        <f>G49</f>
        <v>0</v>
      </c>
      <c r="G11" s="2137" t="s">
        <v>2375</v>
      </c>
      <c r="H11" s="2137"/>
      <c r="I11" s="1190">
        <f>I9+I10</f>
        <v>47525147</v>
      </c>
      <c r="M11" s="1106"/>
    </row>
    <row r="12" spans="1:13" ht="15" customHeight="1">
      <c r="A12" s="1093"/>
      <c r="B12" s="2128" t="s">
        <v>2365</v>
      </c>
      <c r="C12" s="2128"/>
      <c r="D12" s="2128"/>
      <c r="E12" s="1104">
        <f>G58</f>
        <v>340000</v>
      </c>
      <c r="G12" s="1192" t="s">
        <v>2400</v>
      </c>
      <c r="H12" s="1193"/>
      <c r="M12" s="1106"/>
    </row>
    <row r="13" spans="1:13" ht="15" customHeight="1">
      <c r="A13" s="1090"/>
      <c r="B13" s="2128" t="s">
        <v>2366</v>
      </c>
      <c r="C13" s="2128"/>
      <c r="D13" s="2128"/>
      <c r="E13" s="1109">
        <f>G83</f>
        <v>815000</v>
      </c>
      <c r="G13" s="2138" t="s">
        <v>140</v>
      </c>
      <c r="H13" s="2138"/>
      <c r="I13" s="1108">
        <f>15%*(Application!AJ963&gt;0)</f>
        <v>0</v>
      </c>
      <c r="M13" s="1106"/>
    </row>
    <row r="14" spans="1:13" ht="15" customHeight="1">
      <c r="A14" s="1090"/>
      <c r="B14" s="2128" t="s">
        <v>2367</v>
      </c>
      <c r="C14" s="2128"/>
      <c r="D14" s="2128"/>
      <c r="E14" s="1104">
        <f>IF(G96&gt;G106,G96,0)</f>
        <v>0</v>
      </c>
      <c r="G14" s="1188" t="s">
        <v>2376</v>
      </c>
      <c r="H14" s="1188"/>
      <c r="I14" s="1108">
        <f>IF(Application!AJ997&gt;0,10%,IF(Application!AJ1001&gt;0,5%,0))</f>
        <v>0</v>
      </c>
      <c r="M14" s="1106"/>
    </row>
    <row r="15" spans="1:13" ht="15" customHeight="1" thickBot="1">
      <c r="A15" s="1090"/>
      <c r="B15" s="2135" t="s">
        <v>2386</v>
      </c>
      <c r="C15" s="2135"/>
      <c r="D15" s="2135"/>
      <c r="E15" s="1160">
        <f>IF(E14&gt;0,0,G106)</f>
        <v>0</v>
      </c>
      <c r="G15" s="2141" t="s">
        <v>2377</v>
      </c>
      <c r="H15" s="2142"/>
      <c r="I15" s="1162">
        <f>G114</f>
        <v>-1.4297385620915032E-2</v>
      </c>
      <c r="M15" s="1106"/>
    </row>
    <row r="16" spans="1:13" ht="15" customHeight="1">
      <c r="A16" s="1090"/>
      <c r="B16" s="2136" t="s">
        <v>2322</v>
      </c>
      <c r="C16" s="2136"/>
      <c r="D16" s="2136"/>
      <c r="E16" s="1161">
        <f>SUM(E9:E15)</f>
        <v>20060656</v>
      </c>
      <c r="G16" s="1189" t="s">
        <v>2361</v>
      </c>
      <c r="H16" s="1189"/>
      <c r="I16" s="1163">
        <f>I11-((I11*I13)+(I11*I14)+(I11*I15))</f>
        <v>48204632.353349671</v>
      </c>
    </row>
    <row r="17" spans="1:20" ht="15" customHeight="1">
      <c r="A17" s="1090"/>
      <c r="B17" s="1090"/>
      <c r="E17" s="1110"/>
      <c r="H17" s="1111"/>
      <c r="I17" s="1112"/>
    </row>
    <row r="18" spans="1:20" ht="15" customHeight="1">
      <c r="B18" s="1113" t="str">
        <f>B9</f>
        <v>A. Unit Production Benefit</v>
      </c>
      <c r="C18" s="1114"/>
      <c r="D18" s="1114"/>
      <c r="E18" s="1114"/>
      <c r="F18" s="1114"/>
      <c r="G18" s="1114"/>
      <c r="H18" s="1114"/>
      <c r="I18" s="1115"/>
      <c r="M18" s="1110">
        <f>SUM(Cdlac[Quantity])</f>
        <v>166</v>
      </c>
      <c r="O18" s="1133" t="s">
        <v>591</v>
      </c>
      <c r="P18" s="1088">
        <f>MATCH(Application!T189,Application!BP656:BP713,0)</f>
        <v>31</v>
      </c>
      <c r="S18" s="1110">
        <f>SUM(Cdlac[Population])</f>
        <v>0</v>
      </c>
    </row>
    <row r="19" spans="1:20" ht="15" customHeight="1">
      <c r="A19" s="1090"/>
      <c r="B19" s="1090"/>
      <c r="I19" s="1116"/>
      <c r="L19" s="1088" t="s">
        <v>2318</v>
      </c>
      <c r="M19" s="1088" t="s">
        <v>2317</v>
      </c>
      <c r="N19" s="1088" t="s">
        <v>2331</v>
      </c>
      <c r="O19" s="1088" t="s">
        <v>2332</v>
      </c>
      <c r="P19" s="1088" t="s">
        <v>2319</v>
      </c>
      <c r="Q19" s="1088" t="s">
        <v>2320</v>
      </c>
      <c r="R19" s="1088" t="s">
        <v>2333</v>
      </c>
      <c r="S19" s="1088" t="s">
        <v>2339</v>
      </c>
      <c r="T19" s="1088" t="s">
        <v>386</v>
      </c>
    </row>
    <row r="20" spans="1:20" ht="15" customHeight="1">
      <c r="A20" s="1093"/>
      <c r="C20" s="2139" t="s">
        <v>2379</v>
      </c>
      <c r="D20" s="2139" t="s">
        <v>2380</v>
      </c>
      <c r="E20" s="2139" t="s">
        <v>2381</v>
      </c>
      <c r="F20" s="2139" t="s">
        <v>2382</v>
      </c>
      <c r="G20" s="2139" t="s">
        <v>2378</v>
      </c>
      <c r="H20" s="1117"/>
      <c r="I20" s="1116"/>
      <c r="L20" s="1088">
        <f>IFERROR(MIN(4,MATCH(Application!B714,UnitSizes,0)-1),"")</f>
        <v>1</v>
      </c>
      <c r="M20" s="1110">
        <f>Application!G714</f>
        <v>3</v>
      </c>
      <c r="N20" s="1118">
        <f>Application!AC714</f>
        <v>0.3</v>
      </c>
      <c r="O20" s="1118">
        <f>IF(Cdlac[[#This Row],[Quantity]]&gt;0,IF(Cdlac[[#This Row],[Federal]],30%,IF($G$36,40%,Cdlac[[#This Row],[iAMI]])),"")</f>
        <v>0.3</v>
      </c>
      <c r="P20" s="1110" cm="1">
        <f t="array" ref="P20">IF(Cdlac[[#This Row],[Quantity]]&gt;0,INDEX(TcacRents,$P$18,Cdlac[[#This Row],[Bedrooms]]+1)*Cdlac[[#This Row],[AMI]],"")</f>
        <v>570</v>
      </c>
      <c r="Q20" s="1110" cm="1">
        <f t="array" ref="Q20">IF(Cdlac[[#This Row],[Quantity]]&gt;0,INDEX(HudFmrs,$P$18,Cdlac[[#This Row],[Bedrooms]]+1),"")</f>
        <v>1228</v>
      </c>
      <c r="R20" s="1110">
        <f>IF(Cdlac[[#This Row],[Quantity]]&gt;0,MAX(0,Cdlac[[#This Row],[Fair Market Rent]]-Cdlac[[#This Row],[Restricted Rent]]),"")</f>
        <v>658</v>
      </c>
      <c r="S20" s="1088">
        <f>IF(Cdlac[[#This Row],[Quantity]]&gt;0,AND(Application!AK714&lt;&gt;"N/A",Application!AK714&lt;&gt;"")*Cdlac[[#This Row],[Quantity]],"")</f>
        <v>0</v>
      </c>
      <c r="T20" s="1088" t="b">
        <f>AND('Subsidy Contract Calculation'!F4&gt;0,'Subsidy Contract Calculation'!C4="Federal",Cdlac[[#This Row],[Quantity]]&gt;0)</f>
        <v>0</v>
      </c>
    </row>
    <row r="21" spans="1:20" ht="15" customHeight="1">
      <c r="A21" s="1093"/>
      <c r="C21" s="2140"/>
      <c r="D21" s="2140"/>
      <c r="E21" s="2140"/>
      <c r="F21" s="2140"/>
      <c r="G21" s="2140"/>
      <c r="H21" s="1117"/>
      <c r="I21" s="1116"/>
      <c r="L21" s="1088">
        <f>IFERROR(MIN(4,MATCH(Application!B715,UnitSizes,0)-1),"")</f>
        <v>1</v>
      </c>
      <c r="M21" s="1110">
        <f>Application!G715</f>
        <v>3</v>
      </c>
      <c r="N21" s="1118">
        <f>Application!AC715</f>
        <v>0.3</v>
      </c>
      <c r="O21" s="1118">
        <f>IF(Cdlac[[#This Row],[Quantity]]&gt;0,IF(Cdlac[[#This Row],[Federal]],30%,IF($G$36,40%,Cdlac[[#This Row],[iAMI]])),"")</f>
        <v>0.3</v>
      </c>
      <c r="P21" s="1110" cm="1">
        <f t="array" ref="P21">IF(Cdlac[[#This Row],[Quantity]]&gt;0,INDEX(TcacRents,$P$18,Cdlac[[#This Row],[Bedrooms]]+1)*Cdlac[[#This Row],[AMI]],"")</f>
        <v>570</v>
      </c>
      <c r="Q21" s="1110" cm="1">
        <f t="array" ref="Q21">IF(Cdlac[[#This Row],[Quantity]]&gt;0,INDEX(HudFmrs,$P$18,Cdlac[[#This Row],[Bedrooms]]+1),"")</f>
        <v>1228</v>
      </c>
      <c r="R21" s="1110">
        <f>IF(Cdlac[[#This Row],[Quantity]]&gt;0,MAX(0,Cdlac[[#This Row],[Fair Market Rent]]-Cdlac[[#This Row],[Restricted Rent]]),"")</f>
        <v>658</v>
      </c>
      <c r="S21" s="1088">
        <f>IF(Cdlac[[#This Row],[Quantity]]&gt;0,AND(Application!AK715&lt;&gt;"N/A",Application!AK715&lt;&gt;"")*Cdlac[[#This Row],[Quantity]],"")</f>
        <v>0</v>
      </c>
      <c r="T21" s="1088" t="b">
        <f>AND('Subsidy Contract Calculation'!F5&gt;0,'Subsidy Contract Calculation'!C5="Federal",Cdlac[[#This Row],[Quantity]]&gt;0)</f>
        <v>1</v>
      </c>
    </row>
    <row r="22" spans="1:20" ht="15" customHeight="1">
      <c r="C22" s="1119">
        <v>0</v>
      </c>
      <c r="D22" s="1120">
        <v>0.9</v>
      </c>
      <c r="E22" s="1119">
        <f>SUMIFS(Cdlac[Quantity],Cdlac[Bedrooms],C22)</f>
        <v>0</v>
      </c>
      <c r="F22" s="1119">
        <f>E22</f>
        <v>0</v>
      </c>
      <c r="G22" s="1119">
        <f>D22*F22</f>
        <v>0</v>
      </c>
      <c r="L22" s="1088">
        <f>IFERROR(MIN(4,MATCH(Application!B716,UnitSizes,0)-1),"")</f>
        <v>1</v>
      </c>
      <c r="M22" s="1110">
        <f>Application!G716</f>
        <v>17</v>
      </c>
      <c r="N22" s="1118">
        <f>Application!AC716</f>
        <v>0.5</v>
      </c>
      <c r="O22" s="1118">
        <f>IF(Cdlac[[#This Row],[Quantity]]&gt;0,IF(Cdlac[[#This Row],[Federal]],30%,IF($G$36,40%,Cdlac[[#This Row],[iAMI]])),"")</f>
        <v>0.5</v>
      </c>
      <c r="P22" s="1110" cm="1">
        <f t="array" ref="P22">IF(Cdlac[[#This Row],[Quantity]]&gt;0,INDEX(TcacRents,$P$18,Cdlac[[#This Row],[Bedrooms]]+1)*Cdlac[[#This Row],[AMI]],"")</f>
        <v>950</v>
      </c>
      <c r="Q22" s="1110" cm="1">
        <f t="array" ref="Q22">IF(Cdlac[[#This Row],[Quantity]]&gt;0,INDEX(HudFmrs,$P$18,Cdlac[[#This Row],[Bedrooms]]+1),"")</f>
        <v>1228</v>
      </c>
      <c r="R22" s="1110">
        <f>IF(Cdlac[[#This Row],[Quantity]]&gt;0,MAX(0,Cdlac[[#This Row],[Fair Market Rent]]-Cdlac[[#This Row],[Restricted Rent]]),"")</f>
        <v>278</v>
      </c>
      <c r="S22" s="1088">
        <f>IF(Cdlac[[#This Row],[Quantity]]&gt;0,AND(Application!AK716&lt;&gt;"N/A",Application!AK716&lt;&gt;"")*Cdlac[[#This Row],[Quantity]],"")</f>
        <v>0</v>
      </c>
      <c r="T22" s="1088" t="b">
        <f>AND('Subsidy Contract Calculation'!F6&gt;0,'Subsidy Contract Calculation'!C6="Federal",Cdlac[[#This Row],[Quantity]]&gt;0)</f>
        <v>0</v>
      </c>
    </row>
    <row r="23" spans="1:20" ht="15" customHeight="1">
      <c r="C23" s="1119">
        <v>1</v>
      </c>
      <c r="D23" s="1120">
        <v>1</v>
      </c>
      <c r="E23" s="1119">
        <f>SUMIFS(Cdlac[Quantity],Cdlac[Bedrooms],C23)</f>
        <v>57</v>
      </c>
      <c r="F23" s="1119">
        <f>E23</f>
        <v>57</v>
      </c>
      <c r="G23" s="1119">
        <f>D23*F23</f>
        <v>57</v>
      </c>
      <c r="L23" s="1088">
        <f>IFERROR(MIN(4,MATCH(Application!B717,UnitSizes,0)-1),"")</f>
        <v>1</v>
      </c>
      <c r="M23" s="1110">
        <f>Application!G717</f>
        <v>34</v>
      </c>
      <c r="N23" s="1118">
        <f>Application!AC717</f>
        <v>0.7</v>
      </c>
      <c r="O23" s="1118">
        <f>IF(Cdlac[[#This Row],[Quantity]]&gt;0,IF(Cdlac[[#This Row],[Federal]],30%,IF($G$36,40%,Cdlac[[#This Row],[iAMI]])),"")</f>
        <v>0.7</v>
      </c>
      <c r="P23" s="1110" cm="1">
        <f t="array" ref="P23">IF(Cdlac[[#This Row],[Quantity]]&gt;0,INDEX(TcacRents,$P$18,Cdlac[[#This Row],[Bedrooms]]+1)*Cdlac[[#This Row],[AMI]],"")</f>
        <v>1330</v>
      </c>
      <c r="Q23" s="1110" cm="1">
        <f t="array" ref="Q23">IF(Cdlac[[#This Row],[Quantity]]&gt;0,INDEX(HudFmrs,$P$18,Cdlac[[#This Row],[Bedrooms]]+1),"")</f>
        <v>1228</v>
      </c>
      <c r="R23" s="1110">
        <f>IF(Cdlac[[#This Row],[Quantity]]&gt;0,MAX(0,Cdlac[[#This Row],[Fair Market Rent]]-Cdlac[[#This Row],[Restricted Rent]]),"")</f>
        <v>0</v>
      </c>
      <c r="S23" s="1088">
        <f>IF(Cdlac[[#This Row],[Quantity]]&gt;0,AND(Application!AK717&lt;&gt;"N/A",Application!AK717&lt;&gt;"")*Cdlac[[#This Row],[Quantity]],"")</f>
        <v>0</v>
      </c>
      <c r="T23" s="1088" t="b">
        <f>AND('Subsidy Contract Calculation'!F7&gt;0,'Subsidy Contract Calculation'!C7="Federal",Cdlac[[#This Row],[Quantity]]&gt;0)</f>
        <v>0</v>
      </c>
    </row>
    <row r="24" spans="1:20" ht="15" customHeight="1">
      <c r="A24" s="1121"/>
      <c r="C24" s="1122">
        <v>2</v>
      </c>
      <c r="D24" s="1120">
        <v>1.25</v>
      </c>
      <c r="E24" s="1119">
        <f>SUMIFS(Cdlac[Quantity],Cdlac[Bedrooms],C24)</f>
        <v>67</v>
      </c>
      <c r="F24" s="1122">
        <f>SUM(E24:E26)-SUM(F25:F26)</f>
        <v>67</v>
      </c>
      <c r="G24" s="1119">
        <f>D24*F24</f>
        <v>83.75</v>
      </c>
      <c r="H24" s="1121"/>
      <c r="I24" s="1121"/>
      <c r="L24" s="1088">
        <f>IFERROR(MIN(4,MATCH(Application!B718,UnitSizes,0)-1),"")</f>
        <v>2</v>
      </c>
      <c r="M24" s="1110">
        <f>Application!G718</f>
        <v>2</v>
      </c>
      <c r="N24" s="1118">
        <f>Application!AC718</f>
        <v>0.3</v>
      </c>
      <c r="O24" s="1118">
        <f>IF(Cdlac[[#This Row],[Quantity]]&gt;0,IF(Cdlac[[#This Row],[Federal]],30%,IF($G$36,40%,Cdlac[[#This Row],[iAMI]])),"")</f>
        <v>0.3</v>
      </c>
      <c r="P24" s="1110" cm="1">
        <f t="array" ref="P24">IF(Cdlac[[#This Row],[Quantity]]&gt;0,INDEX(TcacRents,$P$18,Cdlac[[#This Row],[Bedrooms]]+1)*Cdlac[[#This Row],[AMI]],"")</f>
        <v>684</v>
      </c>
      <c r="Q24" s="1110" cm="1">
        <f t="array" ref="Q24">IF(Cdlac[[#This Row],[Quantity]]&gt;0,INDEX(HudFmrs,$P$18,Cdlac[[#This Row],[Bedrooms]]+1),"")</f>
        <v>1543</v>
      </c>
      <c r="R24" s="1110">
        <f>IF(Cdlac[[#This Row],[Quantity]]&gt;0,MAX(0,Cdlac[[#This Row],[Fair Market Rent]]-Cdlac[[#This Row],[Restricted Rent]]),"")</f>
        <v>859</v>
      </c>
      <c r="S24" s="1088">
        <f>IF(Cdlac[[#This Row],[Quantity]]&gt;0,AND(Application!AK718&lt;&gt;"N/A",Application!AK718&lt;&gt;"")*Cdlac[[#This Row],[Quantity]],"")</f>
        <v>0</v>
      </c>
      <c r="T24" s="1088" t="b">
        <f>AND('Subsidy Contract Calculation'!F8&gt;0,'Subsidy Contract Calculation'!C8="Federal",Cdlac[[#This Row],[Quantity]]&gt;0)</f>
        <v>0</v>
      </c>
    </row>
    <row r="25" spans="1:20" ht="15" customHeight="1">
      <c r="A25" s="1121"/>
      <c r="C25" s="1122">
        <v>3</v>
      </c>
      <c r="D25" s="1120">
        <f>1.5+0.25*0</f>
        <v>1.5</v>
      </c>
      <c r="E25" s="1119">
        <f>SUMIFS(Cdlac[Quantity],Cdlac[Bedrooms],C25)</f>
        <v>42</v>
      </c>
      <c r="F25" s="1122">
        <f>MIN(E25,ROUNDDOWN(E27*30%,0))</f>
        <v>42</v>
      </c>
      <c r="G25" s="1119">
        <f>D25*F25</f>
        <v>63</v>
      </c>
      <c r="H25" s="1121"/>
      <c r="I25" s="1121"/>
      <c r="L25" s="1088">
        <f>IFERROR(MIN(4,MATCH(Application!B719,UnitSizes,0)-1),"")</f>
        <v>2</v>
      </c>
      <c r="M25" s="1110">
        <f>Application!G719</f>
        <v>2</v>
      </c>
      <c r="N25" s="1118">
        <f>Application!AC719</f>
        <v>0.3</v>
      </c>
      <c r="O25" s="1118">
        <f>IF(Cdlac[[#This Row],[Quantity]]&gt;0,IF(Cdlac[[#This Row],[Federal]],30%,IF($G$36,40%,Cdlac[[#This Row],[iAMI]])),"")</f>
        <v>0.3</v>
      </c>
      <c r="P25" s="1110" cm="1">
        <f t="array" ref="P25">IF(Cdlac[[#This Row],[Quantity]]&gt;0,INDEX(TcacRents,$P$18,Cdlac[[#This Row],[Bedrooms]]+1)*Cdlac[[#This Row],[AMI]],"")</f>
        <v>684</v>
      </c>
      <c r="Q25" s="1110" cm="1">
        <f t="array" ref="Q25">IF(Cdlac[[#This Row],[Quantity]]&gt;0,INDEX(HudFmrs,$P$18,Cdlac[[#This Row],[Bedrooms]]+1),"")</f>
        <v>1543</v>
      </c>
      <c r="R25" s="1110">
        <f>IF(Cdlac[[#This Row],[Quantity]]&gt;0,MAX(0,Cdlac[[#This Row],[Fair Market Rent]]-Cdlac[[#This Row],[Restricted Rent]]),"")</f>
        <v>859</v>
      </c>
      <c r="S25" s="1088">
        <f>IF(Cdlac[[#This Row],[Quantity]]&gt;0,AND(Application!AK719&lt;&gt;"N/A",Application!AK719&lt;&gt;"")*Cdlac[[#This Row],[Quantity]],"")</f>
        <v>0</v>
      </c>
      <c r="T25" s="1088" t="b">
        <f>AND('Subsidy Contract Calculation'!F9&gt;0,'Subsidy Contract Calculation'!C9="Federal",Cdlac[[#This Row],[Quantity]]&gt;0)</f>
        <v>1</v>
      </c>
    </row>
    <row r="26" spans="1:20" ht="15" customHeight="1" thickBot="1">
      <c r="A26" s="1121"/>
      <c r="C26" s="1135">
        <v>4</v>
      </c>
      <c r="D26" s="1136">
        <f>1.75+0.25*0</f>
        <v>1.75</v>
      </c>
      <c r="E26" s="1137">
        <f>SUMIFS(Cdlac[Quantity],Cdlac[Bedrooms],C26)</f>
        <v>0</v>
      </c>
      <c r="F26" s="1135">
        <f>MIN(E26,ROUNDDOWN(E27*10%,0))</f>
        <v>0</v>
      </c>
      <c r="G26" s="1137">
        <f>D26*F26</f>
        <v>0</v>
      </c>
      <c r="H26" s="1121"/>
      <c r="I26" s="1121"/>
      <c r="L26" s="1088">
        <f>IFERROR(MIN(4,MATCH(Application!B720,UnitSizes,0)-1),"")</f>
        <v>2</v>
      </c>
      <c r="M26" s="1110">
        <f>Application!G720</f>
        <v>11</v>
      </c>
      <c r="N26" s="1118">
        <f>Application!AC720</f>
        <v>0.5</v>
      </c>
      <c r="O26" s="1118">
        <f>IF(Cdlac[[#This Row],[Quantity]]&gt;0,IF(Cdlac[[#This Row],[Federal]],30%,IF($G$36,40%,Cdlac[[#This Row],[iAMI]])),"")</f>
        <v>0.5</v>
      </c>
      <c r="P26" s="1110" cm="1">
        <f t="array" ref="P26">IF(Cdlac[[#This Row],[Quantity]]&gt;0,INDEX(TcacRents,$P$18,Cdlac[[#This Row],[Bedrooms]]+1)*Cdlac[[#This Row],[AMI]],"")</f>
        <v>1140</v>
      </c>
      <c r="Q26" s="1110" cm="1">
        <f t="array" ref="Q26">IF(Cdlac[[#This Row],[Quantity]]&gt;0,INDEX(HudFmrs,$P$18,Cdlac[[#This Row],[Bedrooms]]+1),"")</f>
        <v>1543</v>
      </c>
      <c r="R26" s="1110">
        <f>IF(Cdlac[[#This Row],[Quantity]]&gt;0,MAX(0,Cdlac[[#This Row],[Fair Market Rent]]-Cdlac[[#This Row],[Restricted Rent]]),"")</f>
        <v>403</v>
      </c>
      <c r="S26" s="1088">
        <f>IF(Cdlac[[#This Row],[Quantity]]&gt;0,AND(Application!AK720&lt;&gt;"N/A",Application!AK720&lt;&gt;"")*Cdlac[[#This Row],[Quantity]],"")</f>
        <v>0</v>
      </c>
      <c r="T26" s="1088" t="b">
        <f>AND('Subsidy Contract Calculation'!F10&gt;0,'Subsidy Contract Calculation'!C10="Federal",Cdlac[[#This Row],[Quantity]]&gt;0)</f>
        <v>0</v>
      </c>
    </row>
    <row r="27" spans="1:20" ht="15" customHeight="1">
      <c r="A27" s="1121"/>
      <c r="C27" s="2123" t="s">
        <v>1763</v>
      </c>
      <c r="D27" s="2124"/>
      <c r="E27" s="1138">
        <f>SUM(E22:E26)</f>
        <v>166</v>
      </c>
      <c r="F27" s="1138">
        <f>SUM(F22:F26)</f>
        <v>166</v>
      </c>
      <c r="G27" s="1139">
        <f>SUMPRODUCT(D22:D26,F22:F26)</f>
        <v>203.75</v>
      </c>
      <c r="H27" s="1121"/>
      <c r="I27" s="1121"/>
      <c r="L27" s="1088">
        <f>IFERROR(MIN(4,MATCH(Application!B721,UnitSizes,0)-1),"")</f>
        <v>2</v>
      </c>
      <c r="M27" s="1110">
        <f>Application!G721</f>
        <v>23</v>
      </c>
      <c r="N27" s="1118">
        <f>Application!AC721</f>
        <v>0.7</v>
      </c>
      <c r="O27" s="1118">
        <f>IF(Cdlac[[#This Row],[Quantity]]&gt;0,IF(Cdlac[[#This Row],[Federal]],30%,IF($G$36,40%,Cdlac[[#This Row],[iAMI]])),"")</f>
        <v>0.7</v>
      </c>
      <c r="P27" s="1110" cm="1">
        <f t="array" ref="P27">IF(Cdlac[[#This Row],[Quantity]]&gt;0,INDEX(TcacRents,$P$18,Cdlac[[#This Row],[Bedrooms]]+1)*Cdlac[[#This Row],[AMI]],"")</f>
        <v>1596</v>
      </c>
      <c r="Q27" s="1110" cm="1">
        <f t="array" ref="Q27">IF(Cdlac[[#This Row],[Quantity]]&gt;0,INDEX(HudFmrs,$P$18,Cdlac[[#This Row],[Bedrooms]]+1),"")</f>
        <v>1543</v>
      </c>
      <c r="R27" s="1110">
        <f>IF(Cdlac[[#This Row],[Quantity]]&gt;0,MAX(0,Cdlac[[#This Row],[Fair Market Rent]]-Cdlac[[#This Row],[Restricted Rent]]),"")</f>
        <v>0</v>
      </c>
      <c r="S27" s="1088">
        <f>IF(Cdlac[[#This Row],[Quantity]]&gt;0,AND(Application!AK721&lt;&gt;"N/A",Application!AK721&lt;&gt;"")*Cdlac[[#This Row],[Quantity]],"")</f>
        <v>0</v>
      </c>
      <c r="T27" s="1088" t="b">
        <f>AND('Subsidy Contract Calculation'!F11&gt;0,'Subsidy Contract Calculation'!C11="Federal",Cdlac[[#This Row],[Quantity]]&gt;0)</f>
        <v>0</v>
      </c>
    </row>
    <row r="28" spans="1:20" ht="15" customHeight="1">
      <c r="A28" s="1121"/>
      <c r="C28" s="1121"/>
      <c r="D28" s="1121"/>
      <c r="E28" s="1121"/>
      <c r="F28" s="1121"/>
      <c r="G28" s="1121"/>
      <c r="H28" s="1121"/>
      <c r="I28" s="1121"/>
      <c r="L28" s="1088">
        <f>IFERROR(MIN(4,MATCH(Application!B722,UnitSizes,0)-1),"")</f>
        <v>2</v>
      </c>
      <c r="M28" s="1110">
        <f>Application!G722</f>
        <v>2</v>
      </c>
      <c r="N28" s="1118">
        <f>Application!AC722</f>
        <v>0.3</v>
      </c>
      <c r="O28" s="1118">
        <f>IF(Cdlac[[#This Row],[Quantity]]&gt;0,IF(Cdlac[[#This Row],[Federal]],30%,IF($G$36,40%,Cdlac[[#This Row],[iAMI]])),"")</f>
        <v>0.3</v>
      </c>
      <c r="P28" s="1110" cm="1">
        <f t="array" ref="P28">IF(Cdlac[[#This Row],[Quantity]]&gt;0,INDEX(TcacRents,$P$18,Cdlac[[#This Row],[Bedrooms]]+1)*Cdlac[[#This Row],[AMI]],"")</f>
        <v>684</v>
      </c>
      <c r="Q28" s="1110" cm="1">
        <f t="array" ref="Q28">IF(Cdlac[[#This Row],[Quantity]]&gt;0,INDEX(HudFmrs,$P$18,Cdlac[[#This Row],[Bedrooms]]+1),"")</f>
        <v>1543</v>
      </c>
      <c r="R28" s="1110">
        <f>IF(Cdlac[[#This Row],[Quantity]]&gt;0,MAX(0,Cdlac[[#This Row],[Fair Market Rent]]-Cdlac[[#This Row],[Restricted Rent]]),"")</f>
        <v>859</v>
      </c>
      <c r="S28" s="1088">
        <f>IF(Cdlac[[#This Row],[Quantity]]&gt;0,AND(Application!AK722&lt;&gt;"N/A",Application!AK722&lt;&gt;"")*Cdlac[[#This Row],[Quantity]],"")</f>
        <v>0</v>
      </c>
      <c r="T28" s="1088" t="b">
        <f>AND('Subsidy Contract Calculation'!F12&gt;0,'Subsidy Contract Calculation'!C12="Federal",Cdlac[[#This Row],[Quantity]]&gt;0)</f>
        <v>0</v>
      </c>
    </row>
    <row r="29" spans="1:20" ht="15" customHeight="1">
      <c r="A29" s="1121"/>
      <c r="E29" s="1168" t="s">
        <v>2378</v>
      </c>
      <c r="G29" s="1165">
        <f>G27</f>
        <v>203.75</v>
      </c>
      <c r="H29" s="1121"/>
      <c r="I29" s="1121"/>
      <c r="L29" s="1088">
        <f>IFERROR(MIN(4,MATCH(Application!B723,UnitSizes,0)-1),"")</f>
        <v>2</v>
      </c>
      <c r="M29" s="1110">
        <f>Application!G723</f>
        <v>1</v>
      </c>
      <c r="N29" s="1118">
        <f>Application!AC723</f>
        <v>0.3</v>
      </c>
      <c r="O29" s="1118">
        <f>IF(Cdlac[[#This Row],[Quantity]]&gt;0,IF(Cdlac[[#This Row],[Federal]],30%,IF($G$36,40%,Cdlac[[#This Row],[iAMI]])),"")</f>
        <v>0.3</v>
      </c>
      <c r="P29" s="1110" cm="1">
        <f t="array" ref="P29">IF(Cdlac[[#This Row],[Quantity]]&gt;0,INDEX(TcacRents,$P$18,Cdlac[[#This Row],[Bedrooms]]+1)*Cdlac[[#This Row],[AMI]],"")</f>
        <v>684</v>
      </c>
      <c r="Q29" s="1110" cm="1">
        <f t="array" ref="Q29">IF(Cdlac[[#This Row],[Quantity]]&gt;0,INDEX(HudFmrs,$P$18,Cdlac[[#This Row],[Bedrooms]]+1),"")</f>
        <v>1543</v>
      </c>
      <c r="R29" s="1110">
        <f>IF(Cdlac[[#This Row],[Quantity]]&gt;0,MAX(0,Cdlac[[#This Row],[Fair Market Rent]]-Cdlac[[#This Row],[Restricted Rent]]),"")</f>
        <v>859</v>
      </c>
      <c r="S29" s="1088">
        <f>IF(Cdlac[[#This Row],[Quantity]]&gt;0,AND(Application!AK723&lt;&gt;"N/A",Application!AK723&lt;&gt;"")*Cdlac[[#This Row],[Quantity]],"")</f>
        <v>0</v>
      </c>
      <c r="T29" s="1088" t="b">
        <f>AND('Subsidy Contract Calculation'!F13&gt;0,'Subsidy Contract Calculation'!C13="Federal",Cdlac[[#This Row],[Quantity]]&gt;0)</f>
        <v>1</v>
      </c>
    </row>
    <row r="30" spans="1:20" ht="15" customHeight="1">
      <c r="A30" s="1121"/>
      <c r="E30" s="1168" t="s">
        <v>2330</v>
      </c>
      <c r="F30" s="1164" t="s">
        <v>2387</v>
      </c>
      <c r="G30" s="1166">
        <v>50000</v>
      </c>
      <c r="H30" s="1121"/>
      <c r="I30" s="1121"/>
      <c r="L30" s="1088">
        <f>IFERROR(MIN(4,MATCH(Application!B724,UnitSizes,0)-1),"")</f>
        <v>2</v>
      </c>
      <c r="M30" s="1110">
        <f>Application!G724</f>
        <v>9</v>
      </c>
      <c r="N30" s="1118">
        <f>Application!AC724</f>
        <v>0.5</v>
      </c>
      <c r="O30" s="1118">
        <f>IF(Cdlac[[#This Row],[Quantity]]&gt;0,IF(Cdlac[[#This Row],[Federal]],30%,IF($G$36,40%,Cdlac[[#This Row],[iAMI]])),"")</f>
        <v>0.5</v>
      </c>
      <c r="P30" s="1110" cm="1">
        <f t="array" ref="P30">IF(Cdlac[[#This Row],[Quantity]]&gt;0,INDEX(TcacRents,$P$18,Cdlac[[#This Row],[Bedrooms]]+1)*Cdlac[[#This Row],[AMI]],"")</f>
        <v>1140</v>
      </c>
      <c r="Q30" s="1110" cm="1">
        <f t="array" ref="Q30">IF(Cdlac[[#This Row],[Quantity]]&gt;0,INDEX(HudFmrs,$P$18,Cdlac[[#This Row],[Bedrooms]]+1),"")</f>
        <v>1543</v>
      </c>
      <c r="R30" s="1110">
        <f>IF(Cdlac[[#This Row],[Quantity]]&gt;0,MAX(0,Cdlac[[#This Row],[Fair Market Rent]]-Cdlac[[#This Row],[Restricted Rent]]),"")</f>
        <v>403</v>
      </c>
      <c r="S30" s="1088">
        <f>IF(Cdlac[[#This Row],[Quantity]]&gt;0,AND(Application!AK724&lt;&gt;"N/A",Application!AK724&lt;&gt;"")*Cdlac[[#This Row],[Quantity]],"")</f>
        <v>0</v>
      </c>
      <c r="T30" s="1088" t="b">
        <f>AND('Subsidy Contract Calculation'!F14&gt;0,'Subsidy Contract Calculation'!C14="Federal",Cdlac[[#This Row],[Quantity]]&gt;0)</f>
        <v>0</v>
      </c>
    </row>
    <row r="31" spans="1:20" ht="15" customHeight="1">
      <c r="A31" s="1121"/>
      <c r="E31" s="1169" t="s">
        <v>2371</v>
      </c>
      <c r="F31" s="1090"/>
      <c r="G31" s="1170">
        <f>G30*G29</f>
        <v>10187500</v>
      </c>
      <c r="H31" s="1121"/>
      <c r="I31" s="1121"/>
      <c r="L31" s="1088">
        <f>IFERROR(MIN(4,MATCH(Application!B725,UnitSizes,0)-1),"")</f>
        <v>2</v>
      </c>
      <c r="M31" s="1110">
        <f>Application!G725</f>
        <v>17</v>
      </c>
      <c r="N31" s="1118">
        <f>Application!AC725</f>
        <v>0.7</v>
      </c>
      <c r="O31" s="1118">
        <f>IF(Cdlac[[#This Row],[Quantity]]&gt;0,IF(Cdlac[[#This Row],[Federal]],30%,IF($G$36,40%,Cdlac[[#This Row],[iAMI]])),"")</f>
        <v>0.7</v>
      </c>
      <c r="P31" s="1110" cm="1">
        <f t="array" ref="P31">IF(Cdlac[[#This Row],[Quantity]]&gt;0,INDEX(TcacRents,$P$18,Cdlac[[#This Row],[Bedrooms]]+1)*Cdlac[[#This Row],[AMI]],"")</f>
        <v>1596</v>
      </c>
      <c r="Q31" s="1110" cm="1">
        <f t="array" ref="Q31">IF(Cdlac[[#This Row],[Quantity]]&gt;0,INDEX(HudFmrs,$P$18,Cdlac[[#This Row],[Bedrooms]]+1),"")</f>
        <v>1543</v>
      </c>
      <c r="R31" s="1110">
        <f>IF(Cdlac[[#This Row],[Quantity]]&gt;0,MAX(0,Cdlac[[#This Row],[Fair Market Rent]]-Cdlac[[#This Row],[Restricted Rent]]),"")</f>
        <v>0</v>
      </c>
      <c r="S31" s="1088">
        <f>IF(Cdlac[[#This Row],[Quantity]]&gt;0,AND(Application!AK725&lt;&gt;"N/A",Application!AK725&lt;&gt;"")*Cdlac[[#This Row],[Quantity]],"")</f>
        <v>0</v>
      </c>
      <c r="T31" s="1088" t="b">
        <f>AND('Subsidy Contract Calculation'!F15&gt;0,'Subsidy Contract Calculation'!C15="Federal",Cdlac[[#This Row],[Quantity]]&gt;0)</f>
        <v>0</v>
      </c>
    </row>
    <row r="32" spans="1:20" ht="15" customHeight="1">
      <c r="A32" s="1121"/>
      <c r="B32" s="1121"/>
      <c r="C32" s="1121"/>
      <c r="D32" s="1121"/>
      <c r="E32" s="1121"/>
      <c r="F32" s="1121"/>
      <c r="G32" s="1121"/>
      <c r="H32" s="1121"/>
      <c r="I32" s="1121"/>
      <c r="L32" s="1088">
        <f>IFERROR(MIN(4,MATCH(Application!B726,UnitSizes,0)-1),"")</f>
        <v>3</v>
      </c>
      <c r="M32" s="1110">
        <f>Application!G726</f>
        <v>2</v>
      </c>
      <c r="N32" s="1118">
        <f>Application!AC726</f>
        <v>0.3</v>
      </c>
      <c r="O32" s="1118">
        <f>IF(Cdlac[[#This Row],[Quantity]]&gt;0,IF(Cdlac[[#This Row],[Federal]],30%,IF($G$36,40%,Cdlac[[#This Row],[iAMI]])),"")</f>
        <v>0.3</v>
      </c>
      <c r="P32" s="1110" cm="1">
        <f t="array" ref="P32">IF(Cdlac[[#This Row],[Quantity]]&gt;0,INDEX(TcacRents,$P$18,Cdlac[[#This Row],[Bedrooms]]+1)*Cdlac[[#This Row],[AMI]],"")</f>
        <v>790.19999999999993</v>
      </c>
      <c r="Q32" s="1110" cm="1">
        <f t="array" ref="Q32">IF(Cdlac[[#This Row],[Quantity]]&gt;0,INDEX(HudFmrs,$P$18,Cdlac[[#This Row],[Bedrooms]]+1),"")</f>
        <v>2192</v>
      </c>
      <c r="R32" s="1110">
        <f>IF(Cdlac[[#This Row],[Quantity]]&gt;0,MAX(0,Cdlac[[#This Row],[Fair Market Rent]]-Cdlac[[#This Row],[Restricted Rent]]),"")</f>
        <v>1401.8000000000002</v>
      </c>
      <c r="S32" s="1088">
        <f>IF(Cdlac[[#This Row],[Quantity]]&gt;0,AND(Application!AK726&lt;&gt;"N/A",Application!AK726&lt;&gt;"")*Cdlac[[#This Row],[Quantity]],"")</f>
        <v>0</v>
      </c>
      <c r="T32" s="1088" t="b">
        <f>AND('Subsidy Contract Calculation'!F16&gt;0,'Subsidy Contract Calculation'!C16="Federal",Cdlac[[#This Row],[Quantity]]&gt;0)</f>
        <v>0</v>
      </c>
    </row>
    <row r="33" spans="2:20" ht="15" customHeight="1">
      <c r="B33" s="1113" t="str">
        <f>B10</f>
        <v>B. Rent Savings Benefit</v>
      </c>
      <c r="C33" s="1114"/>
      <c r="D33" s="1114"/>
      <c r="E33" s="1114"/>
      <c r="F33" s="1114"/>
      <c r="G33" s="1114"/>
      <c r="H33" s="1114"/>
      <c r="I33" s="1115"/>
      <c r="L33" s="1088">
        <f>IFERROR(MIN(4,MATCH(Application!B727,UnitSizes,0)-1),"")</f>
        <v>3</v>
      </c>
      <c r="M33" s="1110">
        <f>Application!G727</f>
        <v>2</v>
      </c>
      <c r="N33" s="1118">
        <f>Application!AC727</f>
        <v>0.3</v>
      </c>
      <c r="O33" s="1118">
        <f>IF(Cdlac[[#This Row],[Quantity]]&gt;0,IF(Cdlac[[#This Row],[Federal]],30%,IF($G$36,40%,Cdlac[[#This Row],[iAMI]])),"")</f>
        <v>0.3</v>
      </c>
      <c r="P33" s="1110" cm="1">
        <f t="array" ref="P33">IF(Cdlac[[#This Row],[Quantity]]&gt;0,INDEX(TcacRents,$P$18,Cdlac[[#This Row],[Bedrooms]]+1)*Cdlac[[#This Row],[AMI]],"")</f>
        <v>790.19999999999993</v>
      </c>
      <c r="Q33" s="1110" cm="1">
        <f t="array" ref="Q33">IF(Cdlac[[#This Row],[Quantity]]&gt;0,INDEX(HudFmrs,$P$18,Cdlac[[#This Row],[Bedrooms]]+1),"")</f>
        <v>2192</v>
      </c>
      <c r="R33" s="1110">
        <f>IF(Cdlac[[#This Row],[Quantity]]&gt;0,MAX(0,Cdlac[[#This Row],[Fair Market Rent]]-Cdlac[[#This Row],[Restricted Rent]]),"")</f>
        <v>1401.8000000000002</v>
      </c>
      <c r="S33" s="1088">
        <f>IF(Cdlac[[#This Row],[Quantity]]&gt;0,AND(Application!AK727&lt;&gt;"N/A",Application!AK727&lt;&gt;"")*Cdlac[[#This Row],[Quantity]],"")</f>
        <v>0</v>
      </c>
      <c r="T33" s="1088" t="b">
        <f>AND('Subsidy Contract Calculation'!F17&gt;0,'Subsidy Contract Calculation'!C17="Federal",Cdlac[[#This Row],[Quantity]]&gt;0)</f>
        <v>1</v>
      </c>
    </row>
    <row r="34" spans="2:20" ht="15" customHeight="1">
      <c r="L34" s="1088">
        <f>IFERROR(MIN(4,MATCH(Application!B728,UnitSizes,0)-1),"")</f>
        <v>3</v>
      </c>
      <c r="M34" s="1110">
        <f>Application!G728</f>
        <v>13</v>
      </c>
      <c r="N34" s="1118">
        <f>Application!AC728</f>
        <v>0.5</v>
      </c>
      <c r="O34" s="1118">
        <f>IF(Cdlac[[#This Row],[Quantity]]&gt;0,IF(Cdlac[[#This Row],[Federal]],30%,IF($G$36,40%,Cdlac[[#This Row],[iAMI]])),"")</f>
        <v>0.5</v>
      </c>
      <c r="P34" s="1110" cm="1">
        <f t="array" ref="P34">IF(Cdlac[[#This Row],[Quantity]]&gt;0,INDEX(TcacRents,$P$18,Cdlac[[#This Row],[Bedrooms]]+1)*Cdlac[[#This Row],[AMI]],"")</f>
        <v>1317</v>
      </c>
      <c r="Q34" s="1110" cm="1">
        <f t="array" ref="Q34">IF(Cdlac[[#This Row],[Quantity]]&gt;0,INDEX(HudFmrs,$P$18,Cdlac[[#This Row],[Bedrooms]]+1),"")</f>
        <v>2192</v>
      </c>
      <c r="R34" s="1110">
        <f>IF(Cdlac[[#This Row],[Quantity]]&gt;0,MAX(0,Cdlac[[#This Row],[Fair Market Rent]]-Cdlac[[#This Row],[Restricted Rent]]),"")</f>
        <v>875</v>
      </c>
      <c r="S34" s="1088">
        <f>IF(Cdlac[[#This Row],[Quantity]]&gt;0,AND(Application!AK728&lt;&gt;"N/A",Application!AK728&lt;&gt;"")*Cdlac[[#This Row],[Quantity]],"")</f>
        <v>0</v>
      </c>
      <c r="T34" s="1088" t="b">
        <f>AND('Subsidy Contract Calculation'!F18&gt;0,'Subsidy Contract Calculation'!C18="Federal",Cdlac[[#This Row],[Quantity]]&gt;0)</f>
        <v>0</v>
      </c>
    </row>
    <row r="35" spans="2:20" ht="15" customHeight="1">
      <c r="E35" s="1133" t="s">
        <v>2398</v>
      </c>
      <c r="G35" s="1171" cm="1">
        <f t="array" ref="G35">SUMPRODUCT(Cdlac[Quantity],Cdlac[iAMI],IF(Cdlac[Federal],0,1))/SUMIFS(Cdlac[Quantity],Cdlac[Federal],FALSE)</f>
        <v>0.61392405063291133</v>
      </c>
      <c r="L35" s="1088">
        <f>IFERROR(MIN(4,MATCH(Application!B729,UnitSizes,0)-1),"")</f>
        <v>3</v>
      </c>
      <c r="M35" s="1110">
        <f>Application!G729</f>
        <v>25</v>
      </c>
      <c r="N35" s="1118">
        <f>Application!AC729</f>
        <v>0.7</v>
      </c>
      <c r="O35" s="1118">
        <f>IF(Cdlac[[#This Row],[Quantity]]&gt;0,IF(Cdlac[[#This Row],[Federal]],30%,IF($G$36,40%,Cdlac[[#This Row],[iAMI]])),"")</f>
        <v>0.7</v>
      </c>
      <c r="P35" s="1110" cm="1">
        <f t="array" ref="P35">IF(Cdlac[[#This Row],[Quantity]]&gt;0,INDEX(TcacRents,$P$18,Cdlac[[#This Row],[Bedrooms]]+1)*Cdlac[[#This Row],[AMI]],"")</f>
        <v>1843.8</v>
      </c>
      <c r="Q35" s="1110" cm="1">
        <f t="array" ref="Q35">IF(Cdlac[[#This Row],[Quantity]]&gt;0,INDEX(HudFmrs,$P$18,Cdlac[[#This Row],[Bedrooms]]+1),"")</f>
        <v>2192</v>
      </c>
      <c r="R35" s="1110">
        <f>IF(Cdlac[[#This Row],[Quantity]]&gt;0,MAX(0,Cdlac[[#This Row],[Fair Market Rent]]-Cdlac[[#This Row],[Restricted Rent]]),"")</f>
        <v>348.20000000000005</v>
      </c>
      <c r="S35" s="1088">
        <f>IF(Cdlac[[#This Row],[Quantity]]&gt;0,AND(Application!AK729&lt;&gt;"N/A",Application!AK729&lt;&gt;"")*Cdlac[[#This Row],[Quantity]],"")</f>
        <v>0</v>
      </c>
      <c r="T35" s="1088" t="b">
        <f>AND('Subsidy Contract Calculation'!F19&gt;0,'Subsidy Contract Calculation'!C19="Federal",Cdlac[[#This Row],[Quantity]]&gt;0)</f>
        <v>0</v>
      </c>
    </row>
    <row r="36" spans="2:20" ht="15" customHeight="1">
      <c r="E36" s="1133" t="s">
        <v>2393</v>
      </c>
      <c r="G36" s="1128" t="b">
        <f>G35&lt;40%</f>
        <v>0</v>
      </c>
      <c r="L36" s="1088" t="str">
        <f>IFERROR(MIN(4,MATCH(Application!B730,UnitSizes,0)-1),"")</f>
        <v/>
      </c>
      <c r="M36" s="1110">
        <f>Application!G730</f>
        <v>0</v>
      </c>
      <c r="N36" s="1118">
        <f>Application!AC730</f>
        <v>0</v>
      </c>
      <c r="O36" s="1118" t="str">
        <f>IF(Cdlac[[#This Row],[Quantity]]&gt;0,IF(Cdlac[[#This Row],[Federal]],30%,IF($G$36,40%,Cdlac[[#This Row],[iAMI]])),"")</f>
        <v/>
      </c>
      <c r="P36" s="1110" t="str" cm="1">
        <f t="array" ref="P36">IF(Cdlac[[#This Row],[Quantity]]&gt;0,INDEX(TcacRents,$P$18,Cdlac[[#This Row],[Bedrooms]]+1)*Cdlac[[#This Row],[AMI]],"")</f>
        <v/>
      </c>
      <c r="Q36" s="1110" t="str" cm="1">
        <f t="array" ref="Q36">IF(Cdlac[[#This Row],[Quantity]]&gt;0,INDEX(HudFmrs,$P$18,Cdlac[[#This Row],[Bedrooms]]+1),"")</f>
        <v/>
      </c>
      <c r="R36" s="1110" t="str">
        <f>IF(Cdlac[[#This Row],[Quantity]]&gt;0,MAX(0,Cdlac[[#This Row],[Fair Market Rent]]-Cdlac[[#This Row],[Restricted Rent]]),"")</f>
        <v/>
      </c>
      <c r="S36" s="1088" t="str">
        <f>IF(Cdlac[[#This Row],[Quantity]]&gt;0,AND(Application!AK730&lt;&gt;"N/A",Application!AK730&lt;&gt;"")*Cdlac[[#This Row],[Quantity]],"")</f>
        <v/>
      </c>
      <c r="T36" s="1088" t="b">
        <f>AND('Subsidy Contract Calculation'!F20&gt;0,'Subsidy Contract Calculation'!C20="Federal",Cdlac[[#This Row],[Quantity]]&gt;0)</f>
        <v>0</v>
      </c>
    </row>
    <row r="37" spans="2:20" ht="15" customHeight="1">
      <c r="L37" s="1088" t="str">
        <f>IFERROR(MIN(4,MATCH(Application!B731,UnitSizes,0)-1),"")</f>
        <v/>
      </c>
      <c r="M37" s="1110">
        <f>Application!G731</f>
        <v>0</v>
      </c>
      <c r="N37" s="1118">
        <f>Application!AC731</f>
        <v>0</v>
      </c>
      <c r="O37" s="1118" t="str">
        <f>IF(Cdlac[[#This Row],[Quantity]]&gt;0,IF(Cdlac[[#This Row],[Federal]],30%,IF($G$36,40%,Cdlac[[#This Row],[iAMI]])),"")</f>
        <v/>
      </c>
      <c r="P37" s="1110" t="str" cm="1">
        <f t="array" ref="P37">IF(Cdlac[[#This Row],[Quantity]]&gt;0,INDEX(TcacRents,$P$18,Cdlac[[#This Row],[Bedrooms]]+1)*Cdlac[[#This Row],[AMI]],"")</f>
        <v/>
      </c>
      <c r="Q37" s="1110" t="str" cm="1">
        <f t="array" ref="Q37">IF(Cdlac[[#This Row],[Quantity]]&gt;0,INDEX(HudFmrs,$P$18,Cdlac[[#This Row],[Bedrooms]]+1),"")</f>
        <v/>
      </c>
      <c r="R37" s="1110" t="str">
        <f>IF(Cdlac[[#This Row],[Quantity]]&gt;0,MAX(0,Cdlac[[#This Row],[Fair Market Rent]]-Cdlac[[#This Row],[Restricted Rent]]),"")</f>
        <v/>
      </c>
      <c r="S37" s="1088" t="str">
        <f>IF(Cdlac[[#This Row],[Quantity]]&gt;0,AND(Application!AK731&lt;&gt;"N/A",Application!AK731&lt;&gt;"")*Cdlac[[#This Row],[Quantity]],"")</f>
        <v/>
      </c>
      <c r="T37" s="1088" t="b">
        <f>AND('Subsidy Contract Calculation'!F21&gt;0,'Subsidy Contract Calculation'!C21="Federal",Cdlac[[#This Row],[Quantity]]&gt;0)</f>
        <v>0</v>
      </c>
    </row>
    <row r="38" spans="2:20" ht="15" customHeight="1">
      <c r="E38" s="1133" t="s">
        <v>2334</v>
      </c>
      <c r="G38" s="1125">
        <f>SUMPRODUCT(Cdlac[Quantity],Cdlac[Delta])</f>
        <v>48434.2</v>
      </c>
      <c r="L38" s="1088" t="str">
        <f>IFERROR(MIN(4,MATCH(Application!B732,UnitSizes,0)-1),"")</f>
        <v/>
      </c>
      <c r="M38" s="1110">
        <f>Application!G732</f>
        <v>0</v>
      </c>
      <c r="N38" s="1118">
        <f>Application!AC732</f>
        <v>0</v>
      </c>
      <c r="O38" s="1118" t="str">
        <f>IF(Cdlac[[#This Row],[Quantity]]&gt;0,IF(Cdlac[[#This Row],[Federal]],30%,IF($G$36,40%,Cdlac[[#This Row],[iAMI]])),"")</f>
        <v/>
      </c>
      <c r="P38" s="1110" t="str" cm="1">
        <f t="array" ref="P38">IF(Cdlac[[#This Row],[Quantity]]&gt;0,INDEX(TcacRents,$P$18,Cdlac[[#This Row],[Bedrooms]]+1)*Cdlac[[#This Row],[AMI]],"")</f>
        <v/>
      </c>
      <c r="Q38" s="1110" t="str" cm="1">
        <f t="array" ref="Q38">IF(Cdlac[[#This Row],[Quantity]]&gt;0,INDEX(HudFmrs,$P$18,Cdlac[[#This Row],[Bedrooms]]+1),"")</f>
        <v/>
      </c>
      <c r="R38" s="1110" t="str">
        <f>IF(Cdlac[[#This Row],[Quantity]]&gt;0,MAX(0,Cdlac[[#This Row],[Fair Market Rent]]-Cdlac[[#This Row],[Restricted Rent]]),"")</f>
        <v/>
      </c>
      <c r="S38" s="1088" t="str">
        <f>IF(Cdlac[[#This Row],[Quantity]]&gt;0,AND(Application!AK732&lt;&gt;"N/A",Application!AK732&lt;&gt;"")*Cdlac[[#This Row],[Quantity]],"")</f>
        <v/>
      </c>
      <c r="T38" s="1088" t="b">
        <f>AND('Subsidy Contract Calculation'!F22&gt;0,'Subsidy Contract Calculation'!C22="Federal",Cdlac[[#This Row],[Quantity]]&gt;0)</f>
        <v>0</v>
      </c>
    </row>
    <row r="39" spans="2:20" ht="15" customHeight="1">
      <c r="E39" s="1168" t="s">
        <v>2399</v>
      </c>
      <c r="F39" s="1164" t="s">
        <v>2387</v>
      </c>
      <c r="G39" s="1172">
        <f>12*15</f>
        <v>180</v>
      </c>
      <c r="L39" s="1088" t="str">
        <f>IFERROR(MIN(4,MATCH(Application!B733,UnitSizes,0)-1),"")</f>
        <v/>
      </c>
      <c r="M39" s="1110">
        <f>Application!G733</f>
        <v>0</v>
      </c>
      <c r="N39" s="1118">
        <f>Application!AC733</f>
        <v>0</v>
      </c>
      <c r="O39" s="1118" t="str">
        <f>IF(Cdlac[[#This Row],[Quantity]]&gt;0,IF(Cdlac[[#This Row],[Federal]],30%,IF($G$36,40%,Cdlac[[#This Row],[iAMI]])),"")</f>
        <v/>
      </c>
      <c r="P39" s="1110" t="str" cm="1">
        <f t="array" ref="P39">IF(Cdlac[[#This Row],[Quantity]]&gt;0,INDEX(TcacRents,$P$18,Cdlac[[#This Row],[Bedrooms]]+1)*Cdlac[[#This Row],[AMI]],"")</f>
        <v/>
      </c>
      <c r="Q39" s="1110" t="str" cm="1">
        <f t="array" ref="Q39">IF(Cdlac[[#This Row],[Quantity]]&gt;0,INDEX(HudFmrs,$P$18,Cdlac[[#This Row],[Bedrooms]]+1),"")</f>
        <v/>
      </c>
      <c r="R39" s="1110" t="str">
        <f>IF(Cdlac[[#This Row],[Quantity]]&gt;0,MAX(0,Cdlac[[#This Row],[Fair Market Rent]]-Cdlac[[#This Row],[Restricted Rent]]),"")</f>
        <v/>
      </c>
      <c r="S39" s="1088" t="str">
        <f>IF(Cdlac[[#This Row],[Quantity]]&gt;0,AND(Application!AK733&lt;&gt;"N/A",Application!AK733&lt;&gt;"")*Cdlac[[#This Row],[Quantity]],"")</f>
        <v/>
      </c>
      <c r="T39" s="1088" t="b">
        <f>AND('Subsidy Contract Calculation'!F23&gt;0,'Subsidy Contract Calculation'!C23="Federal",Cdlac[[#This Row],[Quantity]]&gt;0)</f>
        <v>0</v>
      </c>
    </row>
    <row r="40" spans="2:20" ht="15" customHeight="1">
      <c r="E40" s="1173" t="s">
        <v>2327</v>
      </c>
      <c r="F40" s="1090"/>
      <c r="G40" s="1174">
        <f>G38*G39</f>
        <v>8718156</v>
      </c>
      <c r="L40" s="1088" t="str">
        <f>IFERROR(MIN(4,MATCH(Application!B734,UnitSizes,0)-1),"")</f>
        <v/>
      </c>
      <c r="M40" s="1110">
        <f>Application!G734</f>
        <v>0</v>
      </c>
      <c r="N40" s="1118">
        <f>Application!AC734</f>
        <v>0</v>
      </c>
      <c r="O40" s="1118" t="str">
        <f>IF(Cdlac[[#This Row],[Quantity]]&gt;0,IF(Cdlac[[#This Row],[Federal]],30%,IF($G$36,40%,Cdlac[[#This Row],[iAMI]])),"")</f>
        <v/>
      </c>
      <c r="P40" s="1110" t="str" cm="1">
        <f t="array" ref="P40">IF(Cdlac[[#This Row],[Quantity]]&gt;0,INDEX(TcacRents,$P$18,Cdlac[[#This Row],[Bedrooms]]+1)*Cdlac[[#This Row],[AMI]],"")</f>
        <v/>
      </c>
      <c r="Q40" s="1110" t="str" cm="1">
        <f t="array" ref="Q40">IF(Cdlac[[#This Row],[Quantity]]&gt;0,INDEX(HudFmrs,$P$18,Cdlac[[#This Row],[Bedrooms]]+1),"")</f>
        <v/>
      </c>
      <c r="R40" s="1110" t="str">
        <f>IF(Cdlac[[#This Row],[Quantity]]&gt;0,MAX(0,Cdlac[[#This Row],[Fair Market Rent]]-Cdlac[[#This Row],[Restricted Rent]]),"")</f>
        <v/>
      </c>
      <c r="S40" s="1088" t="str">
        <f>IF(Cdlac[[#This Row],[Quantity]]&gt;0,AND(Application!AK734&lt;&gt;"N/A",Application!AK734&lt;&gt;"")*Cdlac[[#This Row],[Quantity]],"")</f>
        <v/>
      </c>
      <c r="T40" s="1088" t="b">
        <f>AND('Subsidy Contract Calculation'!F24&gt;0,'Subsidy Contract Calculation'!C24="Federal",Cdlac[[#This Row],[Quantity]]&gt;0)</f>
        <v>0</v>
      </c>
    </row>
    <row r="41" spans="2:20" ht="15" customHeight="1">
      <c r="L41" s="1088" t="str">
        <f>IFERROR(MIN(4,MATCH(Application!B735,UnitSizes,0)-1),"")</f>
        <v/>
      </c>
      <c r="M41" s="1110">
        <f>Application!G735</f>
        <v>0</v>
      </c>
      <c r="N41" s="1118">
        <f>Application!AC735</f>
        <v>0</v>
      </c>
      <c r="O41" s="1118" t="str">
        <f>IF(Cdlac[[#This Row],[Quantity]]&gt;0,IF(Cdlac[[#This Row],[Federal]],30%,IF($G$36,40%,Cdlac[[#This Row],[iAMI]])),"")</f>
        <v/>
      </c>
      <c r="P41" s="1110" t="str" cm="1">
        <f t="array" ref="P41">IF(Cdlac[[#This Row],[Quantity]]&gt;0,INDEX(TcacRents,$P$18,Cdlac[[#This Row],[Bedrooms]]+1)*Cdlac[[#This Row],[AMI]],"")</f>
        <v/>
      </c>
      <c r="Q41" s="1110" t="str" cm="1">
        <f t="array" ref="Q41">IF(Cdlac[[#This Row],[Quantity]]&gt;0,INDEX(HudFmrs,$P$18,Cdlac[[#This Row],[Bedrooms]]+1),"")</f>
        <v/>
      </c>
      <c r="R41" s="1110" t="str">
        <f>IF(Cdlac[[#This Row],[Quantity]]&gt;0,MAX(0,Cdlac[[#This Row],[Fair Market Rent]]-Cdlac[[#This Row],[Restricted Rent]]),"")</f>
        <v/>
      </c>
      <c r="S41" s="1088" t="str">
        <f>IF(Cdlac[[#This Row],[Quantity]]&gt;0,AND(Application!AK735&lt;&gt;"N/A",Application!AK735&lt;&gt;"")*Cdlac[[#This Row],[Quantity]],"")</f>
        <v/>
      </c>
      <c r="T41" s="1088" t="b">
        <f>AND('Subsidy Contract Calculation'!F25&gt;0,'Subsidy Contract Calculation'!C25="Federal",Cdlac[[#This Row],[Quantity]]&gt;0)</f>
        <v>0</v>
      </c>
    </row>
    <row r="42" spans="2:20" ht="15" customHeight="1">
      <c r="B42" s="1113" t="str">
        <f>B11</f>
        <v>C. Special Needs Population Benefit</v>
      </c>
      <c r="C42" s="1114"/>
      <c r="D42" s="1114"/>
      <c r="E42" s="1114"/>
      <c r="F42" s="1114"/>
      <c r="G42" s="1114"/>
      <c r="H42" s="1114"/>
      <c r="I42" s="1115"/>
      <c r="L42" s="1088" t="str">
        <f>IFERROR(MIN(4,MATCH(Application!B736,UnitSizes,0)-1),"")</f>
        <v/>
      </c>
      <c r="M42" s="1110">
        <f>Application!G736</f>
        <v>0</v>
      </c>
      <c r="N42" s="1118">
        <f>Application!AC736</f>
        <v>0</v>
      </c>
      <c r="O42" s="1118" t="str">
        <f>IF(Cdlac[[#This Row],[Quantity]]&gt;0,IF(Cdlac[[#This Row],[Federal]],30%,IF($G$36,40%,Cdlac[[#This Row],[iAMI]])),"")</f>
        <v/>
      </c>
      <c r="P42" s="1110" t="str" cm="1">
        <f t="array" ref="P42">IF(Cdlac[[#This Row],[Quantity]]&gt;0,INDEX(TcacRents,$P$18,Cdlac[[#This Row],[Bedrooms]]+1)*Cdlac[[#This Row],[AMI]],"")</f>
        <v/>
      </c>
      <c r="Q42" s="1110" t="str" cm="1">
        <f t="array" ref="Q42">IF(Cdlac[[#This Row],[Quantity]]&gt;0,INDEX(HudFmrs,$P$18,Cdlac[[#This Row],[Bedrooms]]+1),"")</f>
        <v/>
      </c>
      <c r="R42" s="1110" t="str">
        <f>IF(Cdlac[[#This Row],[Quantity]]&gt;0,MAX(0,Cdlac[[#This Row],[Fair Market Rent]]-Cdlac[[#This Row],[Restricted Rent]]),"")</f>
        <v/>
      </c>
      <c r="S42" s="1088" t="str">
        <f>IF(Cdlac[[#This Row],[Quantity]]&gt;0,AND(Application!AK736&lt;&gt;"N/A",Application!AK736&lt;&gt;"")*Cdlac[[#This Row],[Quantity]],"")</f>
        <v/>
      </c>
      <c r="T42" s="1088" t="b">
        <f>AND('Subsidy Contract Calculation'!F26&gt;0,'Subsidy Contract Calculation'!C26="Federal",Cdlac[[#This Row],[Quantity]]&gt;0)</f>
        <v>0</v>
      </c>
    </row>
    <row r="43" spans="2:20" ht="15" customHeight="1">
      <c r="L43" s="1088" t="str">
        <f>IFERROR(MIN(4,MATCH(Application!B737,UnitSizes,0)-1),"")</f>
        <v/>
      </c>
      <c r="M43" s="1110">
        <f>Application!G737</f>
        <v>0</v>
      </c>
      <c r="N43" s="1118">
        <f>Application!AC737</f>
        <v>0</v>
      </c>
      <c r="O43" s="1118" t="str">
        <f>IF(Cdlac[[#This Row],[Quantity]]&gt;0,IF(Cdlac[[#This Row],[Federal]],30%,IF($G$36,40%,Cdlac[[#This Row],[iAMI]])),"")</f>
        <v/>
      </c>
      <c r="P43" s="1110" t="str" cm="1">
        <f t="array" ref="P43">IF(Cdlac[[#This Row],[Quantity]]&gt;0,INDEX(TcacRents,$P$18,Cdlac[[#This Row],[Bedrooms]]+1)*Cdlac[[#This Row],[AMI]],"")</f>
        <v/>
      </c>
      <c r="Q43" s="1110" t="str" cm="1">
        <f t="array" ref="Q43">IF(Cdlac[[#This Row],[Quantity]]&gt;0,INDEX(HudFmrs,$P$18,Cdlac[[#This Row],[Bedrooms]]+1),"")</f>
        <v/>
      </c>
      <c r="R43" s="1110" t="str">
        <f>IF(Cdlac[[#This Row],[Quantity]]&gt;0,MAX(0,Cdlac[[#This Row],[Fair Market Rent]]-Cdlac[[#This Row],[Restricted Rent]]),"")</f>
        <v/>
      </c>
      <c r="S43" s="1088" t="str">
        <f>IF(Cdlac[[#This Row],[Quantity]]&gt;0,AND(Application!AK737&lt;&gt;"N/A",Application!AK737&lt;&gt;"")*Cdlac[[#This Row],[Quantity]],"")</f>
        <v/>
      </c>
      <c r="T43" s="1088" t="b">
        <f>AND('Subsidy Contract Calculation'!F27&gt;0,'Subsidy Contract Calculation'!C27="Federal",Cdlac[[#This Row],[Quantity]]&gt;0)</f>
        <v>0</v>
      </c>
    </row>
    <row r="44" spans="2:20" ht="15" customHeight="1">
      <c r="E44" s="1168" t="s">
        <v>2388</v>
      </c>
      <c r="G44" s="1176">
        <f>S18</f>
        <v>0</v>
      </c>
      <c r="L44" s="1088" t="str">
        <f>IFERROR(MIN(4,MATCH(Application!B738,UnitSizes,0)-1),"")</f>
        <v/>
      </c>
      <c r="M44" s="1110">
        <f>Application!G738</f>
        <v>0</v>
      </c>
      <c r="N44" s="1118">
        <f>Application!AC738</f>
        <v>0</v>
      </c>
      <c r="O44" s="1129" t="str">
        <f>IF(Cdlac[[#This Row],[Quantity]]&gt;0,IF(Cdlac[[#This Row],[Federal]],30%,IF($G$36,40%,Cdlac[[#This Row],[iAMI]])),"")</f>
        <v/>
      </c>
      <c r="P44" s="1110" t="str" cm="1">
        <f t="array" ref="P44">IF(Cdlac[[#This Row],[Quantity]]&gt;0,INDEX(TcacRents,$P$18,Cdlac[[#This Row],[Bedrooms]]+1)*Cdlac[[#This Row],[AMI]],"")</f>
        <v/>
      </c>
      <c r="Q44" s="1110" t="str" cm="1">
        <f t="array" ref="Q44">IF(Cdlac[[#This Row],[Quantity]]&gt;0,INDEX(HudFmrs,$P$18,Cdlac[[#This Row],[Bedrooms]]+1),"")</f>
        <v/>
      </c>
      <c r="R44" s="1110" t="str">
        <f>IF(Cdlac[[#This Row],[Quantity]]&gt;0,MAX(0,Cdlac[[#This Row],[Fair Market Rent]]-Cdlac[[#This Row],[Restricted Rent]]),"")</f>
        <v/>
      </c>
      <c r="S44" s="1088" t="str">
        <f>IF(Cdlac[[#This Row],[Quantity]]&gt;0,AND(Application!AK738&lt;&gt;"N/A",Application!AK738&lt;&gt;"")*Cdlac[[#This Row],[Quantity]],"")</f>
        <v/>
      </c>
      <c r="T44" s="1088" t="b">
        <f>AND('Subsidy Contract Calculation'!F28&gt;0,'Subsidy Contract Calculation'!C28="Federal",Cdlac[[#This Row],[Quantity]]&gt;0)</f>
        <v>0</v>
      </c>
    </row>
    <row r="45" spans="2:20" ht="15" customHeight="1">
      <c r="E45" s="1168" t="s">
        <v>2389</v>
      </c>
      <c r="G45" s="1176">
        <f>ROUNDDOWN(E27*50%,0)</f>
        <v>83</v>
      </c>
    </row>
    <row r="46" spans="2:20" ht="15" customHeight="1">
      <c r="E46" s="1168"/>
      <c r="G46" s="1176"/>
    </row>
    <row r="47" spans="2:20" ht="15" customHeight="1">
      <c r="E47" s="1168" t="s">
        <v>2340</v>
      </c>
      <c r="G47" s="1165">
        <f>MIN(G44:G45)</f>
        <v>0</v>
      </c>
    </row>
    <row r="48" spans="2:20" ht="15" customHeight="1">
      <c r="E48" s="1168" t="s">
        <v>2330</v>
      </c>
      <c r="F48" s="1164" t="s">
        <v>2387</v>
      </c>
      <c r="G48" s="1175">
        <v>10000</v>
      </c>
    </row>
    <row r="49" spans="2:14" ht="15" customHeight="1">
      <c r="E49" s="1169" t="s">
        <v>2370</v>
      </c>
      <c r="F49" s="1090"/>
      <c r="G49" s="1174">
        <f>G47*G48</f>
        <v>0</v>
      </c>
    </row>
    <row r="50" spans="2:14" ht="15" customHeight="1"/>
    <row r="51" spans="2:14" ht="15" customHeight="1">
      <c r="B51" s="1113" t="str">
        <f>B12</f>
        <v>D. Extremely Low Income Benefit</v>
      </c>
      <c r="C51" s="1114"/>
      <c r="D51" s="1114"/>
      <c r="E51" s="1114"/>
      <c r="F51" s="1114"/>
      <c r="G51" s="1114"/>
      <c r="H51" s="1114"/>
      <c r="I51" s="1115"/>
    </row>
    <row r="52" spans="2:14" ht="15" customHeight="1"/>
    <row r="53" spans="2:14" ht="15" customHeight="1">
      <c r="E53" s="1168" t="s">
        <v>2390</v>
      </c>
      <c r="G53" s="1126">
        <f>SUMIFS(Cdlac[Quantity],Cdlac[iAMI],"&lt;=30%")</f>
        <v>17</v>
      </c>
    </row>
    <row r="54" spans="2:14" ht="15" customHeight="1">
      <c r="E54" s="1168" t="s">
        <v>2389</v>
      </c>
      <c r="G54" s="1126">
        <f>ROUNDDOWN(E27*50%,0)</f>
        <v>83</v>
      </c>
    </row>
    <row r="55" spans="2:14" ht="15" customHeight="1">
      <c r="E55" s="1168"/>
      <c r="G55" s="1126"/>
    </row>
    <row r="56" spans="2:14" ht="15" customHeight="1">
      <c r="E56" s="1168" t="s">
        <v>2340</v>
      </c>
      <c r="G56" s="1165">
        <f>MIN(G53:G54)</f>
        <v>17</v>
      </c>
    </row>
    <row r="57" spans="2:14" ht="15" customHeight="1">
      <c r="E57" s="1168" t="s">
        <v>2330</v>
      </c>
      <c r="F57" s="1164" t="s">
        <v>2387</v>
      </c>
      <c r="G57" s="1175">
        <v>20000</v>
      </c>
    </row>
    <row r="58" spans="2:14" ht="15" customHeight="1">
      <c r="E58" s="1169" t="s">
        <v>2369</v>
      </c>
      <c r="F58" s="1090"/>
      <c r="G58" s="1174">
        <f>G56*G57</f>
        <v>340000</v>
      </c>
    </row>
    <row r="59" spans="2:14" ht="15" customHeight="1"/>
    <row r="60" spans="2:14" ht="15" customHeight="1">
      <c r="B60" s="1113" t="str">
        <f>B13</f>
        <v>E. Sustainability Benefit</v>
      </c>
      <c r="C60" s="1114"/>
      <c r="D60" s="1114"/>
      <c r="E60" s="1114"/>
      <c r="F60" s="1114"/>
      <c r="G60" s="1114"/>
      <c r="H60" s="1114"/>
      <c r="I60" s="1115"/>
    </row>
    <row r="61" spans="2:14" ht="15" customHeight="1" thickBot="1"/>
    <row r="62" spans="2:14" ht="15" customHeight="1">
      <c r="E62" s="1133" t="s">
        <v>2343</v>
      </c>
      <c r="G62" s="1165">
        <f>VLOOKUP('Points System'!$H$595,'Points System'!$AO$575:$AP$580,2,FALSE)</f>
        <v>0</v>
      </c>
      <c r="L62" s="1178" t="str">
        <f>'Points System'!H627</f>
        <v>(i)</v>
      </c>
      <c r="M62" s="2125" t="s">
        <v>1577</v>
      </c>
      <c r="N62" s="2126"/>
    </row>
    <row r="63" spans="2:14" ht="15" customHeight="1">
      <c r="E63" s="1133" t="s">
        <v>2330</v>
      </c>
      <c r="F63" s="1164" t="s">
        <v>2387</v>
      </c>
      <c r="G63" s="1123">
        <v>4000</v>
      </c>
      <c r="L63" s="1179" t="str">
        <f>'Points System'!H639</f>
        <v>N/A</v>
      </c>
      <c r="M63" s="2117" t="s">
        <v>2344</v>
      </c>
      <c r="N63" s="2118"/>
    </row>
    <row r="64" spans="2:14" ht="15" customHeight="1">
      <c r="E64" s="1133" t="s">
        <v>2391</v>
      </c>
      <c r="F64" s="1164" t="s">
        <v>2387</v>
      </c>
      <c r="G64" s="1177">
        <f>G27</f>
        <v>203.75</v>
      </c>
      <c r="L64" s="1179" t="str">
        <f>'Points System'!H674</f>
        <v>(iii)</v>
      </c>
      <c r="M64" s="2117" t="s">
        <v>2345</v>
      </c>
      <c r="N64" s="2118"/>
    </row>
    <row r="65" spans="2:14" ht="15" customHeight="1">
      <c r="E65" s="1169" t="s">
        <v>2349</v>
      </c>
      <c r="F65" s="1090"/>
      <c r="G65" s="1174">
        <f>G62*G63*G64</f>
        <v>0</v>
      </c>
      <c r="L65" s="1179" t="str">
        <f>'Points System'!H694</f>
        <v>(ii)</v>
      </c>
      <c r="M65" s="2117" t="s">
        <v>2346</v>
      </c>
      <c r="N65" s="2118"/>
    </row>
    <row r="66" spans="2:14" ht="15" customHeight="1">
      <c r="C66" s="1124"/>
      <c r="G66" s="1165"/>
      <c r="L66" s="1180" t="str">
        <f>'Points System'!H708</f>
        <v>N/A</v>
      </c>
      <c r="M66" s="2117" t="s">
        <v>1603</v>
      </c>
      <c r="N66" s="2118"/>
    </row>
    <row r="67" spans="2:14" ht="15" customHeight="1">
      <c r="E67" s="1133" t="s">
        <v>2392</v>
      </c>
      <c r="G67" s="1177">
        <f>COUNTIFS(L62:L69,"(i)")</f>
        <v>1</v>
      </c>
      <c r="L67" s="1179" t="str">
        <f>'Points System'!H720</f>
        <v>N/A</v>
      </c>
      <c r="M67" s="2117" t="s">
        <v>2347</v>
      </c>
      <c r="N67" s="2118"/>
    </row>
    <row r="68" spans="2:14" ht="15" customHeight="1">
      <c r="E68" s="1133" t="s">
        <v>2330</v>
      </c>
      <c r="F68" s="1164" t="s">
        <v>2387</v>
      </c>
      <c r="G68" s="1175">
        <v>4000</v>
      </c>
      <c r="L68" s="1179" t="str">
        <f>'Points System'!H736</f>
        <v>N/A</v>
      </c>
      <c r="M68" s="2117" t="s">
        <v>2348</v>
      </c>
      <c r="N68" s="2118"/>
    </row>
    <row r="69" spans="2:14" ht="15" customHeight="1" thickBot="1">
      <c r="E69" s="1169" t="s">
        <v>2350</v>
      </c>
      <c r="F69" s="1090"/>
      <c r="G69" s="1174">
        <f>G64*G67*G68</f>
        <v>815000</v>
      </c>
      <c r="L69" s="1181" t="str">
        <f>'Points System'!H748</f>
        <v>N/A</v>
      </c>
      <c r="M69" s="2119" t="s">
        <v>1606</v>
      </c>
      <c r="N69" s="2120"/>
    </row>
    <row r="70" spans="2:14" ht="15" customHeight="1"/>
    <row r="71" spans="2:14" ht="15" customHeight="1">
      <c r="C71" s="1127" t="s">
        <v>2352</v>
      </c>
    </row>
    <row r="72" spans="2:14" ht="15" customHeight="1">
      <c r="C72" s="1124" t="s">
        <v>2353</v>
      </c>
      <c r="G72" s="1087"/>
    </row>
    <row r="73" spans="2:14" ht="15" customHeight="1">
      <c r="C73" s="1124" t="s">
        <v>2354</v>
      </c>
      <c r="G73" s="1087"/>
    </row>
    <row r="74" spans="2:14" ht="15" customHeight="1">
      <c r="C74" s="1124" t="s">
        <v>2615</v>
      </c>
      <c r="G74" s="1087"/>
    </row>
    <row r="75" spans="2:14" ht="15" customHeight="1">
      <c r="C75" s="1124" t="s">
        <v>2616</v>
      </c>
      <c r="G75" s="1087"/>
    </row>
    <row r="76" spans="2:14" ht="15" customHeight="1"/>
    <row r="77" spans="2:14" ht="15" customHeight="1">
      <c r="B77" s="1125"/>
      <c r="C77" s="1124"/>
      <c r="E77" s="1133" t="s">
        <v>2394</v>
      </c>
      <c r="G77" s="1126" t="b">
        <f>COUNTIFS(G72:G75,"Yes")&gt;=1</f>
        <v>0</v>
      </c>
    </row>
    <row r="78" spans="2:14" ht="15" customHeight="1">
      <c r="E78" s="1124"/>
    </row>
    <row r="79" spans="2:14" ht="15" customHeight="1">
      <c r="E79" s="1133" t="s">
        <v>2391</v>
      </c>
      <c r="F79" s="1164" t="s">
        <v>2387</v>
      </c>
      <c r="G79" s="1165">
        <f>G27</f>
        <v>203.75</v>
      </c>
    </row>
    <row r="80" spans="2:14" ht="15" customHeight="1">
      <c r="E80" s="1133" t="s">
        <v>2330</v>
      </c>
      <c r="F80" s="1164" t="s">
        <v>2387</v>
      </c>
      <c r="G80" s="1175">
        <v>25000</v>
      </c>
    </row>
    <row r="81" spans="2:14" ht="15" customHeight="1">
      <c r="E81" s="1169" t="s">
        <v>2351</v>
      </c>
      <c r="F81" s="1090"/>
      <c r="G81" s="1174">
        <f>G77*G80*G64</f>
        <v>0</v>
      </c>
    </row>
    <row r="82" spans="2:14" ht="15" customHeight="1">
      <c r="C82" s="1124"/>
      <c r="E82" s="1124"/>
    </row>
    <row r="83" spans="2:14" ht="15" customHeight="1">
      <c r="E83" s="1169" t="s">
        <v>2328</v>
      </c>
      <c r="G83" s="1174">
        <f>G81+G69+G65</f>
        <v>815000</v>
      </c>
    </row>
    <row r="84" spans="2:14" ht="15" customHeight="1"/>
    <row r="85" spans="2:14" ht="15" customHeight="1">
      <c r="B85" s="1113" t="str">
        <f>B14</f>
        <v>F. Opportunity Benefit</v>
      </c>
      <c r="C85" s="1114"/>
      <c r="D85" s="1114"/>
      <c r="E85" s="1114"/>
      <c r="F85" s="1114"/>
      <c r="G85" s="1114"/>
      <c r="H85" s="1114"/>
      <c r="I85" s="1115"/>
    </row>
    <row r="86" spans="2:14" ht="15" customHeight="1" thickBot="1"/>
    <row r="87" spans="2:14" ht="15" customHeight="1">
      <c r="C87" s="1124" t="s">
        <v>2373</v>
      </c>
      <c r="G87" s="1087"/>
      <c r="L87" s="2121" t="s">
        <v>2357</v>
      </c>
      <c r="M87" s="2122"/>
      <c r="N87" s="1182">
        <v>30000</v>
      </c>
    </row>
    <row r="88" spans="2:14" ht="15" customHeight="1">
      <c r="C88" s="1124" t="s">
        <v>2374</v>
      </c>
      <c r="G88" s="1128" t="str">
        <f>IF(Application!D210="Large Family","Yes","No")</f>
        <v>Yes</v>
      </c>
      <c r="L88" s="2113" t="s">
        <v>2321</v>
      </c>
      <c r="M88" s="2114"/>
      <c r="N88" s="1183">
        <v>20000</v>
      </c>
    </row>
    <row r="89" spans="2:14" ht="15" customHeight="1" thickBot="1">
      <c r="C89" s="1124" t="s">
        <v>2355</v>
      </c>
      <c r="G89" s="1087"/>
      <c r="L89" s="2115" t="s">
        <v>2358</v>
      </c>
      <c r="M89" s="2116"/>
      <c r="N89" s="1184">
        <v>10000</v>
      </c>
    </row>
    <row r="90" spans="2:14" ht="15" customHeight="1">
      <c r="C90" s="1124" t="s">
        <v>2356</v>
      </c>
      <c r="G90" s="1088">
        <f>Application!T193</f>
        <v>0</v>
      </c>
    </row>
    <row r="91" spans="2:14" ht="15" customHeight="1">
      <c r="C91" s="1124"/>
    </row>
    <row r="92" spans="2:14" ht="15" customHeight="1">
      <c r="E92" s="1133" t="s">
        <v>2394</v>
      </c>
      <c r="G92" s="1126" t="b">
        <f>AND(COUNTIFS(G88:G89,"Yes")&gt;=1,G87="Yes")</f>
        <v>0</v>
      </c>
    </row>
    <row r="93" spans="2:14" ht="15" customHeight="1">
      <c r="E93" s="1133"/>
      <c r="G93" s="1126"/>
    </row>
    <row r="94" spans="2:14" ht="15" customHeight="1">
      <c r="E94" s="1133" t="s">
        <v>2330</v>
      </c>
      <c r="G94" s="1125">
        <f>IFERROR(INDEX(N87:N89,MATCH(LEFT(G90,17),L87:L89,0)),0)</f>
        <v>0</v>
      </c>
    </row>
    <row r="95" spans="2:14" ht="15" customHeight="1">
      <c r="E95" s="1133" t="str">
        <f>E64</f>
        <v>Bedroom-Adjusted Low-Income Units</v>
      </c>
      <c r="F95" s="1164" t="s">
        <v>2387</v>
      </c>
      <c r="G95" s="1165">
        <f>G27</f>
        <v>203.75</v>
      </c>
    </row>
    <row r="96" spans="2:14" ht="15" customHeight="1">
      <c r="D96" s="1090"/>
      <c r="E96" s="1169" t="s">
        <v>2329</v>
      </c>
      <c r="F96" s="1090"/>
      <c r="G96" s="1174">
        <f>G95*G94*G92</f>
        <v>0</v>
      </c>
    </row>
    <row r="97" spans="2:9" ht="15" customHeight="1"/>
    <row r="98" spans="2:9" ht="15" customHeight="1">
      <c r="B98" s="1113" t="s">
        <v>2342</v>
      </c>
      <c r="C98" s="1114"/>
      <c r="D98" s="1114"/>
      <c r="E98" s="1114"/>
      <c r="F98" s="1114"/>
      <c r="G98" s="1114"/>
      <c r="H98" s="1114"/>
      <c r="I98" s="1115"/>
    </row>
    <row r="99" spans="2:9" ht="15" customHeight="1"/>
    <row r="100" spans="2:9" ht="15" customHeight="1">
      <c r="F100" s="1167" t="s">
        <v>2368</v>
      </c>
      <c r="G100" s="1087"/>
    </row>
    <row r="101" spans="2:9" ht="15" customHeight="1">
      <c r="F101" s="1167"/>
    </row>
    <row r="102" spans="2:9" ht="15" customHeight="1">
      <c r="E102" s="1133" t="s">
        <v>2394</v>
      </c>
      <c r="G102" s="1126" t="b">
        <f>G100="Yes"</f>
        <v>0</v>
      </c>
    </row>
    <row r="103" spans="2:9" ht="15" customHeight="1"/>
    <row r="104" spans="2:9" ht="15" customHeight="1">
      <c r="E104" s="1133" t="str">
        <f>E64</f>
        <v>Bedroom-Adjusted Low-Income Units</v>
      </c>
      <c r="G104" s="1165">
        <f>G27</f>
        <v>203.75</v>
      </c>
    </row>
    <row r="105" spans="2:9" ht="15" customHeight="1">
      <c r="E105" s="1133" t="s">
        <v>2330</v>
      </c>
      <c r="F105" s="1164" t="s">
        <v>2387</v>
      </c>
      <c r="G105" s="1094">
        <v>20000</v>
      </c>
    </row>
    <row r="106" spans="2:9" ht="15" customHeight="1">
      <c r="E106" s="1169" t="s">
        <v>2359</v>
      </c>
      <c r="F106" s="1090"/>
      <c r="G106" s="1174">
        <f>G102*G105*G104</f>
        <v>0</v>
      </c>
    </row>
    <row r="107" spans="2:9" ht="15" customHeight="1"/>
    <row r="108" spans="2:9" ht="15" customHeight="1">
      <c r="B108" s="1113" t="s">
        <v>2396</v>
      </c>
      <c r="C108" s="1114"/>
      <c r="D108" s="1114"/>
      <c r="E108" s="1114"/>
      <c r="F108" s="1114"/>
      <c r="G108" s="1114"/>
      <c r="H108" s="1114"/>
      <c r="I108" s="1115"/>
    </row>
    <row r="109" spans="2:9" ht="15" customHeight="1"/>
    <row r="110" spans="2:9" ht="15" customHeight="1">
      <c r="E110" s="1133" t="s">
        <v>591</v>
      </c>
      <c r="G110" s="1088" t="str">
        <f>IF(Application!T189="","",Application!T189)</f>
        <v>Placer</v>
      </c>
    </row>
    <row r="111" spans="2:9" ht="15" customHeight="1">
      <c r="E111" s="1133"/>
      <c r="G111" s="1125"/>
    </row>
    <row r="112" spans="2:9" ht="15" customHeight="1">
      <c r="E112" s="1133" t="str">
        <f>"2-Bedroom "&amp;G110&amp;" County Basis Limit"</f>
        <v>2-Bedroom Placer County Basis Limit</v>
      </c>
      <c r="G112" s="1125">
        <f>Application!R957</f>
        <v>461600</v>
      </c>
    </row>
    <row r="113" spans="4:9" ht="15" customHeight="1">
      <c r="E113" s="1133" t="s">
        <v>2395</v>
      </c>
      <c r="G113" s="1125">
        <f>MEDIAN((Application!BR795:BR852))</f>
        <v>489600</v>
      </c>
    </row>
    <row r="114" spans="4:9" ht="15" customHeight="1">
      <c r="D114" s="1090"/>
      <c r="E114" s="1169" t="s">
        <v>2397</v>
      </c>
      <c r="F114" s="1185"/>
      <c r="G114" s="1186">
        <f>((G112-G113)/G113)*0.25</f>
        <v>-1.4297385620915032E-2</v>
      </c>
      <c r="H114" s="1086"/>
      <c r="I114" s="1086"/>
    </row>
    <row r="115" spans="4:9" ht="15" customHeight="1">
      <c r="D115" s="1089"/>
      <c r="E115" s="1089"/>
    </row>
  </sheetData>
  <sheetProtection algorithmName="SHA-512" hashValue="Vccd/MAXPPq2JX6lNkk23kuV3MwsWYvsS3YivhNP0AN56KmEY1jLemRNrVx8dYoXBsXF3JNMo8ZqdCll4pJmGA==" saltValue="LnANUA1TNKbDgaM8dgkOj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T20:T44">
    <cfRule type="cellIs" dxfId="19" priority="2" operator="equal">
      <formula>FALSE</formula>
    </cfRule>
  </conditionalFormatting>
  <conditionalFormatting sqref="L20:T44">
    <cfRule type="expression" dxfId="18" priority="1">
      <formula>$M20=0</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90F7E85CD8C849853DB1709AEB9F95" ma:contentTypeVersion="4" ma:contentTypeDescription="Create a new document." ma:contentTypeScope="" ma:versionID="67e3b5bf71cca4e9559dc8687ed7bdce">
  <xsd:schema xmlns:xsd="http://www.w3.org/2001/XMLSchema" xmlns:xs="http://www.w3.org/2001/XMLSchema" xmlns:p="http://schemas.microsoft.com/office/2006/metadata/properties" xmlns:ns2="8b418b6a-42ee-4eb8-ae28-0ac0b20631f6" xmlns:ns3="a9d8134d-3034-4af2-95a0-a3316f96fd95" targetNamespace="http://schemas.microsoft.com/office/2006/metadata/properties" ma:root="true" ma:fieldsID="ff49775e14efe2268b894e4a911183b4" ns2:_="" ns3:_="">
    <xsd:import namespace="8b418b6a-42ee-4eb8-ae28-0ac0b20631f6"/>
    <xsd:import namespace="a9d8134d-3034-4af2-95a0-a3316f96fd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18b6a-42ee-4eb8-ae28-0ac0b20631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d8134d-3034-4af2-95a0-a3316f96fd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D8ED04-5FA8-4B6A-A11B-3CBE3414963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0A6645F-C624-4178-898F-8D2D0E709C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18b6a-42ee-4eb8-ae28-0ac0b20631f6"/>
    <ds:schemaRef ds:uri="a9d8134d-3034-4af2-95a0-a3316f96fd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443C16-3035-48D7-B862-C02C9AB8C7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Jori Henry</cp:lastModifiedBy>
  <cp:lastPrinted>2023-01-31T17:42:15Z</cp:lastPrinted>
  <dcterms:created xsi:type="dcterms:W3CDTF">2007-12-27T18:26:28Z</dcterms:created>
  <dcterms:modified xsi:type="dcterms:W3CDTF">2023-02-03T00:49:23Z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0x010100DF90F7E85CD8C849853DB1709AEB9F95</vt:lpwstr>
  </property>
</Properties>
</file>