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498000-21498999\21498561\L\L\"/>
    </mc:Choice>
  </mc:AlternateContent>
  <xr:revisionPtr revIDLastSave="0" documentId="13_ncr:1_{AF5197C0-96A4-4E50-89FC-55DF39C2B4AB}" xr6:coauthVersionLast="47" xr6:coauthVersionMax="47" xr10:uidLastSave="{00000000-0000-0000-0000-000000000000}"/>
  <bookViews>
    <workbookView xWindow="23685" yWindow="570" windowWidth="16140" windowHeight="20430" tabRatio="905" firstSheet="5"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Sources and Uses Budget" sheetId="4" r:id="rId5"/>
    <sheet name="Application" sheetId="3"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5"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5">Application!$A$705:$AP$739</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System'!$A$58:$AM$78</definedName>
    <definedName name="_xlnm.Print_Area" localSheetId="14">'Post-award Project Cost Changes'!$A$1:$F$107</definedName>
    <definedName name="_xlnm.Print_Area" localSheetId="6">'Sources and Basis Breakdown'!$A$1:$J$111</definedName>
    <definedName name="_xlnm.Print_Area" localSheetId="4">'Sources and Uses Budget'!$A$1:$T$139</definedName>
    <definedName name="_xlnm.Print_Area" localSheetId="8">'Tie Breaker'!$A$1:$I$114</definedName>
    <definedName name="_xlnm.Print_Titles" localSheetId="6">'Sources and Basis Breakdown'!$1:$2</definedName>
    <definedName name="_xlnm.Print_Titles" localSheetId="4">'Sources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5"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4" hidden="1">'Sources and Uses Budget'!$V:$IV</definedName>
    <definedName name="Z_ACB87C9A_02C3_4C83_BBE4_E2C44A4D81CD_.wvu.FilterData" localSheetId="5" hidden="1">Application!$841:$950</definedName>
    <definedName name="Z_ACB87C9A_02C3_4C83_BBE4_E2C44A4D81CD_.wvu.PrintArea" localSheetId="12" hidden="1">'15 Year Pro Forma'!$A$1:$AH$77</definedName>
    <definedName name="Z_ACB87C9A_02C3_4C83_BBE4_E2C44A4D81CD_.wvu.PrintArea" localSheetId="5"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3" i="3" l="1"/>
  <c r="C45" i="4"/>
  <c r="AO636" i="3"/>
  <c r="E83" i="4" l="1"/>
  <c r="AD189" i="20" l="1"/>
  <c r="AD188" i="20"/>
  <c r="F99" i="13"/>
  <c r="F90" i="13"/>
  <c r="F91" i="13"/>
  <c r="F92" i="13"/>
  <c r="F93" i="13"/>
  <c r="F89" i="13"/>
  <c r="F85" i="13"/>
  <c r="F86" i="13"/>
  <c r="F87" i="13"/>
  <c r="F84" i="13"/>
  <c r="F66" i="13"/>
  <c r="F67" i="13"/>
  <c r="F68" i="13"/>
  <c r="F69" i="13"/>
  <c r="F65" i="13"/>
  <c r="F47" i="13"/>
  <c r="F48" i="13"/>
  <c r="F49" i="13"/>
  <c r="F50" i="13"/>
  <c r="F51" i="13"/>
  <c r="F52" i="13"/>
  <c r="F53" i="13"/>
  <c r="F43" i="13"/>
  <c r="F34" i="13"/>
  <c r="F36" i="13"/>
  <c r="F29" i="13"/>
  <c r="C99" i="13"/>
  <c r="C84" i="13"/>
  <c r="C85" i="13"/>
  <c r="C86" i="13"/>
  <c r="C87" i="13"/>
  <c r="C88" i="13"/>
  <c r="C89" i="13"/>
  <c r="C90" i="13"/>
  <c r="C91" i="13"/>
  <c r="C92" i="13"/>
  <c r="C93" i="13"/>
  <c r="C94" i="13"/>
  <c r="C72" i="13"/>
  <c r="C69" i="13"/>
  <c r="C65" i="13"/>
  <c r="C58" i="13"/>
  <c r="C57" i="13"/>
  <c r="C47" i="13"/>
  <c r="C48" i="13"/>
  <c r="C50" i="13"/>
  <c r="C51" i="13"/>
  <c r="C52" i="13"/>
  <c r="C53" i="13"/>
  <c r="C43" i="13"/>
  <c r="C34" i="13"/>
  <c r="C36" i="13"/>
  <c r="C29" i="13"/>
  <c r="C6" i="13"/>
  <c r="C4" i="13"/>
  <c r="S99" i="4"/>
  <c r="S94" i="4"/>
  <c r="S93" i="4"/>
  <c r="S92" i="4"/>
  <c r="S91" i="4"/>
  <c r="S90" i="4"/>
  <c r="S89" i="4"/>
  <c r="S87" i="4"/>
  <c r="S86" i="4"/>
  <c r="S85" i="4"/>
  <c r="S84" i="4"/>
  <c r="S69" i="4"/>
  <c r="S65" i="4"/>
  <c r="S53" i="4"/>
  <c r="S52" i="4"/>
  <c r="S51" i="4"/>
  <c r="S50" i="4"/>
  <c r="S48" i="4"/>
  <c r="S47" i="4"/>
  <c r="S43" i="4"/>
  <c r="S34" i="4"/>
  <c r="S29" i="4"/>
  <c r="E99" i="4"/>
  <c r="E95" i="4"/>
  <c r="E94" i="4"/>
  <c r="E93" i="4"/>
  <c r="E92" i="4"/>
  <c r="E91" i="4"/>
  <c r="E90" i="4"/>
  <c r="E89" i="4"/>
  <c r="E88" i="4"/>
  <c r="E87" i="4"/>
  <c r="E86" i="4"/>
  <c r="E85" i="4"/>
  <c r="E84"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6" i="4"/>
  <c r="E35" i="4"/>
  <c r="E34" i="4"/>
  <c r="E33" i="4"/>
  <c r="E32" i="4"/>
  <c r="E31" i="4"/>
  <c r="E30" i="4"/>
  <c r="E29" i="4"/>
  <c r="E6" i="4"/>
  <c r="E4" i="4"/>
  <c r="AA904" i="3"/>
  <c r="AA902" i="3"/>
  <c r="AA901" i="3"/>
  <c r="AC870" i="3"/>
  <c r="W850" i="3"/>
  <c r="W853" i="3"/>
  <c r="W838" i="3"/>
  <c r="W851" i="3"/>
  <c r="W830" i="3"/>
  <c r="O729" i="3"/>
  <c r="O728" i="3"/>
  <c r="O727" i="3"/>
  <c r="O726" i="3"/>
  <c r="O725" i="3"/>
  <c r="O724" i="3"/>
  <c r="O723" i="3"/>
  <c r="O722" i="3"/>
  <c r="O721" i="3"/>
  <c r="O720" i="3"/>
  <c r="O719" i="3"/>
  <c r="O718" i="3"/>
  <c r="O717" i="3"/>
  <c r="O716" i="3"/>
  <c r="O715" i="3"/>
  <c r="O714" i="3"/>
  <c r="AB275" i="3"/>
  <c r="V275" i="3"/>
  <c r="L275" i="3"/>
  <c r="L274" i="3"/>
  <c r="M263" i="3"/>
  <c r="M262" i="3"/>
  <c r="M261" i="3"/>
  <c r="M255" i="3"/>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5" i="26" l="1"/>
  <c r="J20" i="26"/>
  <c r="J27" i="26"/>
  <c r="J28"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AA29" i="7" s="1"/>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DX603" i="3" s="1"/>
  <c r="BN604" i="3"/>
  <c r="DX604" i="3" s="1"/>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EH598" i="3" s="1"/>
  <c r="BX599" i="3"/>
  <c r="EH599" i="3" s="1"/>
  <c r="BX600" i="3"/>
  <c r="EH600" i="3" s="1"/>
  <c r="BX601" i="3"/>
  <c r="EH601" i="3" s="1"/>
  <c r="BX602" i="3"/>
  <c r="BX603" i="3"/>
  <c r="EH603" i="3" s="1"/>
  <c r="BX604" i="3"/>
  <c r="EH604" i="3" s="1"/>
  <c r="BX605" i="3"/>
  <c r="EH605" i="3" s="1"/>
  <c r="BX606" i="3"/>
  <c r="EH606" i="3" s="1"/>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EM599" i="3" s="1"/>
  <c r="CC600" i="3"/>
  <c r="EM600" i="3" s="1"/>
  <c r="CC601" i="3"/>
  <c r="EM601" i="3" s="1"/>
  <c r="CC602" i="3"/>
  <c r="EM602" i="3" s="1"/>
  <c r="CC603" i="3"/>
  <c r="EM603" i="3" s="1"/>
  <c r="CC604" i="3"/>
  <c r="EM604" i="3" s="1"/>
  <c r="CC605" i="3"/>
  <c r="EM605" i="3" s="1"/>
  <c r="CC606" i="3"/>
  <c r="EM606" i="3" s="1"/>
  <c r="CC607" i="3"/>
  <c r="EM607" i="3" s="1"/>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EW603" i="3" s="1"/>
  <c r="CM604" i="3"/>
  <c r="EW604" i="3" s="1"/>
  <c r="CM605" i="3"/>
  <c r="CM606" i="3"/>
  <c r="EW606" i="3" s="1"/>
  <c r="CM607" i="3"/>
  <c r="EW607" i="3" s="1"/>
  <c r="CM608" i="3"/>
  <c r="EW608" i="3" s="1"/>
  <c r="CM609" i="3"/>
  <c r="EW609" i="3" s="1"/>
  <c r="CM610" i="3"/>
  <c r="EW610" i="3" s="1"/>
  <c r="CM611" i="3"/>
  <c r="EW611" i="3" s="1"/>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ER605" i="3" s="1"/>
  <c r="CH606" i="3"/>
  <c r="ER606" i="3" s="1"/>
  <c r="CH607" i="3"/>
  <c r="ER607" i="3" s="1"/>
  <c r="CH608" i="3"/>
  <c r="ER608" i="3" s="1"/>
  <c r="CH609" i="3"/>
  <c r="ER609" i="3" s="1"/>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B71" i="11" s="1"/>
  <c r="A62" i="11"/>
  <c r="A54" i="11"/>
  <c r="A38" i="11"/>
  <c r="A26" i="11"/>
  <c r="C31" i="11"/>
  <c r="C32" i="11"/>
  <c r="C33" i="11"/>
  <c r="C34" i="11"/>
  <c r="C35" i="11"/>
  <c r="C36" i="11"/>
  <c r="C37" i="11"/>
  <c r="C38" i="11"/>
  <c r="B31" i="11"/>
  <c r="B32" i="11"/>
  <c r="D32" i="11" s="1"/>
  <c r="B33" i="11"/>
  <c r="D33" i="11" s="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s="1"/>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D80" i="11" s="1"/>
  <c r="B81" i="11"/>
  <c r="I96" i="13"/>
  <c r="J96" i="13"/>
  <c r="J81" i="13"/>
  <c r="I81" i="13"/>
  <c r="G81" i="13"/>
  <c r="D81" i="13"/>
  <c r="C81" i="13"/>
  <c r="H80" i="13"/>
  <c r="E80" i="13"/>
  <c r="F80" i="13" s="1"/>
  <c r="B80" i="13"/>
  <c r="C80" i="13" s="1"/>
  <c r="R80" i="4"/>
  <c r="S80" i="4"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65" i="13"/>
  <c r="E53" i="13"/>
  <c r="E52" i="13"/>
  <c r="E51" i="13"/>
  <c r="E50" i="13"/>
  <c r="E49" i="13"/>
  <c r="E48" i="13"/>
  <c r="E47" i="13"/>
  <c r="E45" i="13"/>
  <c r="F45" i="13" s="1"/>
  <c r="E43" i="13"/>
  <c r="E37" i="13"/>
  <c r="E34" i="13"/>
  <c r="E33" i="13"/>
  <c r="F33" i="13" s="1"/>
  <c r="E32" i="13"/>
  <c r="F32" i="13" s="1"/>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C83" i="13" s="1"/>
  <c r="C96" i="13" s="1"/>
  <c r="B79" i="13"/>
  <c r="C79" i="13" s="1"/>
  <c r="B76" i="13"/>
  <c r="B75" i="13"/>
  <c r="C75" i="13" s="1"/>
  <c r="B74" i="13"/>
  <c r="B73" i="13"/>
  <c r="B72" i="13"/>
  <c r="B65" i="13"/>
  <c r="B61" i="13"/>
  <c r="B60" i="13"/>
  <c r="B59" i="13"/>
  <c r="B58" i="13"/>
  <c r="B57" i="13"/>
  <c r="B56" i="13"/>
  <c r="B53" i="13"/>
  <c r="B52" i="13"/>
  <c r="B51" i="13"/>
  <c r="B50" i="13"/>
  <c r="B49" i="13"/>
  <c r="C49" i="13" s="1"/>
  <c r="B48" i="13"/>
  <c r="B47" i="13"/>
  <c r="B46" i="13"/>
  <c r="C46" i="13" s="1"/>
  <c r="B45" i="13"/>
  <c r="C45" i="13" s="1"/>
  <c r="B43" i="13"/>
  <c r="C42" i="4"/>
  <c r="B42" i="13" s="1"/>
  <c r="B41" i="13"/>
  <c r="C41" i="13" s="1"/>
  <c r="B40" i="13"/>
  <c r="C40" i="13" s="1"/>
  <c r="B37" i="13"/>
  <c r="B35" i="13"/>
  <c r="C35" i="13" s="1"/>
  <c r="B34" i="13"/>
  <c r="B33" i="13"/>
  <c r="C33" i="13" s="1"/>
  <c r="B32" i="13"/>
  <c r="C32" i="13" s="1"/>
  <c r="B31" i="13"/>
  <c r="C31" i="13" s="1"/>
  <c r="B30" i="13"/>
  <c r="C30" i="13" s="1"/>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D77" i="13"/>
  <c r="C77" i="13"/>
  <c r="J70" i="13"/>
  <c r="I70" i="13"/>
  <c r="G70" i="13"/>
  <c r="F70" i="13"/>
  <c r="D70" i="13"/>
  <c r="C70" i="13"/>
  <c r="D62" i="13"/>
  <c r="C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96" i="4" s="1"/>
  <c r="R76" i="4"/>
  <c r="R75" i="4"/>
  <c r="R72" i="4"/>
  <c r="R73" i="4"/>
  <c r="R74" i="4"/>
  <c r="R69" i="4"/>
  <c r="R70" i="4" s="1"/>
  <c r="R65" i="4"/>
  <c r="R61" i="4"/>
  <c r="R60" i="4"/>
  <c r="R59" i="4"/>
  <c r="R58" i="4"/>
  <c r="R57" i="4"/>
  <c r="R56" i="4"/>
  <c r="R53" i="4"/>
  <c r="R52" i="4"/>
  <c r="R51" i="4"/>
  <c r="R50" i="4"/>
  <c r="R49" i="4"/>
  <c r="R48" i="4"/>
  <c r="R47" i="4"/>
  <c r="R46" i="4"/>
  <c r="S46" i="4" s="1"/>
  <c r="E46" i="13" s="1"/>
  <c r="F46" i="13" s="1"/>
  <c r="R45" i="4"/>
  <c r="R43" i="4"/>
  <c r="R41" i="4"/>
  <c r="S41" i="4" s="1"/>
  <c r="E41" i="13" s="1"/>
  <c r="R40" i="4"/>
  <c r="S40" i="4" s="1"/>
  <c r="E40" i="13" s="1"/>
  <c r="R37" i="4"/>
  <c r="R35" i="4"/>
  <c r="S35" i="4" s="1"/>
  <c r="E35" i="13" s="1"/>
  <c r="F35" i="13" s="1"/>
  <c r="R34" i="4"/>
  <c r="R33" i="4"/>
  <c r="S33" i="4" s="1"/>
  <c r="R32" i="4"/>
  <c r="S32" i="4" s="1"/>
  <c r="R31" i="4"/>
  <c r="S31" i="4" s="1"/>
  <c r="E31" i="13" s="1"/>
  <c r="F31" i="13" s="1"/>
  <c r="R30" i="4"/>
  <c r="S30" i="4" s="1"/>
  <c r="E30" i="13" s="1"/>
  <c r="F30" i="13" s="1"/>
  <c r="R29" i="4"/>
  <c r="R27" i="4"/>
  <c r="R25" i="4"/>
  <c r="R23" i="4"/>
  <c r="R22" i="4"/>
  <c r="R21" i="4"/>
  <c r="R20" i="4"/>
  <c r="R19" i="4"/>
  <c r="R18" i="4"/>
  <c r="R17" i="4"/>
  <c r="R15" i="4"/>
  <c r="R14" i="4"/>
  <c r="R13" i="4"/>
  <c r="R9" i="4"/>
  <c r="R11" i="4"/>
  <c r="R7" i="4"/>
  <c r="R6" i="4"/>
  <c r="R5" i="4"/>
  <c r="R4" i="4"/>
  <c r="B5" i="11"/>
  <c r="C5" i="11"/>
  <c r="B6" i="11"/>
  <c r="C6" i="11"/>
  <c r="B7" i="11"/>
  <c r="D7" i="11" s="1"/>
  <c r="C7" i="11"/>
  <c r="C8" i="11"/>
  <c r="B8" i="11"/>
  <c r="B10" i="11"/>
  <c r="B11" i="11"/>
  <c r="C10" i="11"/>
  <c r="C11" i="11"/>
  <c r="B14" i="11"/>
  <c r="C14" i="11"/>
  <c r="B15" i="11"/>
  <c r="C15" i="11"/>
  <c r="B16" i="11"/>
  <c r="C16" i="11"/>
  <c r="B18" i="11"/>
  <c r="C18" i="11"/>
  <c r="B19" i="11"/>
  <c r="C19" i="11"/>
  <c r="D19" i="11" s="1"/>
  <c r="B20" i="11"/>
  <c r="C20" i="11"/>
  <c r="B21" i="11"/>
  <c r="C21" i="11"/>
  <c r="D21" i="11" s="1"/>
  <c r="B22" i="11"/>
  <c r="D22" i="11" s="1"/>
  <c r="C22" i="11"/>
  <c r="B23" i="11"/>
  <c r="C23" i="11"/>
  <c r="B24" i="11"/>
  <c r="D24" i="11" s="1"/>
  <c r="B28" i="11"/>
  <c r="C28" i="11"/>
  <c r="B30" i="11"/>
  <c r="D30" i="11" s="1"/>
  <c r="C30" i="11"/>
  <c r="B41" i="11"/>
  <c r="C41" i="11"/>
  <c r="C42" i="11"/>
  <c r="D42" i="11" s="1"/>
  <c r="B42" i="11"/>
  <c r="B44" i="11"/>
  <c r="C44" i="11"/>
  <c r="D44" i="11" s="1"/>
  <c r="B46" i="11"/>
  <c r="C46" i="11"/>
  <c r="D46" i="11" s="1"/>
  <c r="B47" i="11"/>
  <c r="C47" i="11"/>
  <c r="D47" i="11" s="1"/>
  <c r="B48" i="11"/>
  <c r="B49" i="11"/>
  <c r="B50" i="11"/>
  <c r="B51" i="11"/>
  <c r="B52" i="11"/>
  <c r="B53" i="11"/>
  <c r="C48" i="11"/>
  <c r="D48" i="11" s="1"/>
  <c r="C49" i="11"/>
  <c r="C50" i="11"/>
  <c r="C51" i="11"/>
  <c r="D51" i="11" s="1"/>
  <c r="C52" i="11"/>
  <c r="D52" i="11" s="1"/>
  <c r="C53" i="11"/>
  <c r="B57" i="11"/>
  <c r="C57" i="11"/>
  <c r="B58" i="11"/>
  <c r="C58" i="11"/>
  <c r="D58" i="11" s="1"/>
  <c r="B59" i="11"/>
  <c r="C59" i="11"/>
  <c r="B60" i="11"/>
  <c r="C60" i="11"/>
  <c r="B61" i="11"/>
  <c r="C61" i="11"/>
  <c r="B62" i="11"/>
  <c r="C62" i="11"/>
  <c r="B66" i="11"/>
  <c r="C66" i="11"/>
  <c r="D66" i="11" s="1"/>
  <c r="B73" i="11"/>
  <c r="B78" i="11" s="1"/>
  <c r="C73" i="11"/>
  <c r="D73" i="11" s="1"/>
  <c r="B74" i="11"/>
  <c r="C74" i="11"/>
  <c r="B75" i="11"/>
  <c r="C75" i="11"/>
  <c r="B76" i="11"/>
  <c r="C76" i="11"/>
  <c r="B77" i="11"/>
  <c r="C77" i="11"/>
  <c r="B84" i="11"/>
  <c r="C84" i="11"/>
  <c r="D84" i="11" s="1"/>
  <c r="B100" i="11"/>
  <c r="C100" i="11"/>
  <c r="C105" i="11" s="1"/>
  <c r="D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605" i="3"/>
  <c r="DX607" i="3"/>
  <c r="DX608" i="3"/>
  <c r="DX611" i="3"/>
  <c r="DX612" i="3"/>
  <c r="DX613" i="3"/>
  <c r="DX615" i="3"/>
  <c r="DX616" i="3"/>
  <c r="DX617" i="3"/>
  <c r="DX618" i="3"/>
  <c r="DX619" i="3"/>
  <c r="DX620" i="3"/>
  <c r="EC596" i="3"/>
  <c r="EC597" i="3"/>
  <c r="EC598" i="3"/>
  <c r="EC609" i="3"/>
  <c r="EC611" i="3"/>
  <c r="EC613" i="3"/>
  <c r="EC614" i="3"/>
  <c r="EC615" i="3"/>
  <c r="EC617" i="3"/>
  <c r="EC620" i="3"/>
  <c r="EH597" i="3"/>
  <c r="EH607" i="3"/>
  <c r="EH608" i="3"/>
  <c r="EH609" i="3"/>
  <c r="EH611" i="3"/>
  <c r="EH612" i="3"/>
  <c r="EH613" i="3"/>
  <c r="EH614" i="3"/>
  <c r="EH617" i="3"/>
  <c r="EH619" i="3"/>
  <c r="EH620" i="3"/>
  <c r="EM598" i="3"/>
  <c r="EM608" i="3"/>
  <c r="EM610" i="3"/>
  <c r="EM611" i="3"/>
  <c r="EM614" i="3"/>
  <c r="EM615" i="3"/>
  <c r="EM616" i="3"/>
  <c r="EM618" i="3"/>
  <c r="EM619" i="3"/>
  <c r="EW597" i="3"/>
  <c r="EW599" i="3"/>
  <c r="EW600" i="3"/>
  <c r="EW602" i="3"/>
  <c r="EW605" i="3"/>
  <c r="EW615" i="3"/>
  <c r="EW616" i="3"/>
  <c r="EW617" i="3"/>
  <c r="ER596" i="3"/>
  <c r="ER597" i="3"/>
  <c r="ER598" i="3"/>
  <c r="ER599" i="3"/>
  <c r="ER600" i="3"/>
  <c r="ER602" i="3"/>
  <c r="ER604" i="3"/>
  <c r="ER610" i="3"/>
  <c r="ER612" i="3"/>
  <c r="ER613" i="3"/>
  <c r="ER614" i="3"/>
  <c r="ER615" i="3"/>
  <c r="ER616" i="3"/>
  <c r="ER617" i="3"/>
  <c r="ER620" i="3"/>
  <c r="C11" i="4"/>
  <c r="C38" i="4"/>
  <c r="B38" i="4" s="1"/>
  <c r="C54" i="4"/>
  <c r="B54" i="13" s="1"/>
  <c r="C62" i="4"/>
  <c r="B62" i="13" s="1"/>
  <c r="C77" i="4"/>
  <c r="B77" i="13" s="1"/>
  <c r="C96" i="4"/>
  <c r="B96" i="13" s="1"/>
  <c r="D8" i="4"/>
  <c r="D11" i="4"/>
  <c r="D26" i="4"/>
  <c r="D38" i="4"/>
  <c r="D42" i="4"/>
  <c r="D54" i="4"/>
  <c r="D62" i="4"/>
  <c r="D77" i="4"/>
  <c r="D96" i="4"/>
  <c r="D104" i="4"/>
  <c r="E26" i="13"/>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AH726" i="3"/>
  <c r="X727" i="3"/>
  <c r="AH727" i="3" s="1"/>
  <c r="X728" i="3"/>
  <c r="AH728" i="3"/>
  <c r="X729" i="3"/>
  <c r="AH729" i="3" s="1"/>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7" i="4"/>
  <c r="D49" i="11"/>
  <c r="AH720" i="3"/>
  <c r="I63" i="13"/>
  <c r="I97" i="13"/>
  <c r="I105" i="13"/>
  <c r="I107" i="13"/>
  <c r="D54" i="11"/>
  <c r="D53" i="11"/>
  <c r="J63" i="13"/>
  <c r="J97" i="13"/>
  <c r="J105" i="13"/>
  <c r="J107" i="13"/>
  <c r="L12" i="4"/>
  <c r="AH715" i="3"/>
  <c r="AH718" i="3"/>
  <c r="D93" i="11"/>
  <c r="I12" i="4"/>
  <c r="G12" i="4"/>
  <c r="D6" i="11"/>
  <c r="L63" i="4"/>
  <c r="L97" i="4"/>
  <c r="L105" i="4"/>
  <c r="Q12" i="4"/>
  <c r="B11" i="4"/>
  <c r="O63" i="4"/>
  <c r="O97" i="4"/>
  <c r="O105" i="4"/>
  <c r="D18" i="11"/>
  <c r="D10" i="11"/>
  <c r="G63" i="13"/>
  <c r="G97" i="13"/>
  <c r="G105" i="13"/>
  <c r="G107" i="13"/>
  <c r="D61" i="11"/>
  <c r="D57" i="11"/>
  <c r="D20" i="11"/>
  <c r="D8" i="11"/>
  <c r="D85" i="11"/>
  <c r="B43" i="11"/>
  <c r="D102" i="11"/>
  <c r="D94" i="11"/>
  <c r="K12" i="4"/>
  <c r="C12" i="13"/>
  <c r="D63" i="4"/>
  <c r="D97" i="4"/>
  <c r="D105" i="4"/>
  <c r="J12" i="4"/>
  <c r="O12" i="4"/>
  <c r="I63" i="4"/>
  <c r="I97" i="4"/>
  <c r="I105" i="4"/>
  <c r="D95" i="11"/>
  <c r="D25" i="11"/>
  <c r="B82" i="11"/>
  <c r="B11" i="13"/>
  <c r="D12" i="4"/>
  <c r="R77" i="4"/>
  <c r="H12" i="4"/>
  <c r="D23" i="11"/>
  <c r="D89" i="11"/>
  <c r="D35" i="11"/>
  <c r="D15" i="11"/>
  <c r="D63" i="13"/>
  <c r="D97" i="13"/>
  <c r="D105" i="13"/>
  <c r="D14" i="11"/>
  <c r="Q63" i="4"/>
  <c r="Q97" i="4"/>
  <c r="Q105" i="4"/>
  <c r="D87" i="11"/>
  <c r="N63" i="4"/>
  <c r="N97" i="4"/>
  <c r="N105" i="4"/>
  <c r="N12" i="4"/>
  <c r="H63" i="4"/>
  <c r="H97" i="4" s="1"/>
  <c r="H105" i="4" s="1"/>
  <c r="F12" i="4"/>
  <c r="D60" i="11"/>
  <c r="M12" i="4"/>
  <c r="D74" i="11"/>
  <c r="D59" i="11"/>
  <c r="D38" i="11"/>
  <c r="P63" i="4"/>
  <c r="P97" i="4"/>
  <c r="P105" i="4"/>
  <c r="C63" i="11"/>
  <c r="C9" i="11"/>
  <c r="C13" i="11" s="1"/>
  <c r="D12" i="13"/>
  <c r="D62" i="11"/>
  <c r="D101" i="11"/>
  <c r="D90" i="11"/>
  <c r="R62" i="4"/>
  <c r="D92" i="11"/>
  <c r="D75" i="11"/>
  <c r="D28" i="11"/>
  <c r="D103" i="11"/>
  <c r="D88" i="11"/>
  <c r="D16" i="11"/>
  <c r="B12" i="11"/>
  <c r="R26" i="4"/>
  <c r="D81" i="11"/>
  <c r="D86" i="11"/>
  <c r="AH719" i="3"/>
  <c r="AH717" i="3"/>
  <c r="AH716" i="3"/>
  <c r="AD199" i="20"/>
  <c r="D77" i="11"/>
  <c r="M63" i="4"/>
  <c r="M97" i="4"/>
  <c r="M105" i="4"/>
  <c r="R104" i="4"/>
  <c r="G63" i="4"/>
  <c r="G97" i="4"/>
  <c r="G105" i="4" s="1"/>
  <c r="D91" i="11"/>
  <c r="J63" i="4"/>
  <c r="J97" i="4" s="1"/>
  <c r="J105" i="4" s="1"/>
  <c r="D41" i="11"/>
  <c r="C12" i="11"/>
  <c r="K63" i="4"/>
  <c r="K97" i="4"/>
  <c r="K105" i="4"/>
  <c r="B62" i="4"/>
  <c r="B105" i="11"/>
  <c r="AD7" i="15"/>
  <c r="D104" i="11"/>
  <c r="T63" i="4"/>
  <c r="T97" i="4"/>
  <c r="D11" i="11"/>
  <c r="D12" i="11"/>
  <c r="H63" i="13"/>
  <c r="T105" i="4"/>
  <c r="H97" i="13"/>
  <c r="D96" i="11"/>
  <c r="T107" i="4"/>
  <c r="H105" i="13"/>
  <c r="H107" i="13"/>
  <c r="AD11" i="15"/>
  <c r="AZ835" i="3"/>
  <c r="AK172" i="20"/>
  <c r="AB223" i="20"/>
  <c r="AB239" i="20" s="1"/>
  <c r="AB241" i="20" s="1"/>
  <c r="AB243" i="20" s="1"/>
  <c r="AB249" i="20" s="1"/>
  <c r="AD198" i="20" s="1"/>
  <c r="AD200" i="20" s="1"/>
  <c r="D76" i="11" l="1"/>
  <c r="R81" i="4"/>
  <c r="S79" i="4"/>
  <c r="B81" i="13"/>
  <c r="S54" i="4"/>
  <c r="E54" i="13" s="1"/>
  <c r="F40" i="13" a="1"/>
  <c r="F40" i="13" s="1"/>
  <c r="F42" i="13" s="1"/>
  <c r="C42" i="13"/>
  <c r="R42" i="4"/>
  <c r="S42" i="4"/>
  <c r="E42" i="13" s="1"/>
  <c r="D36" i="11"/>
  <c r="C38" i="13"/>
  <c r="D34" i="11"/>
  <c r="S38" i="4"/>
  <c r="E38" i="13" s="1"/>
  <c r="B38" i="13"/>
  <c r="F38" i="13"/>
  <c r="C39" i="11"/>
  <c r="D31" i="11"/>
  <c r="C54" i="13"/>
  <c r="F54" i="13"/>
  <c r="F63" i="13" s="1"/>
  <c r="R54" i="4"/>
  <c r="R63" i="4" s="1"/>
  <c r="R97" i="4" s="1"/>
  <c r="R105" i="4" s="1"/>
  <c r="B96" i="4"/>
  <c r="AO65" i="20"/>
  <c r="C63" i="13"/>
  <c r="C97" i="13" s="1"/>
  <c r="C105" i="13" s="1"/>
  <c r="R38" i="4"/>
  <c r="E63" i="4"/>
  <c r="E97" i="4" s="1"/>
  <c r="E105" i="4" s="1"/>
  <c r="R8" i="4"/>
  <c r="R12" i="4"/>
  <c r="B104" i="13"/>
  <c r="D100" i="11"/>
  <c r="C97" i="11"/>
  <c r="B97" i="11"/>
  <c r="N157" i="26"/>
  <c r="C82" i="11"/>
  <c r="D82" i="11" s="1"/>
  <c r="C78" i="11"/>
  <c r="D78" i="11" s="1"/>
  <c r="D70" i="11"/>
  <c r="C71" i="11"/>
  <c r="D71" i="11" s="1"/>
  <c r="B70" i="4"/>
  <c r="B63" i="11"/>
  <c r="D63" i="11"/>
  <c r="B54" i="4"/>
  <c r="D50" i="11"/>
  <c r="B55" i="11"/>
  <c r="C55" i="11"/>
  <c r="B42" i="4"/>
  <c r="C43" i="11"/>
  <c r="D43" i="11" s="1"/>
  <c r="B39" i="11"/>
  <c r="D39" i="11" s="1"/>
  <c r="B26" i="4"/>
  <c r="C27" i="11"/>
  <c r="B9" i="11"/>
  <c r="B13" i="11" s="1"/>
  <c r="D13" i="11" s="1"/>
  <c r="D5" i="11"/>
  <c r="B8" i="4"/>
  <c r="B8" i="13"/>
  <c r="C63" i="4"/>
  <c r="C97" i="4" s="1"/>
  <c r="C105" i="4" s="1"/>
  <c r="AO637" i="3"/>
  <c r="Q28" i="7"/>
  <c r="AA28" i="7"/>
  <c r="U28" i="7"/>
  <c r="Y28" i="7"/>
  <c r="W28" i="7"/>
  <c r="I28" i="7"/>
  <c r="O28" i="7"/>
  <c r="S28" i="7"/>
  <c r="K28" i="7"/>
  <c r="K29" i="7"/>
  <c r="AG28" i="7"/>
  <c r="AG40" i="7"/>
  <c r="AG43" i="7" s="1"/>
  <c r="S29" i="7"/>
  <c r="G28" i="7"/>
  <c r="M28" i="7"/>
  <c r="AC28" i="7"/>
  <c r="G40" i="7"/>
  <c r="G43" i="7" s="1"/>
  <c r="Y29" i="7"/>
  <c r="AP355" i="20"/>
  <c r="AQ355" i="20" s="1"/>
  <c r="AS349" i="20" s="1"/>
  <c r="G67" i="21"/>
  <c r="T801" i="20"/>
  <c r="AO17" i="20"/>
  <c r="T793" i="20"/>
  <c r="AF793" i="20" s="1"/>
  <c r="AK779" i="20"/>
  <c r="T804" i="20" s="1"/>
  <c r="AF804" i="20" s="1"/>
  <c r="AK103" i="20"/>
  <c r="T791" i="20" s="1"/>
  <c r="AF791"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E49" i="7" s="1"/>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S63" i="4" l="1"/>
  <c r="S81" i="4"/>
  <c r="E81" i="13" s="1"/>
  <c r="E79" i="13"/>
  <c r="F79" i="13" s="1"/>
  <c r="F81" i="13" s="1"/>
  <c r="F97" i="13" s="1"/>
  <c r="F105" i="13" s="1"/>
  <c r="F107" i="13" s="1"/>
  <c r="AM553" i="3"/>
  <c r="AM562" i="3" s="1"/>
  <c r="AS351" i="20"/>
  <c r="AS347" i="20" s="1"/>
  <c r="AK458" i="20" s="1"/>
  <c r="T802" i="20" s="1"/>
  <c r="AF802" i="20" s="1"/>
  <c r="E63" i="13"/>
  <c r="S97" i="4"/>
  <c r="D97" i="11"/>
  <c r="D55" i="11"/>
  <c r="C64" i="11"/>
  <c r="B63" i="13"/>
  <c r="B64" i="11"/>
  <c r="B98" i="11" s="1"/>
  <c r="B106" i="11" s="1"/>
  <c r="D9" i="11"/>
  <c r="N158" i="26"/>
  <c r="N164" i="26" s="1"/>
  <c r="B63" i="4"/>
  <c r="B12" i="4"/>
  <c r="AC869" i="3"/>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1" i="21" s="1"/>
  <c r="P31" i="21" s="1" a="1"/>
  <c r="P31" i="21" s="1"/>
  <c r="R3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97" i="13" l="1"/>
  <c r="S105" i="4"/>
  <c r="D64" i="11"/>
  <c r="C98" i="11"/>
  <c r="C106" i="11" s="1"/>
  <c r="D106" i="11" s="1"/>
  <c r="AB47" i="15"/>
  <c r="AB49" i="15" s="1"/>
  <c r="AB54" i="15" s="1"/>
  <c r="AB55" i="15" s="1"/>
  <c r="N154" i="26"/>
  <c r="O25" i="21"/>
  <c r="P25" i="21" s="1" a="1"/>
  <c r="P25" i="21" s="1"/>
  <c r="R25" i="21" s="1"/>
  <c r="O20" i="21"/>
  <c r="P20" i="21" s="1" a="1"/>
  <c r="P20" i="21" s="1"/>
  <c r="R20" i="21" s="1"/>
  <c r="O29" i="21"/>
  <c r="P29" i="21" s="1" a="1"/>
  <c r="P29" i="21" s="1"/>
  <c r="R29" i="21" s="1"/>
  <c r="O30" i="21"/>
  <c r="P30" i="21" s="1" a="1"/>
  <c r="P30" i="21" s="1"/>
  <c r="R30" i="21" s="1"/>
  <c r="O32" i="21"/>
  <c r="P32" i="21" s="1" a="1"/>
  <c r="P32" i="21" s="1"/>
  <c r="R32" i="21" s="1"/>
  <c r="O33" i="21"/>
  <c r="P33" i="21" s="1" a="1"/>
  <c r="P33" i="21" s="1"/>
  <c r="R33" i="21" s="1"/>
  <c r="O27" i="21"/>
  <c r="P27" i="21" s="1" a="1"/>
  <c r="P27" i="21" s="1"/>
  <c r="R27" i="21" s="1"/>
  <c r="O28" i="21"/>
  <c r="P28" i="21" s="1" a="1"/>
  <c r="P28" i="21" s="1"/>
  <c r="R28" i="21" s="1"/>
  <c r="O24" i="21"/>
  <c r="P24" i="21" s="1" a="1"/>
  <c r="P24" i="21" s="1"/>
  <c r="R24" i="21" s="1"/>
  <c r="O35" i="21"/>
  <c r="P35" i="21" s="1" a="1"/>
  <c r="P35" i="21" s="1"/>
  <c r="R35" i="21" s="1"/>
  <c r="O21" i="21"/>
  <c r="P21" i="21" s="1" a="1"/>
  <c r="P21" i="21" s="1"/>
  <c r="R21" i="21" s="1"/>
  <c r="AW116" i="20"/>
  <c r="O22" i="21"/>
  <c r="P22" i="21" s="1" a="1"/>
  <c r="P22" i="21" s="1"/>
  <c r="R22" i="21" s="1"/>
  <c r="O23" i="21"/>
  <c r="P23" i="21" s="1" a="1"/>
  <c r="P23" i="21" s="1"/>
  <c r="R23" i="21" s="1"/>
  <c r="O34" i="21"/>
  <c r="P34" i="21" s="1" a="1"/>
  <c r="P34" i="21" s="1"/>
  <c r="R34" i="21" s="1"/>
  <c r="O26" i="21"/>
  <c r="P26" i="21" s="1" a="1"/>
  <c r="P26" i="21" s="1"/>
  <c r="R26" i="21" s="1"/>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5" i="13"/>
  <c r="D98" i="11"/>
  <c r="N155" i="26"/>
  <c r="N165" i="26"/>
  <c r="G38" i="21"/>
  <c r="G40" i="21" s="1"/>
  <c r="E10" i="21" s="1"/>
  <c r="I4" i="7"/>
  <c r="I5" i="7" s="1"/>
  <c r="K9" i="7"/>
  <c r="E11" i="7"/>
  <c r="E37" i="7" s="1"/>
  <c r="AJ961" i="3"/>
  <c r="E132" i="20"/>
  <c r="E133" i="20" s="1"/>
  <c r="AK137" i="20" s="1"/>
  <c r="T792" i="20" s="1"/>
  <c r="AF792" i="20" s="1"/>
  <c r="E87" i="20"/>
  <c r="E88" i="20" s="1"/>
  <c r="E89" i="20" s="1"/>
  <c r="E97" i="20"/>
  <c r="E100" i="20" s="1"/>
  <c r="AB960" i="3"/>
  <c r="CS649" i="3"/>
  <c r="U362" i="20" s="1"/>
  <c r="O742" i="3"/>
  <c r="P420" i="3"/>
  <c r="I6" i="7"/>
  <c r="G7" i="7"/>
  <c r="G11" i="7" s="1"/>
  <c r="G37" i="7" s="1"/>
  <c r="M22" i="7"/>
  <c r="M35" i="7" s="1"/>
  <c r="O15" i="7"/>
  <c r="M9" i="7"/>
  <c r="O8" i="7"/>
  <c r="G25" i="21"/>
  <c r="F24" i="21"/>
  <c r="E107" i="13" l="1"/>
  <c r="AF540" i="20"/>
  <c r="AC455" i="3"/>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T11" i="15" l="1"/>
  <c r="T23" i="15" s="1"/>
  <c r="Y11" i="15"/>
  <c r="Y23" i="15" s="1"/>
  <c r="Y26" i="15" s="1"/>
  <c r="Y28" i="15" s="1"/>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T26" i="15" l="1"/>
  <c r="T28" i="15" s="1"/>
  <c r="T29" i="15" s="1"/>
  <c r="Y64" i="15"/>
  <c r="Y68"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Y38" i="15" l="1"/>
  <c r="Y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<sst xmlns="http://schemas.openxmlformats.org/spreadsheetml/2006/main" count="5200" uniqueCount="2741">
  <si>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</si>
  <si>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</si>
  <si>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</si>
  <si>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</si>
  <si>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</si>
  <si>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</si>
  <si>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</si>
  <si>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</si>
  <si>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</si>
  <si>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</si>
  <si>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</si>
  <si>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</si>
  <si>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</si>
  <si>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</si>
  <si>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</si>
  <si>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</si>
  <si>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</si>
  <si>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</si>
  <si>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</si>
  <si>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</si>
  <si>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</si>
  <si>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</si>
  <si>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</si>
  <si>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</si>
  <si>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</si>
  <si>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</si>
  <si>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</si>
  <si>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</si>
  <si>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</si>
  <si>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</si>
  <si>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</si>
  <si>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</si>
  <si>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</si>
  <si>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</si>
  <si>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</si>
  <si>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</si>
  <si>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</si>
  <si>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</si>
  <si>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</si>
  <si>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</si>
  <si>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</si>
  <si>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</si>
  <si>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</si>
  <si>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</si>
  <si>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</si>
  <si>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</si>
  <si>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</si>
  <si>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</si>
  <si>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</si>
  <si>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</si>
  <si>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</si>
  <si>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</si>
  <si>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</si>
  <si>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</si>
  <si>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</si>
  <si>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</si>
  <si>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</si>
  <si>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</si>
  <si>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</si>
  <si>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</si>
  <si>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</si>
  <si>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</si>
  <si>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</si>
  <si>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</si>
  <si>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</si>
  <si>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</si>
  <si>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</si>
  <si>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</si>
  <si>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</si>
  <si>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</si>
  <si>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</si>
  <si>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</si>
  <si>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</si>
  <si>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</si>
  <si>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</si>
  <si>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</si>
  <si>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</si>
  <si>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</si>
  <si>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</si>
  <si>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</si>
  <si>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</si>
  <si>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</si>
  <si>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</si>
  <si>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</si>
  <si>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</si>
  <si>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</si>
  <si>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</si>
  <si>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</si>
  <si>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</si>
  <si>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</si>
  <si>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</si>
  <si>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</si>
  <si>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</si>
  <si>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</si>
  <si>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</si>
  <si>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</si>
  <si>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</si>
  <si>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</si>
  <si>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</si>
  <si>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</si>
  <si>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</si>
  <si>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</si>
  <si>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</si>
  <si>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</si>
  <si>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</si>
  <si>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</si>
  <si>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</si>
  <si>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</si>
  <si>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</si>
  <si>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</si>
  <si>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</si>
  <si>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</si>
  <si>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</si>
  <si>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</si>
  <si>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</si>
  <si>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</si>
  <si>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</si>
  <si>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</si>
  <si>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</si>
  <si>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</si>
  <si>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</si>
  <si>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</si>
  <si>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</si>
  <si>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</si>
  <si>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</si>
  <si>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</si>
  <si>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</si>
  <si>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</si>
  <si>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</si>
  <si>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</si>
  <si>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</si>
  <si>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</si>
  <si>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</si>
  <si>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</si>
  <si>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</si>
  <si>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</si>
  <si>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</si>
  <si>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</si>
  <si>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</si>
  <si>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</si>
  <si>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</si>
  <si>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</si>
  <si>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</si>
  <si>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</si>
  <si>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</si>
  <si>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</si>
  <si>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</si>
  <si>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</si>
  <si>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</si>
  <si>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</si>
  <si>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</si>
  <si>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</si>
  <si>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</si>
  <si>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</si>
  <si>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</si>
  <si>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</si>
  <si>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</si>
  <si>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</si>
  <si>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</si>
  <si>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</si>
  <si>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</si>
  <si>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</si>
  <si>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</si>
  <si>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</si>
  <si>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</si>
  <si>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</si>
  <si>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</si>
  <si>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</si>
  <si>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</si>
  <si>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</si>
  <si>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</si>
  <si>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</si>
  <si>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</si>
  <si>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</si>
  <si>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</si>
  <si>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</si>
  <si>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</si>
  <si>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</si>
  <si>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</si>
  <si>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</si>
  <si>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</si>
  <si>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</si>
  <si>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</si>
  <si>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</si>
  <si>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</si>
  <si>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</si>
  <si>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</si>
  <si>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</si>
  <si>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</si>
  <si>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</si>
  <si>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</si>
  <si>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</si>
  <si>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</si>
  <si>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</si>
  <si>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</si>
  <si>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</si>
  <si>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</si>
  <si>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</si>
  <si>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</si>
  <si>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</si>
  <si>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</si>
  <si>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</si>
  <si>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</si>
  <si>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</si>
  <si>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</si>
  <si>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</si>
  <si>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</si>
  <si>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</si>
  <si>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</si>
  <si>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</si>
  <si>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</si>
  <si>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</si>
  <si>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</si>
  <si>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</si>
  <si>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</si>
  <si>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</si>
  <si>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</si>
  <si>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</si>
  <si>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</si>
  <si>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</si>
  <si>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</si>
  <si>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</si>
  <si>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</si>
  <si>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</si>
  <si>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</si>
  <si>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</si>
  <si>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</si>
  <si>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</si>
  <si>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</si>
  <si>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</si>
  <si>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</si>
  <si>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</si>
  <si>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</si>
  <si>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</si>
  <si>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</si>
  <si>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</si>
  <si>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</si>
  <si>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</si>
  <si>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</si>
  <si>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</si>
  <si>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</si>
  <si>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</si>
  <si>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</si>
  <si>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</si>
  <si>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</si>
  <si>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</si>
  <si>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</si>
  <si>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</si>
  <si>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</si>
  <si>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</si>
  <si>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</si>
  <si>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</si>
  <si>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</si>
  <si>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</si>
  <si>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</si>
  <si>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</si>
  <si>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</si>
  <si>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</si>
  <si>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</si>
  <si>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</si>
  <si>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</si>
  <si>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</si>
  <si>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</si>
  <si>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</si>
  <si>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</si>
  <si>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</si>
  <si>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</si>
  <si>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</si>
  <si>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</si>
  <si>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</si>
  <si>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</si>
  <si>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</si>
  <si>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</si>
  <si>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</si>
  <si>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</si>
  <si>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</si>
  <si>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</si>
  <si>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</si>
  <si>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</si>
  <si>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</si>
  <si>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</si>
  <si>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</si>
  <si>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</si>
  <si>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</si>
  <si>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</si>
  <si>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</si>
  <si>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</si>
  <si>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</si>
  <si>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</si>
  <si>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</si>
  <si>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</si>
  <si>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</si>
  <si>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</si>
  <si>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</si>
  <si>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</si>
  <si>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</si>
  <si>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</si>
  <si>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</si>
  <si>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</si>
  <si>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</si>
  <si>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</si>
  <si>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</si>
  <si>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</si>
  <si>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</si>
  <si>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</si>
  <si>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</si>
  <si>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</si>
  <si>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</si>
  <si>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</si>
  <si>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</si>
  <si>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</si>
  <si>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</si>
  <si>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</si>
  <si>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</si>
  <si>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</si>
  <si>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</si>
  <si>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</si>
  <si>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</si>
  <si>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</si>
  <si>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</si>
  <si>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</si>
  <si>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</si>
  <si>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</si>
  <si>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</si>
  <si>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</si>
  <si>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</si>
  <si>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</si>
  <si>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</si>
  <si>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</si>
  <si>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</si>
  <si>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</si>
  <si>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</si>
  <si>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</si>
  <si>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</si>
  <si>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</si>
  <si>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</si>
  <si>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</si>
  <si>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</si>
  <si>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</si>
  <si>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</si>
  <si>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</si>
  <si>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</si>
  <si>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</si>
  <si>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</si>
  <si>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</si>
  <si>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</si>
  <si>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</si>
  <si>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</si>
  <si>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</si>
  <si>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</si>
  <si>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</si>
  <si>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</si>
  <si>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</si>
  <si>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</si>
  <si>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</si>
  <si>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</si>
  <si>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</si>
  <si>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</si>
  <si>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</si>
  <si>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</si>
  <si>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</si>
  <si>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</si>
  <si>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</si>
  <si>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</si>
  <si>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</si>
  <si>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</si>
  <si>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</si>
  <si>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</si>
  <si>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</si>
  <si>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</si>
  <si>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</si>
  <si>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</si>
  <si>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</si>
  <si>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</si>
  <si>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</si>
  <si>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</si>
  <si>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</si>
  <si>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</si>
  <si>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</si>
  <si>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</si>
  <si>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</si>
  <si>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</si>
  <si>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</si>
  <si>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</si>
  <si>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</si>
  <si>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</si>
  <si>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</si>
  <si>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</si>
  <si>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</si>
  <si>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</si>
  <si>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</si>
  <si>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</si>
  <si>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</si>
  <si>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</si>
  <si>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</si>
  <si>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</si>
  <si>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</si>
  <si>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</si>
  <si>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</si>
  <si>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</si>
  <si>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</si>
  <si>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</si>
  <si>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</si>
  <si>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</si>
  <si>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</si>
  <si>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</si>
  <si>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</si>
  <si>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</si>
  <si>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</si>
  <si>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</si>
  <si>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</si>
  <si>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</si>
  <si>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</si>
  <si>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</si>
  <si>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</si>
  <si>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</si>
  <si>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</si>
  <si>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</si>
  <si>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</si>
  <si>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</si>
  <si>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</si>
  <si>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</si>
  <si>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</si>
  <si>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</si>
  <si>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</si>
  <si>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</si>
  <si>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</si>
  <si>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</si>
  <si>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</si>
  <si>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</si>
  <si>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</si>
  <si>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</si>
  <si>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</si>
  <si>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</si>
  <si>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</si>
  <si>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</si>
  <si>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</si>
  <si>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</si>
  <si>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</si>
  <si>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</si>
  <si>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</si>
  <si>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</si>
  <si>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</si>
  <si>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</si>
  <si>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</si>
  <si>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</si>
  <si>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</si>
  <si>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</si>
  <si>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</si>
  <si>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</si>
  <si>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</si>
  <si>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</si>
  <si>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</si>
  <si>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</si>
  <si>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</si>
  <si>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</si>
  <si>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</si>
  <si>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</si>
  <si>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</si>
  <si>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</si>
  <si>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</si>
  <si>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</si>
  <si>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</si>
  <si>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</si>
  <si>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</si>
  <si>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</si>
  <si>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</si>
  <si>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</si>
  <si>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</si>
  <si>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</si>
  <si>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</si>
  <si>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</si>
  <si>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</si>
  <si>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</si>
  <si>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</si>
  <si>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</si>
  <si>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</si>
  <si>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</si>
  <si>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</si>
  <si>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</si>
  <si>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</si>
  <si>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</si>
  <si>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</si>
  <si>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</si>
  <si>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</si>
  <si>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</si>
  <si>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</si>
  <si>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</si>
  <si>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</si>
  <si>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</si>
  <si>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</si>
  <si>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</si>
  <si>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</si>
  <si>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</si>
  <si>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</si>
  <si>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</si>
  <si>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</si>
  <si>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</si>
  <si>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</si>
  <si>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</si>
  <si>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</si>
  <si>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</si>
  <si>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</si>
  <si>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</si>
  <si>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</si>
  <si>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</si>
  <si>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</si>
  <si>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</si>
  <si>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</si>
  <si>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</si>
  <si>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</si>
  <si>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</si>
  <si>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</si>
  <si>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</si>
  <si>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</si>
  <si>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</si>
  <si>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</si>
  <si>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</si>
  <si>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</si>
  <si>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</si>
  <si>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</si>
  <si>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</si>
  <si>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</si>
  <si>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</si>
  <si>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</si>
  <si>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</si>
  <si>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</si>
  <si>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</si>
  <si>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</si>
  <si>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</si>
  <si>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</si>
  <si>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</si>
  <si>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</si>
  <si>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</si>
  <si>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</si>
  <si>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</si>
  <si>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</si>
  <si>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</si>
  <si>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</si>
  <si>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</si>
  <si>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</si>
  <si>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</si>
  <si>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</si>
  <si>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</si>
  <si>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</si>
  <si>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</si>
  <si>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</si>
  <si>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</si>
  <si>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</si>
  <si>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</si>
  <si>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</si>
  <si>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</si>
  <si>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</si>
  <si>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</si>
  <si>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</si>
  <si>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</si>
  <si>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</si>
  <si>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</si>
  <si>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</si>
  <si>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</si>
  <si>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</si>
  <si>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</si>
  <si>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</si>
  <si>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</si>
  <si>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</si>
  <si>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</si>
  <si>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</si>
  <si>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</si>
  <si>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</si>
  <si>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</si>
  <si>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</si>
  <si>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</si>
  <si>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</si>
  <si>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</si>
  <si>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</si>
  <si>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</si>
  <si>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</si>
  <si>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</si>
  <si>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</si>
  <si>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</si>
  <si>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</si>
  <si>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</si>
  <si>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</si>
  <si>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</si>
  <si>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</si>
  <si>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</si>
  <si>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</si>
  <si>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</si>
  <si>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</si>
  <si>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</si>
  <si>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</si>
  <si>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</si>
  <si>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</si>
  <si>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</si>
  <si>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</si>
  <si>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</si>
  <si>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</si>
  <si>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</si>
  <si>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</si>
  <si>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</si>
  <si>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</si>
  <si>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</si>
  <si>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</si>
  <si>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</si>
  <si>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</si>
  <si>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</si>
  <si>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</si>
  <si>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</si>
  <si>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</si>
  <si>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</si>
  <si>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</si>
  <si>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</si>
  <si>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</si>
  <si>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</si>
  <si>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</si>
  <si>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</si>
  <si>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</si>
  <si>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</si>
  <si>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</si>
  <si>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</si>
  <si>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</si>
  <si>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</si>
  <si>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</si>
  <si>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</si>
  <si>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</si>
  <si>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</si>
  <si>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</si>
  <si>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</si>
  <si>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</si>
  <si>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</si>
  <si>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</si>
  <si>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</si>
  <si>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</si>
  <si>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</si>
  <si>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</si>
  <si>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</si>
  <si>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</si>
  <si>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</si>
  <si>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</si>
  <si>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</si>
  <si>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</si>
  <si>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</si>
  <si>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</si>
  <si>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</si>
  <si>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</si>
  <si>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</si>
  <si>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</si>
  <si>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</si>
  <si>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</si>
  <si>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</si>
  <si>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</si>
  <si>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</si>
  <si>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</si>
  <si>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</si>
  <si>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</si>
  <si>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</si>
  <si>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</si>
  <si>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</si>
  <si>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</si>
  <si>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</si>
  <si>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</si>
  <si>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</si>
  <si>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</si>
  <si>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</si>
  <si>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</si>
  <si>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</si>
  <si>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</si>
  <si>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</si>
  <si>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</si>
  <si>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</si>
  <si>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</si>
  <si>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</si>
  <si>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</si>
  <si>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</si>
  <si>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</si>
  <si>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</si>
  <si>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</si>
  <si>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</si>
  <si>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</si>
  <si>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</si>
  <si>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</si>
  <si>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</si>
  <si>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</si>
  <si>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</si>
  <si>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</si>
  <si>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</si>
  <si>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</si>
  <si>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</si>
  <si>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</si>
  <si>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</si>
  <si>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</si>
  <si>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</si>
  <si>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</si>
  <si>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</si>
  <si>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</si>
  <si>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</si>
  <si>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</si>
  <si>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</si>
  <si>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</si>
  <si>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</si>
  <si>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</si>
  <si>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</si>
  <si>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</si>
  <si>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</si>
  <si>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</si>
  <si>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</si>
  <si>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</si>
  <si>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</si>
  <si>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</si>
  <si>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</si>
  <si>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</si>
  <si>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</si>
  <si>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</si>
  <si>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</si>
  <si>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</si>
  <si>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</si>
  <si>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</si>
  <si>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</si>
  <si>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</si>
  <si>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</si>
  <si>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</si>
  <si>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</si>
  <si>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</si>
  <si>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</si>
  <si>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</si>
  <si>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</si>
  <si>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</si>
  <si>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</si>
  <si>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</si>
  <si>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</si>
  <si>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</si>
  <si>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</si>
  <si>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</si>
  <si>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</si>
  <si>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</si>
  <si>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</si>
  <si>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</si>
  <si>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</si>
  <si>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</si>
  <si>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</si>
  <si>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</si>
  <si>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</si>
  <si>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</si>
  <si>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</si>
  <si>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</si>
  <si>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</si>
  <si>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</si>
  <si>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</si>
  <si>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</si>
  <si>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</si>
  <si>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</si>
  <si>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</si>
  <si>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</si>
  <si>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</si>
  <si>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</si>
  <si>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</si>
  <si>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</si>
  <si>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</si>
  <si>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</si>
  <si>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</si>
  <si>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</si>
  <si>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</si>
  <si>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</si>
  <si>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</si>
  <si>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</si>
  <si>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</si>
  <si>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</si>
  <si>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</si>
  <si>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</si>
  <si>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</si>
  <si>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</si>
  <si>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</si>
  <si>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</si>
  <si>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</si>
  <si>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</si>
  <si>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</si>
  <si>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</si>
  <si>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</si>
  <si>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</si>
  <si>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</si>
  <si>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</si>
  <si>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</si>
  <si>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</si>
  <si>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</si>
  <si>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</si>
  <si>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</si>
  <si>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</si>
  <si>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</si>
  <si>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</si>
  <si>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</si>
  <si>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</si>
  <si>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</si>
  <si>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</si>
  <si>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</si>
  <si>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</si>
  <si>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</si>
  <si>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</si>
  <si>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</si>
  <si>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</si>
  <si>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</si>
  <si>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</si>
  <si>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</si>
  <si>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</si>
  <si>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</si>
  <si>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</si>
  <si>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</si>
  <si>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</si>
  <si>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</si>
  <si>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</si>
  <si>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</si>
  <si>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</si>
  <si>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</si>
  <si>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</si>
  <si>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</si>
  <si>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</si>
  <si>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</si>
  <si>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</si>
  <si>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</si>
  <si>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</si>
  <si>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</si>
  <si>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</si>
  <si>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</si>
  <si>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</si>
  <si>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</si>
  <si>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</si>
  <si>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</si>
  <si>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</si>
  <si>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</si>
  <si>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</si>
  <si>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</si>
  <si>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</si>
  <si>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</si>
  <si>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</si>
  <si>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</si>
  <si>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</si>
  <si>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</si>
  <si>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</si>
  <si>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</si>
  <si>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</si>
  <si>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</si>
  <si>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</si>
  <si>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</si>
  <si>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</si>
  <si>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</si>
  <si>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</si>
  <si>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</si>
  <si>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</si>
  <si>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</si>
  <si>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</si>
  <si>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</si>
  <si>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</si>
  <si>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</si>
  <si>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</si>
  <si>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</si>
  <si>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</si>
  <si>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</si>
  <si>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</si>
  <si>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</si>
  <si>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</si>
  <si>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</si>
  <si>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</si>
  <si>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</si>
  <si>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</si>
  <si>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</si>
  <si>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</si>
  <si>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</si>
  <si>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</si>
  <si>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</si>
  <si>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</si>
  <si>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</si>
  <si>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</si>
  <si>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</si>
  <si>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</si>
  <si>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</si>
  <si>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</si>
  <si>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</si>
  <si>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</si>
  <si>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</si>
  <si>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</si>
  <si>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</si>
  <si>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</si>
  <si>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</si>
  <si>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</si>
  <si>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</si>
  <si>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</si>
  <si>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</si>
  <si>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</si>
  <si>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</si>
  <si>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</si>
  <si>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</si>
  <si>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</si>
  <si>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</si>
  <si>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</si>
  <si>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</si>
  <si>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</si>
  <si>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</si>
  <si>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</si>
  <si>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</si>
  <si>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</si>
  <si>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</si>
  <si>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</si>
  <si>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</si>
  <si>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</si>
  <si>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</si>
  <si>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</si>
  <si>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</si>
  <si>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</si>
  <si>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</si>
  <si>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</si>
  <si>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</si>
  <si>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</si>
  <si>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</si>
  <si>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</si>
  <si>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</si>
  <si>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</si>
  <si>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</si>
  <si>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</si>
  <si>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</si>
  <si>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</si>
  <si>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</si>
  <si>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</si>
  <si>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</si>
  <si>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</si>
  <si>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</si>
  <si>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</si>
  <si>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</si>
  <si>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</si>
  <si>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</si>
  <si>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</si>
  <si>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</si>
  <si>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</si>
  <si>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</si>
  <si>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</si>
  <si>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</si>
  <si>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</si>
  <si>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</si>
  <si>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</si>
  <si>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</si>
  <si>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</si>
  <si>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</si>
  <si>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</si>
  <si>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</si>
  <si>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</si>
  <si>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</si>
  <si>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</si>
  <si>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</si>
  <si>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</si>
  <si>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</si>
  <si>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</si>
  <si>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</si>
  <si>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</si>
  <si>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</si>
  <si>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</si>
  <si>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</si>
  <si>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</si>
  <si>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</si>
  <si>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</si>
  <si>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</si>
  <si>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</si>
  <si>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</si>
  <si>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</si>
  <si>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</si>
  <si>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</si>
  <si>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</si>
  <si>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</si>
  <si>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</si>
  <si>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</si>
  <si>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</si>
  <si>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</si>
  <si>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</si>
  <si>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</si>
  <si>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</si>
  <si>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</si>
  <si>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</si>
  <si>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</si>
  <si>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</si>
  <si>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</si>
  <si>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</si>
  <si>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</si>
  <si>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</si>
  <si>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</si>
  <si>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</si>
  <si>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</si>
  <si>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</si>
  <si>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</si>
  <si>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</si>
  <si>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</si>
  <si>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</si>
  <si>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</si>
  <si>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</si>
  <si>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</si>
  <si>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</si>
  <si>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</si>
  <si>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</si>
  <si>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</si>
  <si>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</si>
  <si>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</si>
  <si>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</si>
  <si>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</si>
  <si>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</si>
  <si>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</si>
  <si>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</si>
  <si>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</si>
  <si>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</si>
  <si>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</si>
  <si>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</si>
  <si>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</si>
  <si>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</si>
  <si>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</si>
  <si>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</si>
  <si>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</si>
  <si>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</si>
  <si>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</si>
  <si>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</si>
  <si>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</si>
  <si>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</si>
  <si>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</si>
  <si>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</si>
  <si>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</si>
  <si>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</si>
  <si>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</si>
  <si>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</si>
  <si>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</si>
  <si>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</si>
  <si>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</si>
  <si>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</si>
  <si>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</si>
  <si>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</si>
  <si>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</si>
  <si>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</si>
  <si>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</si>
  <si>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</si>
  <si>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</si>
  <si>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</si>
  <si>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</si>
  <si>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</si>
  <si>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</si>
  <si>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</si>
  <si>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</si>
  <si>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</si>
  <si>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</si>
  <si>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</si>
  <si>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</si>
  <si>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</si>
  <si>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</si>
  <si>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</si>
  <si>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</si>
  <si>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</si>
  <si>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</si>
  <si>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</si>
  <si>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</si>
  <si>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</si>
  <si>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</si>
  <si>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</si>
  <si>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</si>
  <si>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</si>
  <si>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</si>
  <si>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</si>
  <si>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</si>
  <si>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</si>
  <si>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</si>
  <si>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</si>
  <si>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</si>
  <si>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</si>
  <si>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</si>
  <si>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</si>
  <si>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</si>
  <si>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</si>
  <si>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</si>
  <si>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</si>
  <si>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</si>
  <si>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</si>
  <si>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</si>
  <si>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</si>
  <si>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</si>
  <si>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</si>
  <si>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</si>
  <si>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</si>
  <si>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</si>
  <si>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</si>
  <si>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</si>
  <si>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</si>
  <si>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</si>
  <si>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</si>
  <si>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</si>
  <si>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</si>
  <si>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</si>
  <si>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</si>
  <si>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</si>
  <si>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</si>
  <si>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</si>
  <si>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</si>
  <si>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</si>
  <si>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</si>
  <si>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</si>
  <si>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</si>
  <si>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</si>
  <si>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</si>
  <si>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</si>
  <si>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</si>
  <si>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</si>
  <si>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</si>
  <si>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</si>
  <si>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</si>
  <si>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</si>
  <si>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</si>
  <si>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</si>
  <si>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</si>
  <si>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</si>
  <si>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</si>
  <si>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</si>
  <si>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</si>
  <si>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</si>
  <si>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</si>
  <si>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</si>
  <si>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</si>
  <si>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</si>
  <si>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</si>
  <si>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</si>
  <si>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</si>
  <si>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</si>
  <si>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</si>
  <si>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</si>
  <si>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</si>
  <si>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</si>
  <si>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</si>
  <si>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</si>
  <si>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</si>
  <si>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</si>
  <si>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</si>
  <si>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</si>
  <si>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</si>
  <si>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</si>
  <si>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</si>
  <si>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</si>
  <si>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</si>
  <si>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</si>
  <si>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</si>
  <si>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</si>
  <si>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</si>
  <si>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</si>
  <si>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</si>
  <si>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</si>
  <si>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</si>
  <si>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</si>
  <si>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</si>
  <si>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</si>
  <si>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</si>
  <si>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</si>
  <si>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</si>
  <si>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</si>
  <si>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</si>
  <si>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</si>
  <si>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</si>
  <si>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</si>
  <si>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</si>
  <si>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</si>
  <si>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</si>
  <si>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</si>
  <si>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</si>
  <si>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</si>
  <si>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</si>
  <si>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</si>
  <si>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</si>
  <si>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</si>
  <si>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</si>
  <si>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</si>
  <si>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</si>
  <si>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</si>
  <si>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</si>
  <si>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</si>
  <si>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</si>
  <si>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</si>
  <si>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</si>
  <si>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</si>
  <si>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</si>
  <si>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</si>
  <si>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</si>
  <si>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</si>
  <si>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</si>
  <si>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</si>
  <si>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</si>
  <si>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</si>
  <si>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</si>
  <si>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</si>
  <si>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</si>
  <si>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</si>
  <si>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</si>
  <si>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</si>
  <si>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</si>
  <si>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</si>
  <si>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</si>
  <si>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</si>
  <si>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</si>
  <si>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</si>
  <si>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</si>
  <si>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</si>
  <si>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</si>
  <si>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</si>
  <si>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</si>
  <si>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</si>
  <si>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</si>
  <si>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</si>
  <si>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</si>
  <si>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</si>
  <si>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</si>
  <si>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</si>
  <si>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</si>
  <si>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</si>
  <si>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</si>
  <si>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</si>
  <si>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</si>
  <si>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</si>
  <si>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</si>
  <si>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</si>
  <si>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</si>
  <si>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</si>
  <si>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</si>
  <si>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</si>
  <si>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</si>
  <si>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</si>
  <si>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</si>
  <si>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</si>
  <si>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</si>
  <si>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</si>
  <si>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</si>
  <si>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</si>
  <si>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</si>
  <si>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</si>
  <si>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</si>
  <si>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</si>
  <si>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</si>
  <si>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</si>
  <si>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</si>
  <si>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</si>
  <si>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</si>
  <si>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</si>
  <si>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</si>
  <si>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</si>
  <si>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</si>
  <si>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</si>
  <si>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</si>
  <si>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</si>
  <si>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</si>
  <si>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</si>
  <si>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</si>
  <si>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</si>
  <si>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</si>
  <si>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</si>
  <si>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</si>
  <si>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</si>
  <si>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</si>
  <si>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</si>
  <si>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</si>
  <si>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</si>
  <si>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</si>
  <si>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</si>
  <si>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</si>
  <si>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</si>
  <si>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</si>
  <si>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</si>
  <si>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</si>
  <si>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</si>
  <si>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</si>
  <si>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</si>
  <si>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</si>
  <si>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</si>
  <si>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</si>
  <si>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</si>
  <si>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</si>
  <si>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</si>
  <si>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</si>
  <si>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</si>
  <si>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</si>
  <si>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</si>
  <si>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</si>
  <si>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</si>
  <si>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</si>
  <si>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</si>
  <si>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</si>
  <si>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</si>
  <si>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</si>
  <si>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</si>
  <si>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</si>
  <si>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</si>
  <si>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</si>
  <si>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</si>
  <si>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</si>
  <si>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</si>
  <si>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</si>
  <si>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</si>
  <si>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</si>
  <si>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</si>
  <si>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</si>
  <si>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</si>
  <si>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</si>
  <si>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</si>
  <si>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</si>
  <si>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</si>
  <si>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</si>
  <si>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</si>
  <si>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</si>
  <si>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</si>
  <si>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</si>
  <si>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</si>
  <si>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</si>
  <si>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</si>
  <si>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</si>
  <si>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</si>
  <si>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</si>
  <si>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</si>
  <si>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</si>
  <si>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</si>
  <si>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</si>
  <si>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</si>
  <si>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</si>
  <si>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</si>
  <si>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</si>
  <si>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</si>
  <si>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</si>
  <si>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</si>
  <si>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</si>
  <si>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</si>
  <si>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</si>
  <si>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</si>
  <si>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</si>
  <si>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</si>
  <si>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</si>
  <si>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</si>
  <si>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</si>
  <si>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</si>
  <si>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</si>
  <si>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</si>
  <si>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</si>
  <si>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</si>
  <si>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</si>
  <si>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</si>
  <si>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</si>
  <si>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</si>
  <si>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</si>
  <si>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</si>
  <si>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</si>
  <si>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</si>
  <si>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</si>
  <si>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</si>
  <si>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</si>
  <si>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</si>
  <si>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</si>
  <si>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</si>
  <si>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</si>
  <si>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</si>
  <si>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</si>
  <si>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</si>
  <si>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</si>
  <si>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</si>
  <si>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</si>
  <si>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</si>
  <si>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</si>
  <si>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</si>
  <si>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</si>
  <si>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</si>
  <si>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</si>
  <si>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</si>
  <si>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</si>
  <si>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</si>
  <si>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</si>
  <si>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</si>
  <si>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</si>
  <si>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</si>
  <si>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</si>
  <si>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</si>
  <si>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</si>
  <si>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</si>
  <si>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</si>
  <si>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</si>
  <si>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</si>
  <si>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</si>
  <si>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</si>
  <si>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</si>
  <si>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</si>
  <si>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</si>
  <si>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</si>
  <si>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</si>
  <si>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</si>
  <si>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</si>
  <si>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</si>
  <si>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</si>
  <si>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</si>
  <si>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</si>
  <si>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</si>
  <si>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</si>
  <si>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</si>
  <si>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</si>
  <si>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</si>
  <si>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</si>
  <si>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</si>
  <si>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</si>
  <si>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</si>
  <si>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</si>
  <si>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</si>
  <si>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</si>
  <si>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</si>
  <si>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</si>
  <si>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</si>
  <si>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</si>
  <si>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</si>
  <si>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</si>
  <si>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</si>
  <si>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</si>
  <si>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</si>
  <si>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</si>
  <si>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</si>
  <si>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</si>
  <si>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</si>
  <si>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</si>
  <si>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</si>
  <si>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</si>
  <si>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</si>
  <si>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</si>
  <si>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</si>
  <si>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</si>
  <si>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</si>
  <si>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</si>
  <si>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</si>
  <si>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</si>
  <si>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</si>
  <si>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</si>
  <si>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</si>
  <si>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</si>
  <si>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</si>
  <si>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</si>
  <si>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</si>
  <si>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</si>
  <si>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</si>
  <si>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</si>
  <si>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</si>
  <si>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</si>
  <si>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</si>
  <si>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</si>
  <si>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</si>
  <si>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</si>
  <si>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</si>
  <si>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</si>
  <si>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</si>
  <si>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</si>
  <si>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</si>
  <si>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</si>
  <si>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</si>
  <si>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</si>
  <si>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</si>
  <si>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</si>
  <si>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</si>
  <si>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</si>
  <si>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</si>
  <si>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</si>
  <si>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</si>
  <si>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</si>
  <si>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</si>
  <si>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</si>
  <si>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</si>
  <si>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</si>
  <si>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</si>
  <si>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</si>
  <si>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</si>
  <si>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</si>
  <si>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</si>
  <si>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</si>
  <si>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</si>
  <si>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</si>
  <si>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</si>
  <si>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</si>
  <si>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</si>
  <si>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</si>
  <si>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</si>
  <si>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</si>
  <si>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</si>
  <si>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</si>
  <si>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</si>
  <si>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</si>
  <si>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</si>
  <si>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</si>
  <si>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</si>
  <si>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</si>
  <si>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</si>
  <si>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</si>
  <si>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</si>
  <si>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</si>
  <si>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</si>
  <si>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</si>
  <si>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</si>
  <si>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</si>
  <si>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</si>
  <si>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</si>
  <si>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</si>
  <si>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</si>
  <si>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</si>
  <si>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</si>
  <si>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</si>
  <si>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</si>
  <si>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</si>
  <si>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</si>
  <si>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</si>
  <si>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</si>
  <si>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</si>
  <si>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</si>
  <si>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</si>
  <si>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</si>
  <si>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</si>
  <si>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</si>
  <si>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</si>
  <si>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</si>
  <si>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</si>
  <si>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</si>
  <si>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</si>
  <si>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</si>
  <si>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</si>
  <si>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</si>
  <si>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</si>
  <si>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</si>
  <si>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</si>
  <si>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</si>
  <si>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</si>
  <si>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</si>
  <si>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</si>
  <si>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</si>
  <si>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</si>
  <si>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</si>
  <si>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</si>
  <si>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</si>
  <si>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</si>
  <si>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</si>
  <si>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</si>
  <si>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</si>
  <si>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</si>
  <si>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</si>
  <si>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</si>
  <si>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</si>
  <si>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</si>
  <si>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</si>
  <si>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</si>
  <si>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</si>
  <si>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</si>
  <si>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</si>
  <si>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</si>
  <si>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</si>
  <si>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</si>
  <si>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</si>
  <si>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</si>
  <si>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</si>
  <si>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</si>
  <si>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</si>
  <si>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</si>
  <si>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</si>
  <si>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</si>
  <si>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</si>
  <si>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</si>
  <si>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</si>
  <si>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</si>
  <si>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</si>
  <si>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</si>
  <si>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</si>
  <si>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</si>
  <si>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</si>
  <si>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</si>
  <si>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</si>
  <si>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</si>
  <si>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</si>
  <si>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</si>
  <si>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</si>
  <si>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</si>
  <si>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</si>
  <si>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</si>
  <si>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</si>
  <si>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</si>
  <si>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</si>
  <si>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</si>
  <si>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</si>
  <si>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</si>
  <si>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</si>
  <si>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</si>
  <si>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</si>
  <si>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</si>
  <si>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</si>
  <si>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</si>
  <si>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</si>
  <si>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</si>
  <si>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</si>
  <si>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</si>
  <si>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</si>
  <si>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</si>
  <si>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</si>
  <si>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</si>
  <si>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</si>
  <si>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</si>
  <si>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</si>
  <si>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</si>
  <si>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</si>
  <si>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</si>
  <si>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</si>
  <si>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</si>
  <si>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</si>
  <si>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</si>
  <si>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</si>
  <si>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</si>
  <si>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</si>
  <si>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</si>
  <si>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</si>
  <si>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</si>
  <si>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</si>
  <si>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</si>
  <si>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</si>
  <si>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</si>
  <si>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</si>
  <si>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</si>
  <si>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</si>
  <si>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</si>
  <si>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</si>
  <si>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</si>
  <si>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</si>
  <si>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</si>
  <si>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</si>
  <si>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</si>
  <si>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</si>
  <si>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</si>
  <si>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</si>
  <si>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</si>
  <si>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</si>
  <si>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</si>
  <si>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</si>
  <si>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</si>
  <si>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</si>
  <si>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</si>
  <si>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</si>
  <si>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</si>
  <si>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</si>
  <si>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</si>
  <si>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</si>
  <si>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</si>
  <si>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</si>
  <si>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</si>
  <si>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</si>
  <si>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</si>
  <si>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</si>
  <si>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</si>
  <si>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</si>
  <si>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</si>
  <si>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</si>
  <si>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</si>
  <si>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</si>
  <si>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</si>
  <si>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</si>
  <si>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</si>
  <si>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</si>
  <si>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</si>
  <si>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</si>
  <si>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</si>
  <si>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</si>
  <si>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</si>
  <si>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</si>
  <si>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</si>
  <si>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</si>
  <si>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</si>
  <si>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</si>
  <si>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</si>
  <si>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</si>
  <si>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</si>
  <si>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</si>
  <si>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</si>
  <si>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</si>
  <si>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</si>
  <si>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</si>
  <si>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</si>
  <si>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</si>
  <si>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</si>
  <si>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</si>
  <si>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</si>
  <si>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</si>
  <si>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</si>
  <si>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</si>
  <si>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</si>
  <si>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</si>
  <si>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</si>
  <si>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</si>
  <si>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</si>
  <si>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</si>
  <si>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</si>
  <si>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</si>
  <si>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</si>
  <si>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</si>
  <si>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</si>
  <si>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</si>
  <si>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</si>
  <si>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</si>
  <si>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</si>
  <si>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</si>
  <si>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</si>
  <si>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</si>
  <si>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</si>
  <si>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</si>
  <si>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</si>
  <si>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</si>
  <si>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</si>
  <si>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</si>
  <si>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</si>
  <si>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</si>
  <si>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</si>
  <si>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</si>
  <si>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</si>
  <si>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</si>
  <si>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</si>
  <si>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</si>
  <si>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</si>
  <si>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</si>
  <si>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</si>
  <si>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</si>
  <si>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</si>
  <si>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</si>
  <si>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</si>
  <si>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</si>
  <si>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</si>
  <si>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</si>
  <si>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</si>
  <si>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</si>
  <si>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</si>
  <si>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</si>
  <si>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</si>
  <si>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</si>
  <si>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</si>
  <si>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</si>
  <si>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</si>
  <si>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</si>
  <si>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</si>
  <si>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</si>
  <si>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</si>
  <si>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</si>
  <si>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</si>
  <si>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</si>
  <si>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</si>
  <si>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</si>
  <si>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</si>
  <si>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</si>
  <si>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</si>
  <si>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</si>
  <si>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</si>
  <si>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</si>
  <si>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</si>
  <si>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</si>
  <si>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</si>
  <si>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</si>
  <si>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</si>
  <si>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</si>
  <si>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</si>
  <si>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</si>
  <si>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</si>
  <si>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</si>
  <si>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</si>
  <si>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</si>
  <si>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</si>
  <si>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</si>
  <si>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</si>
  <si>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</si>
  <si>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</si>
  <si>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</si>
  <si>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</si>
  <si>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</si>
  <si>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</si>
  <si>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</si>
  <si>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</si>
  <si>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</si>
  <si>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</si>
  <si>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</si>
  <si>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</si>
  <si>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</si>
  <si>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</si>
  <si>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</si>
  <si>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</si>
  <si>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</si>
  <si>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</si>
  <si>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</si>
  <si>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</si>
  <si>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</si>
  <si>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</si>
  <si>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</si>
  <si>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</si>
  <si>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</si>
  <si>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</si>
  <si>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</si>
  <si>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</si>
  <si>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</si>
  <si>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</si>
  <si>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</si>
  <si>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</si>
  <si>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</si>
  <si>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</si>
  <si>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</si>
  <si>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</si>
  <si>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</si>
  <si>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</si>
  <si>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</si>
  <si>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</si>
  <si>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</si>
  <si>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</si>
  <si>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</si>
  <si>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</si>
  <si>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</si>
  <si>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</si>
  <si>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</si>
  <si>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</si>
  <si>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</si>
  <si>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</si>
  <si>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</si>
  <si>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</si>
  <si>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</si>
  <si>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</si>
  <si>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</si>
  <si>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</si>
  <si>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</si>
  <si>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</si>
  <si>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</si>
  <si>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</si>
  <si>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</si>
  <si>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</si>
  <si>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</si>
  <si>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</si>
  <si>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</si>
  <si>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</si>
  <si>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</si>
  <si>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</si>
  <si>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</si>
  <si>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</si>
  <si>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</si>
  <si>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</si>
  <si>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</si>
  <si>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</si>
  <si>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</si>
  <si>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</si>
  <si>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</si>
  <si>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</si>
  <si>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</si>
  <si>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</si>
  <si>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</si>
  <si>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</si>
  <si>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</si>
  <si>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</si>
  <si>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</si>
  <si>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</si>
  <si>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</si>
  <si>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</si>
  <si>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</si>
  <si>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</si>
  <si>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</si>
  <si>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</si>
  <si>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</si>
  <si>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</si>
  <si>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</si>
  <si>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</si>
  <si>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</si>
  <si>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</si>
  <si>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</si>
  <si>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</si>
  <si>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</si>
  <si>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</si>
  <si>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</si>
  <si>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</si>
  <si>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</si>
  <si>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</si>
  <si>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</si>
  <si>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</si>
  <si>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</si>
  <si>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</si>
  <si>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</si>
  <si>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</si>
  <si>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</si>
  <si>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</si>
  <si>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</si>
  <si>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</si>
  <si>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</si>
  <si>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</si>
  <si>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</si>
  <si>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</si>
  <si>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</si>
  <si>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</si>
  <si>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</si>
  <si>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</si>
  <si>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</si>
  <si>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</si>
  <si>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</si>
  <si>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</si>
  <si>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</si>
  <si>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</si>
  <si>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</si>
  <si>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</si>
  <si>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</si>
  <si>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</si>
  <si>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</si>
  <si>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</si>
  <si>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</si>
  <si>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</si>
  <si>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</si>
  <si>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</si>
  <si>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</si>
  <si>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</si>
  <si>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</si>
  <si>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</si>
  <si>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</si>
  <si>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</si>
  <si>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</si>
  <si>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</si>
  <si>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</si>
  <si>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</si>
  <si>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</si>
  <si>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</si>
  <si>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</si>
  <si>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</si>
  <si>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</si>
  <si>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</si>
  <si>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</si>
  <si>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</si>
  <si>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</si>
  <si>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</si>
  <si>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</si>
  <si>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</si>
  <si>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</si>
  <si>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</si>
  <si>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</si>
  <si>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</si>
  <si>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</si>
  <si>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</si>
  <si>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</si>
  <si>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</si>
  <si>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</si>
  <si>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</si>
  <si>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</si>
  <si>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</si>
  <si>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</si>
  <si>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</si>
  <si>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</si>
  <si>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</si>
  <si>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</si>
  <si>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</si>
  <si>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</si>
  <si>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</si>
  <si>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</si>
  <si>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</si>
  <si>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</si>
  <si>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</si>
  <si>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</si>
  <si>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</si>
  <si>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</si>
  <si>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</si>
  <si>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</si>
  <si>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</si>
  <si>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</si>
  <si>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</si>
  <si>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</si>
  <si>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</si>
  <si>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</si>
  <si>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</si>
  <si>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</si>
  <si>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</si>
  <si>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</si>
  <si>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</si>
  <si>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</si>
  <si>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</si>
  <si>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</si>
  <si>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</si>
  <si>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</si>
  <si>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</si>
  <si>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</si>
  <si>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</si>
  <si>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</si>
  <si>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</si>
  <si>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</si>
  <si>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</si>
  <si>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</si>
  <si>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</si>
  <si>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</si>
  <si>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</si>
  <si>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</si>
  <si>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</si>
  <si>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</si>
  <si>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</si>
  <si>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</si>
  <si>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</si>
  <si>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</si>
  <si>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</si>
  <si>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</si>
  <si>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</si>
  <si>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</si>
  <si>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</si>
  <si>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</si>
  <si>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</si>
  <si>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</si>
  <si>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</si>
  <si>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</si>
  <si>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</si>
  <si>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</si>
  <si>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</si>
  <si>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</si>
  <si>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</si>
  <si>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</si>
  <si>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</si>
  <si>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</si>
  <si>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</si>
  <si>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</si>
  <si>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</si>
  <si>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</si>
  <si>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</si>
  <si>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</si>
  <si>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</si>
  <si>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</si>
  <si>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</si>
  <si>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</si>
  <si>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</si>
  <si>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</si>
  <si>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</si>
  <si>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</si>
  <si>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</si>
  <si>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</si>
  <si>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</si>
  <si>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</si>
  <si>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</si>
  <si>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</si>
  <si>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</si>
  <si>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</si>
  <si>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</si>
  <si>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</si>
  <si>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</si>
  <si>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</si>
  <si>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</si>
  <si>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</si>
  <si>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</si>
  <si>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</si>
  <si>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</si>
  <si>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</si>
  <si>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</si>
  <si>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</si>
  <si>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</si>
  <si>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</si>
  <si>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</si>
  <si>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</si>
  <si>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</si>
  <si>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</si>
  <si>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</si>
  <si>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</si>
  <si>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</si>
  <si>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</si>
  <si>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</si>
  <si>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</si>
  <si>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</si>
  <si>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</si>
  <si>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</si>
  <si>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</si>
  <si>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</si>
  <si>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</si>
  <si>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</si>
  <si>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</si>
  <si>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</si>
  <si>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</si>
  <si>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</si>
  <si>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</si>
  <si>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</si>
  <si>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</si>
  <si>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</si>
  <si>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</si>
  <si>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</si>
  <si>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</si>
  <si>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</si>
  <si>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</si>
  <si>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</si>
  <si>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</si>
  <si>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</si>
  <si>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</si>
  <si>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</si>
  <si>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</si>
  <si>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</si>
  <si>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</si>
  <si>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</si>
  <si>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</si>
  <si>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</si>
  <si>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</si>
  <si>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</si>
  <si>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</si>
  <si>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</si>
  <si>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</si>
  <si>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</si>
  <si>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</si>
  <si>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</si>
  <si>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</si>
  <si>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</si>
  <si>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</si>
  <si>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</si>
  <si>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</si>
  <si>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</si>
  <si>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</si>
  <si>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</si>
  <si>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</si>
  <si>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</si>
  <si>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</si>
  <si>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</si>
  <si>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</si>
  <si>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</si>
  <si>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</si>
  <si>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</si>
  <si>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</si>
  <si>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</si>
  <si>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</si>
  <si>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</si>
  <si>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</si>
  <si>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</si>
  <si>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</si>
  <si>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</si>
  <si>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</si>
  <si>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</si>
  <si>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</si>
  <si>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</si>
  <si>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</si>
  <si>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</si>
  <si>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</si>
  <si>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</si>
  <si>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</si>
  <si>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</si>
  <si>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</si>
  <si>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</si>
  <si>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</si>
  <si>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</si>
  <si>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</si>
  <si>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</si>
  <si>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</si>
  <si>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</si>
  <si>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</si>
  <si>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</si>
  <si>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</si>
  <si>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</si>
  <si>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</si>
  <si>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</si>
  <si>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</si>
  <si>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</si>
  <si>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</si>
  <si>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</si>
  <si>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</si>
  <si>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</si>
  <si>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</si>
  <si>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</si>
  <si>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</si>
  <si>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</si>
  <si>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</si>
  <si>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</si>
  <si>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</si>
  <si>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</si>
  <si>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</si>
  <si>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</si>
  <si>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</si>
  <si>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</si>
  <si>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</si>
  <si>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</si>
  <si>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</si>
  <si>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</si>
  <si>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</si>
  <si>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</si>
  <si>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</si>
  <si>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</si>
  <si>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</si>
  <si>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</si>
  <si>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</si>
  <si>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</si>
  <si>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</si>
  <si>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</si>
  <si>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</si>
  <si>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</si>
  <si>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</si>
  <si>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</si>
  <si>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</si>
  <si>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</si>
  <si>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</si>
  <si>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</si>
  <si>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</si>
  <si>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</si>
  <si>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</si>
  <si>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</si>
  <si>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</si>
  <si>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</si>
  <si>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</si>
  <si>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</si>
  <si>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</si>
  <si>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</si>
  <si>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</si>
  <si>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</si>
  <si>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</si>
  <si>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</si>
  <si>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</si>
  <si>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</si>
  <si>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</si>
  <si>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</si>
  <si>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</si>
  <si>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</si>
  <si>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</si>
  <si>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</si>
  <si>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</si>
  <si>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</si>
  <si>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</si>
  <si>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</si>
  <si>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</si>
  <si>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</si>
  <si>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</si>
  <si>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</si>
  <si>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</si>
  <si>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</si>
  <si>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</si>
  <si>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</si>
  <si>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</si>
  <si>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</si>
  <si>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</si>
  <si>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</si>
  <si>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</si>
  <si>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</si>
  <si>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</si>
  <si>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</si>
  <si>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</si>
  <si>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</si>
  <si>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</si>
  <si>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</si>
  <si>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</si>
  <si>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</si>
  <si>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</si>
  <si>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</si>
  <si>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</si>
  <si>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</si>
  <si>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</si>
  <si>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</si>
  <si>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</si>
  <si>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</si>
  <si>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</si>
  <si>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</si>
  <si>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</si>
  <si>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</si>
  <si>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</si>
  <si>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</si>
  <si>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</si>
  <si>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</si>
  <si>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</si>
  <si>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</si>
  <si>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</si>
  <si>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</si>
  <si>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</si>
  <si>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</si>
  <si>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</si>
  <si>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</si>
  <si>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</si>
  <si>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</si>
  <si>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</si>
  <si>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</si>
  <si>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</si>
  <si>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</si>
  <si>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</si>
  <si>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</si>
  <si>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</si>
  <si>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</si>
  <si>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</si>
  <si>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</si>
  <si>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</si>
  <si>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</si>
  <si>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</si>
  <si>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</si>
  <si>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</si>
  <si>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</si>
  <si>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</si>
  <si>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</si>
  <si>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</si>
  <si>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</si>
  <si>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</si>
  <si>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</si>
  <si>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</si>
  <si>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</si>
  <si>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</si>
  <si>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</si>
  <si>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</si>
  <si>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</si>
  <si>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</si>
  <si>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</si>
  <si>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</si>
  <si>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</si>
  <si>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</si>
  <si>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</si>
  <si>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</si>
  <si>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</si>
  <si>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</si>
  <si>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</si>
  <si>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</si>
  <si>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</si>
  <si>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</si>
  <si>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</si>
  <si>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</si>
  <si>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</si>
  <si>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</si>
  <si>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</si>
  <si>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</si>
  <si>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</si>
  <si>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</si>
  <si>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</si>
  <si>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</si>
  <si>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</si>
  <si>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</si>
  <si>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</si>
  <si>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</si>
  <si>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</si>
  <si>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</si>
  <si>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</si>
  <si>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</si>
  <si>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</si>
  <si>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</si>
  <si>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</si>
  <si>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</si>
  <si>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</si>
  <si>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</si>
  <si>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</si>
  <si>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</si>
  <si>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</si>
  <si>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</si>
  <si>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</si>
  <si>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</si>
  <si>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</si>
  <si>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</si>
  <si>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</si>
  <si>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</si>
  <si>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</si>
  <si>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</si>
  <si>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</si>
  <si>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</si>
  <si>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</si>
  <si>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</si>
  <si>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</si>
  <si>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</si>
  <si>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</si>
  <si>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</si>
  <si>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</si>
  <si>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</si>
  <si>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</si>
  <si>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</si>
  <si>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</si>
  <si>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</si>
  <si>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</si>
  <si>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</si>
  <si>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</si>
  <si>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</si>
  <si>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</si>
  <si>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</si>
  <si>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</si>
  <si>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</si>
  <si>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</si>
  <si>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</si>
  <si>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</si>
  <si>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</si>
  <si>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</si>
  <si>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</si>
  <si>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</si>
  <si>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</si>
  <si>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</si>
  <si>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</si>
  <si>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</si>
  <si>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</si>
  <si>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</si>
  <si>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</si>
  <si>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</si>
  <si>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</si>
  <si>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</si>
  <si>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</si>
  <si>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</si>
  <si>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</si>
  <si>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</si>
  <si>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</si>
  <si>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</si>
  <si>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</si>
  <si>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</si>
  <si>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</si>
  <si>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</si>
  <si>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</si>
  <si>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</si>
  <si>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</si>
  <si>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</si>
  <si>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</si>
  <si>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</si>
  <si>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</si>
  <si>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</si>
  <si>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</si>
  <si>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</si>
  <si>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</si>
  <si>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</si>
  <si>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</si>
  <si>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</si>
  <si>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</si>
  <si>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</si>
  <si>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</si>
  <si>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</si>
  <si>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</si>
  <si>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</si>
  <si>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</si>
  <si>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</si>
  <si>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</si>
  <si>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</si>
  <si>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</si>
  <si>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</si>
  <si>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</si>
  <si>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</si>
  <si>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</si>
  <si>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</si>
  <si>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</si>
  <si>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</si>
  <si>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</si>
  <si>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</si>
  <si>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</si>
  <si>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</si>
  <si>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</si>
  <si>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</si>
  <si>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</si>
  <si>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</si>
  <si>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</si>
  <si>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</si>
  <si>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</si>
  <si>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</si>
  <si>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</si>
  <si>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</si>
  <si>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</si>
  <si>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</si>
  <si>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</si>
  <si>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</si>
  <si>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</si>
  <si>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</si>
  <si>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</si>
  <si>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</si>
  <si>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</si>
  <si>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</si>
  <si>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</si>
  <si>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</si>
  <si>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</si>
  <si>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</si>
  <si>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</si>
  <si>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</si>
  <si>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</si>
  <si>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</si>
  <si>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</si>
  <si>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</si>
  <si>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</si>
  <si>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</si>
  <si>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</si>
  <si>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</si>
  <si>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</si>
  <si>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</si>
  <si>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</si>
  <si>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</si>
  <si>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</si>
  <si>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</si>
  <si>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</si>
  <si>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</si>
  <si>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</si>
  <si>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</si>
  <si>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</si>
  <si>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</si>
  <si>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</si>
  <si>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</si>
  <si>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</si>
  <si>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</si>
  <si>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</si>
  <si>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</si>
  <si>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</si>
  <si>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</si>
  <si>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</si>
  <si>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</si>
  <si>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</si>
  <si>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</si>
  <si>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</si>
  <si>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</si>
  <si>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</si>
  <si>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</si>
  <si>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</si>
  <si>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</si>
  <si>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</si>
  <si>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</si>
  <si>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</si>
  <si>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</si>
  <si>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</si>
  <si>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</si>
  <si>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</si>
  <si>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</si>
  <si>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</si>
  <si>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</si>
  <si>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</si>
  <si>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</si>
  <si>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</si>
  <si>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</si>
  <si>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</si>
  <si>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</si>
  <si>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</si>
  <si>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</si>
  <si>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</si>
  <si>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</si>
  <si>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</si>
  <si>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</si>
  <si>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</si>
  <si>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</si>
  <si>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</si>
  <si>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</si>
  <si>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</si>
  <si>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</si>
  <si>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</si>
  <si>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</si>
  <si>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</si>
  <si>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</si>
  <si>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</si>
  <si>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</si>
  <si>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</si>
  <si>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</si>
  <si>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</si>
  <si>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</si>
  <si>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</si>
  <si>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</si>
  <si>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</si>
  <si>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</si>
  <si>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</si>
  <si>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</si>
  <si>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</si>
  <si>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</si>
  <si>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</si>
  <si>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</si>
  <si>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</si>
  <si>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</si>
  <si>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</si>
  <si>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</si>
  <si>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</si>
  <si>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</si>
  <si>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</si>
  <si>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</si>
  <si>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</si>
  <si>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</si>
  <si>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</si>
  <si>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</si>
  <si>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</si>
  <si>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</si>
  <si>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</si>
  <si>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</si>
  <si>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</si>
  <si>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</si>
  <si>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</si>
  <si>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</si>
  <si>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</si>
  <si>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</si>
  <si>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</si>
  <si>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</si>
  <si>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</si>
  <si>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</si>
  <si>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</si>
  <si>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</si>
  <si>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</si>
  <si>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</si>
  <si>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</si>
  <si>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</si>
  <si>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</si>
  <si>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</si>
  <si>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</si>
  <si>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</si>
  <si>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</si>
  <si>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</si>
  <si>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</si>
  <si>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</si>
  <si>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</si>
  <si>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</si>
  <si>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</si>
  <si>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</si>
  <si>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</si>
  <si>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</si>
  <si>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</si>
  <si>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</si>
  <si>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</si>
  <si>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</si>
  <si>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</si>
  <si>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</si>
  <si>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</si>
  <si>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</si>
  <si>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</si>
  <si>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</si>
  <si>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</si>
  <si>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</si>
  <si>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</si>
  <si>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</si>
  <si>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</si>
  <si>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</si>
  <si>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</si>
  <si>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</si>
  <si>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</si>
  <si>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</si>
  <si>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</si>
  <si>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</si>
  <si>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</si>
  <si>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</si>
  <si>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</si>
  <si>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</si>
  <si>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</si>
  <si>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</si>
  <si>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</si>
  <si>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</si>
  <si>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</si>
  <si>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</si>
  <si>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</si>
  <si>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</si>
  <si>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</si>
  <si>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</si>
  <si>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</si>
  <si>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</si>
  <si>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</si>
  <si>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</si>
  <si>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</si>
  <si>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</si>
  <si>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</si>
  <si>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</si>
  <si>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</si>
  <si>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</si>
  <si>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</si>
  <si>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</si>
  <si>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</si>
  <si>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</si>
  <si>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</si>
  <si>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</si>
  <si>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</si>
  <si>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</si>
  <si>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</si>
  <si>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Community Revitalization and Development Corporation</t>
  </si>
  <si>
    <t>Cussick Apartments</t>
  </si>
  <si>
    <t>February</t>
  </si>
  <si>
    <t>, 20_23__ at</t>
  </si>
  <si>
    <t>Arcata</t>
  </si>
  <si>
    <t>David Rutledge</t>
  </si>
  <si>
    <t>President</t>
  </si>
  <si>
    <t>City of Chico</t>
  </si>
  <si>
    <t>Mark Orme</t>
  </si>
  <si>
    <t>411 Main Street</t>
  </si>
  <si>
    <t>Chico, CA</t>
  </si>
  <si>
    <t>cmweb@chicoca.gov</t>
  </si>
  <si>
    <t>W. East Avenue at Cussick Avenue</t>
  </si>
  <si>
    <t>Chico</t>
  </si>
  <si>
    <t>042-450-022</t>
  </si>
  <si>
    <t>$500M</t>
  </si>
  <si>
    <t>40%/60%</t>
  </si>
  <si>
    <t>635 Parkview Avenue</t>
  </si>
  <si>
    <t>Redding</t>
  </si>
  <si>
    <t>CA</t>
  </si>
  <si>
    <t>David@crdc-housing.org</t>
  </si>
  <si>
    <t>Johnson &amp; Johnson Investments, LLC</t>
  </si>
  <si>
    <t>5251 Ericson Way</t>
  </si>
  <si>
    <t>Administrative GP</t>
  </si>
  <si>
    <t>Chris Dart</t>
  </si>
  <si>
    <t>cdart@danco-group.com</t>
  </si>
  <si>
    <t>Managing GP</t>
  </si>
  <si>
    <t>Danco Communities</t>
  </si>
  <si>
    <t>Hailey Del Grande</t>
  </si>
  <si>
    <t>hdelgrande@danco-group.com</t>
  </si>
  <si>
    <t>Developer</t>
  </si>
  <si>
    <t>Arcata, CA 95521</t>
  </si>
  <si>
    <t>DG Group Architecture</t>
  </si>
  <si>
    <t>430 E. State Street, Suite 100</t>
  </si>
  <si>
    <t>Eagle, ID 93616</t>
  </si>
  <si>
    <t>Doug Gibson</t>
  </si>
  <si>
    <t>208-908-4871</t>
  </si>
  <si>
    <t>douglasg@tpchousing.com</t>
  </si>
  <si>
    <t>Odu &amp; Associates</t>
  </si>
  <si>
    <t>31805 Temecula Parkway #720</t>
  </si>
  <si>
    <t>Temecula, CA 92592</t>
  </si>
  <si>
    <t>Nkechi Odu</t>
  </si>
  <si>
    <t>nkechi@odulaw.com</t>
  </si>
  <si>
    <t>Danco Builders Northwest</t>
  </si>
  <si>
    <t>707-822-9000</t>
  </si>
  <si>
    <t>707-822-9596</t>
  </si>
  <si>
    <t>Redwood Energy</t>
  </si>
  <si>
    <t>1887 Q Street</t>
  </si>
  <si>
    <t>Sean Armstrong</t>
  </si>
  <si>
    <t>(707) 822-1857</t>
  </si>
  <si>
    <t>sarmstrongpm@gmail.com</t>
  </si>
  <si>
    <t>Raney Planning &amp; Management</t>
  </si>
  <si>
    <t>1501 Sports Drive</t>
  </si>
  <si>
    <t>Sacramento, CA 96834</t>
  </si>
  <si>
    <t>Stefanie Williams</t>
  </si>
  <si>
    <t>916-372-6100</t>
  </si>
  <si>
    <t>916-419-6108</t>
  </si>
  <si>
    <t>swilliams@laurinassociates.com</t>
  </si>
  <si>
    <t>CMFA</t>
  </si>
  <si>
    <t>2111 Palomar Airport Rd. Suite 320</t>
  </si>
  <si>
    <t>Carlsbad, CA 92011</t>
  </si>
  <si>
    <t>Anthony Stubbs</t>
  </si>
  <si>
    <t>760-930-1333</t>
  </si>
  <si>
    <t>760-683-3390</t>
  </si>
  <si>
    <t>astubbs@cmfa-ca.com</t>
  </si>
  <si>
    <t>Danco Property Management</t>
  </si>
  <si>
    <t>Blair Brown</t>
  </si>
  <si>
    <t>bbrown@danco-group.com</t>
  </si>
  <si>
    <t>East Avenue Properties, LLC</t>
  </si>
  <si>
    <t>Brian Bowen</t>
  </si>
  <si>
    <t>414 Salem St., Chico, CA 95927</t>
  </si>
  <si>
    <t>Inner City Infill Site</t>
  </si>
  <si>
    <t>Vacant - Residential Land</t>
  </si>
  <si>
    <t>R2 with COS overlay, max 70 units/acre</t>
  </si>
  <si>
    <t>R2 with COS overlay, 25 units/acre</t>
  </si>
  <si>
    <t>Max 65'</t>
  </si>
  <si>
    <t>studio- 0.75, 1bed- 1, +2bed- 1.5</t>
  </si>
  <si>
    <t>HCD Butte County CDBG-DR</t>
  </si>
  <si>
    <t>HCD City of Chico CDBG-DR</t>
  </si>
  <si>
    <t>Pacific Western Bank Tax Exempt Bonds</t>
  </si>
  <si>
    <t>Pacific Western Bank Taxable Bonds</t>
  </si>
  <si>
    <t>City of Chico - CDBG-DR Funds</t>
  </si>
  <si>
    <t>Butte County - CDBG-DR Funds</t>
  </si>
  <si>
    <t>Variable</t>
  </si>
  <si>
    <t>130 S. State College Blvd</t>
  </si>
  <si>
    <t>Brea, CA 92821</t>
  </si>
  <si>
    <t>Dan Bronfman</t>
  </si>
  <si>
    <t>925-386-0760</t>
  </si>
  <si>
    <t>Conventional</t>
  </si>
  <si>
    <t>25 County Center Dr, Suite 200</t>
  </si>
  <si>
    <t>Oroville, CA 95965</t>
  </si>
  <si>
    <t>Casey Hatcher</t>
  </si>
  <si>
    <t>Equity</t>
  </si>
  <si>
    <t>Pacific Western Bank Perm Loan</t>
  </si>
  <si>
    <t>Developer Note</t>
  </si>
  <si>
    <t>530-552-3336</t>
  </si>
  <si>
    <t>CUAC</t>
  </si>
  <si>
    <t>Cleaning</t>
  </si>
  <si>
    <t>Phone &amp; Office Supplies</t>
  </si>
  <si>
    <t>CDBG-DR</t>
  </si>
  <si>
    <t>Inspection Fees</t>
  </si>
  <si>
    <t>Borrower's Attorney</t>
  </si>
  <si>
    <t>City of Chico CDBG Funds</t>
  </si>
  <si>
    <t>County of Butte CDBG Funds</t>
  </si>
  <si>
    <t>Boston Financial Tax Credit Equity</t>
  </si>
  <si>
    <t>8335 Sunset Blvd, STE 203</t>
  </si>
  <si>
    <t>West Hollywood</t>
  </si>
  <si>
    <t>Roy Faerber</t>
  </si>
  <si>
    <t>Boston Financial Solar Tax Credit Equity</t>
  </si>
  <si>
    <t xml:space="preserve">Boston Financial </t>
  </si>
  <si>
    <t xml:space="preserve">8335 Sunset Blvd, Ste 203 </t>
  </si>
  <si>
    <t>West Hollywood, CA 90069</t>
  </si>
  <si>
    <t xml:space="preserve">Roy Faerber </t>
  </si>
  <si>
    <t>Roy.Faerber@bfim.com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</si>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</sst>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auto="1"/>
      </bottom>
      <diagonal/>
    </border>
  </borders>
  <cellStyleXfs count="17161">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5" borderId="6" xfId="0" applyFont="1" applyFill="1" applyBorder="1" applyAlignment="1" applyProtection="1">
      <alignment horizontal="left" vertical="top" wrapText="1"/>
      <protection locked="0"/>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4" xfId="0" applyFont="1"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3" fontId="22" fillId="0" borderId="11" xfId="0" applyNumberFormat="1" applyFont="1" applyBorder="1" applyAlignment="1">
      <alignment horizontal="center"/>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 borderId="106" xfId="0" applyFill="1" applyBorder="1" applyAlignment="1" applyProtection="1">
      <alignment horizontal="left" vertical="top" wrapText="1"/>
      <protection locked="0"/>
    </xf>
    <xf numFmtId="0" fontId="0" fillId="5" borderId="106" xfId="0" applyFill="1" applyBorder="1" applyAlignment="1" applyProtection="1">
      <alignment horizontal="left"/>
      <protection locked="0"/>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0" fontId="13" fillId="5" borderId="6" xfId="0"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6" xfId="0" applyBorder="1" applyAlignment="1" applyProtection="1">
      <alignment horizontal="center"/>
      <protection locked="0"/>
    </xf>
    <xf numFmtId="0" fontId="13" fillId="5" borderId="106" xfId="0" applyFont="1" applyFill="1" applyBorder="1" applyAlignment="1" applyProtection="1">
      <alignment horizontal="left" wrapText="1"/>
      <protection locked="0"/>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4" fontId="0" fillId="5" borderId="4" xfId="0"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9" fontId="13" fillId="0" borderId="0" xfId="543" applyNumberForma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9" xfId="0" applyBorder="1" applyAlignment="1">
      <alignment horizontal="lef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11" xfId="0" applyNumberFormat="1" applyBorder="1"/>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71" fontId="13" fillId="0" borderId="0" xfId="543" applyNumberFormat="1" applyAlignment="1">
      <alignment horizontal="center"/>
    </xf>
    <xf numFmtId="168" fontId="0" fillId="0" borderId="11" xfId="0" applyNumberFormat="1" applyBorder="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2" fillId="0" borderId="3" xfId="0" applyFont="1" applyBorder="1" applyAlignment="1">
      <alignment horizontal="left"/>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2" borderId="11" xfId="0" applyFont="1" applyFill="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8" fontId="13" fillId="0" borderId="11" xfId="543" applyNumberFormat="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9" fillId="3" borderId="0" xfId="0" applyFont="1" applyFill="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2" fillId="5" borderId="6" xfId="271" applyFill="1" applyBorder="1" applyProtection="1">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0" fillId="0" borderId="11" xfId="0"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61">
    <cellStyle name="20% - Accent1" xfId="1" builtinId="30" customBuiltin="1"/>
    <cellStyle name="20% - Accent1 10" xfId="4505" xr:uid="{00000000-0005-0000-0000-000001000000}"/>
    <cellStyle name="20% - Accent1 10 2" xfId="12944" xr:uid="{AB5432F3-2502-4A72-82D9-C8A40AFA747D}"/>
    <cellStyle name="20% - Accent1 11" xfId="8726" xr:uid="{40ACE726-EAB9-4939-9D5E-02B27C671A3F}"/>
    <cellStyle name="20% - Accent1 2" xfId="2" xr:uid="{00000000-0005-0000-0000-000002000000}"/>
    <cellStyle name="20% - Accent1 2 10" xfId="8727" xr:uid="{96CCB7A8-86DE-417B-83BF-BD3699E0356D}"/>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6040E1C5-F495-43FD-852E-6C3228258277}"/>
    <cellStyle name="20% - Accent1 2 2 2 2 2 3" xfId="11288" xr:uid="{014D13B4-DB44-483E-A5DA-B5FE6600CD30}"/>
    <cellStyle name="20% - Accent1 2 2 2 2 3" xfId="4922" xr:uid="{00000000-0005-0000-0000-000008000000}"/>
    <cellStyle name="20% - Accent1 2 2 2 2 3 2" xfId="13361" xr:uid="{EA33D5F0-B5A5-4CBE-94A5-5C32E6431C9A}"/>
    <cellStyle name="20% - Accent1 2 2 2 2 4" xfId="9143" xr:uid="{8ACFCB26-48F2-4DD8-AEF0-B2A8BA5C07CB}"/>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5AD78CD6-F49D-40ED-AE6B-BE5FB17BE98C}"/>
    <cellStyle name="20% - Accent1 2 2 2 3 2 3" xfId="11701" xr:uid="{6735B662-376A-4E34-8899-7FE41FA22CE9}"/>
    <cellStyle name="20% - Accent1 2 2 2 3 3" xfId="5335" xr:uid="{00000000-0005-0000-0000-00000C000000}"/>
    <cellStyle name="20% - Accent1 2 2 2 3 3 2" xfId="13774" xr:uid="{B56344BB-0482-423C-BCDC-78E08DAD38B5}"/>
    <cellStyle name="20% - Accent1 2 2 2 3 4" xfId="9556" xr:uid="{C8E0049F-C8B5-4FEA-B3F6-80EA09D95392}"/>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02A738E0-2628-4445-85DC-2E98203E9B0A}"/>
    <cellStyle name="20% - Accent1 2 2 2 4 2 3" xfId="12114" xr:uid="{DC6DA9FB-8AA2-4E08-A3F4-E1097ACC57FE}"/>
    <cellStyle name="20% - Accent1 2 2 2 4 3" xfId="5748" xr:uid="{00000000-0005-0000-0000-000010000000}"/>
    <cellStyle name="20% - Accent1 2 2 2 4 3 2" xfId="14187" xr:uid="{F10D7A99-A88C-4621-99C1-C7F321BB0971}"/>
    <cellStyle name="20% - Accent1 2 2 2 4 4" xfId="9969" xr:uid="{43B3CD7C-4F94-41FC-8A6C-DEE3AB4BE43E}"/>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FC83C966-913A-417A-8947-4F68581A9D4A}"/>
    <cellStyle name="20% - Accent1 2 2 2 5 2 3" xfId="12527" xr:uid="{1A2F81B4-F4E4-474A-A3FA-0955B6EDAD76}"/>
    <cellStyle name="20% - Accent1 2 2 2 5 3" xfId="6161" xr:uid="{00000000-0005-0000-0000-000014000000}"/>
    <cellStyle name="20% - Accent1 2 2 2 5 3 2" xfId="14600" xr:uid="{1EC035BB-86EF-4D21-8174-1B20E5240CC0}"/>
    <cellStyle name="20% - Accent1 2 2 2 5 4" xfId="10382" xr:uid="{8909F542-E7A8-4FEE-BD76-70150B0B8B88}"/>
    <cellStyle name="20% - Accent1 2 2 2 6" xfId="2267" xr:uid="{00000000-0005-0000-0000-000015000000}"/>
    <cellStyle name="20% - Accent1 2 2 2 6 2" xfId="6574" xr:uid="{00000000-0005-0000-0000-000016000000}"/>
    <cellStyle name="20% - Accent1 2 2 2 6 2 2" xfId="15013" xr:uid="{55EE6CE6-00AC-42A7-ADEC-8917C40D25C3}"/>
    <cellStyle name="20% - Accent1 2 2 2 6 3" xfId="10795" xr:uid="{B598FF34-2444-464F-B65C-4D1062056C23}"/>
    <cellStyle name="20% - Accent1 2 2 2 7" xfId="4508" xr:uid="{00000000-0005-0000-0000-000017000000}"/>
    <cellStyle name="20% - Accent1 2 2 2 7 2" xfId="12947" xr:uid="{82588D48-2DF8-4478-B200-CDAF74F11813}"/>
    <cellStyle name="20% - Accent1 2 2 2 8" xfId="8729" xr:uid="{4F3C6FBC-8224-43DF-8DCB-1A7FDE2E7461}"/>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4690ED5D-6599-42EC-B073-878C3C689D7F}"/>
    <cellStyle name="20% - Accent1 2 2 3 2 3" xfId="11287" xr:uid="{88FE08E8-CD42-4494-9E50-B2CE84C280C7}"/>
    <cellStyle name="20% - Accent1 2 2 3 3" xfId="4921" xr:uid="{00000000-0005-0000-0000-00001B000000}"/>
    <cellStyle name="20% - Accent1 2 2 3 3 2" xfId="13360" xr:uid="{79FB74E9-CAD3-4B98-8B31-82328AB94A63}"/>
    <cellStyle name="20% - Accent1 2 2 3 4" xfId="9142" xr:uid="{C01B1193-C437-4E5D-80D6-546DC1B4F0C6}"/>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668532D7-46A4-46AD-8B1E-B6BC1C2A8C42}"/>
    <cellStyle name="20% - Accent1 2 2 4 2 3" xfId="11700" xr:uid="{2431EF78-637C-4DD1-9AD4-33796BA7DEA5}"/>
    <cellStyle name="20% - Accent1 2 2 4 3" xfId="5334" xr:uid="{00000000-0005-0000-0000-00001F000000}"/>
    <cellStyle name="20% - Accent1 2 2 4 3 2" xfId="13773" xr:uid="{3279B8E2-3600-4933-8567-D94899B60198}"/>
    <cellStyle name="20% - Accent1 2 2 4 4" xfId="9555" xr:uid="{FE2FCEDB-7040-48AF-A02E-0B74690DED6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AAEA1285-CA21-43F6-8B3E-344387A7B8F2}"/>
    <cellStyle name="20% - Accent1 2 2 5 2 3" xfId="12113" xr:uid="{CC5C6434-7D58-44A3-81E4-80B8437695F9}"/>
    <cellStyle name="20% - Accent1 2 2 5 3" xfId="5747" xr:uid="{00000000-0005-0000-0000-000023000000}"/>
    <cellStyle name="20% - Accent1 2 2 5 3 2" xfId="14186" xr:uid="{8A8409BF-9AD0-45E5-B7B1-A93C060A80F8}"/>
    <cellStyle name="20% - Accent1 2 2 5 4" xfId="9968" xr:uid="{3EEF788D-B987-444A-A569-BB650CCCFBDF}"/>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9C0283F7-4C32-4DB1-B885-6FF72EC93EB3}"/>
    <cellStyle name="20% - Accent1 2 2 6 2 3" xfId="12526" xr:uid="{38415634-A00A-4F53-BA4B-44250DB72CD6}"/>
    <cellStyle name="20% - Accent1 2 2 6 3" xfId="6160" xr:uid="{00000000-0005-0000-0000-000027000000}"/>
    <cellStyle name="20% - Accent1 2 2 6 3 2" xfId="14599" xr:uid="{590DE9FE-B2BB-4C37-8058-44152CC17061}"/>
    <cellStyle name="20% - Accent1 2 2 6 4" xfId="10381" xr:uid="{AEFAA813-F65C-45B7-B815-F29CEAAF016D}"/>
    <cellStyle name="20% - Accent1 2 2 7" xfId="2266" xr:uid="{00000000-0005-0000-0000-000028000000}"/>
    <cellStyle name="20% - Accent1 2 2 7 2" xfId="6573" xr:uid="{00000000-0005-0000-0000-000029000000}"/>
    <cellStyle name="20% - Accent1 2 2 7 2 2" xfId="15012" xr:uid="{C472A80A-9B87-4C68-94FC-8561C92FD01C}"/>
    <cellStyle name="20% - Accent1 2 2 7 3" xfId="10794" xr:uid="{6E071467-1C20-48BE-8903-3AB409A26282}"/>
    <cellStyle name="20% - Accent1 2 2 8" xfId="4507" xr:uid="{00000000-0005-0000-0000-00002A000000}"/>
    <cellStyle name="20% - Accent1 2 2 8 2" xfId="12946" xr:uid="{C0A86E6F-CC47-4B35-9707-6D83463EC96C}"/>
    <cellStyle name="20% - Accent1 2 2 9" xfId="8728" xr:uid="{0DACFAF1-7AFD-4246-A80B-3AA77E1689C6}"/>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F686E125-7887-4B03-9BF2-33FFC20F5D2B}"/>
    <cellStyle name="20% - Accent1 2 3 2 2 3" xfId="11289" xr:uid="{19EB923D-580B-4559-87F2-0C0A6674A681}"/>
    <cellStyle name="20% - Accent1 2 3 2 3" xfId="4923" xr:uid="{00000000-0005-0000-0000-00002F000000}"/>
    <cellStyle name="20% - Accent1 2 3 2 3 2" xfId="13362" xr:uid="{9A2C3141-E3CF-4E09-94E9-88F780E8212D}"/>
    <cellStyle name="20% - Accent1 2 3 2 4" xfId="9144" xr:uid="{7BE9D5FF-7E47-48B9-8CA6-70AA3983AF0F}"/>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8DB53DC1-4748-4D31-8F91-5DB1C67AE263}"/>
    <cellStyle name="20% - Accent1 2 3 3 2 3" xfId="11702" xr:uid="{2EBE6CBD-6737-409B-A48B-C4869FEFDBA5}"/>
    <cellStyle name="20% - Accent1 2 3 3 3" xfId="5336" xr:uid="{00000000-0005-0000-0000-000033000000}"/>
    <cellStyle name="20% - Accent1 2 3 3 3 2" xfId="13775" xr:uid="{D27120D6-DE64-4326-9AE7-FB64C233240A}"/>
    <cellStyle name="20% - Accent1 2 3 3 4" xfId="9557" xr:uid="{6EA2E324-13E7-43C0-B877-E78AAC1393F7}"/>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B2D2CE3E-C1AA-459E-8884-A6FC35DDB7F6}"/>
    <cellStyle name="20% - Accent1 2 3 4 2 3" xfId="12115" xr:uid="{DB9A8243-C8CA-4714-AC9A-5C70392CA2FB}"/>
    <cellStyle name="20% - Accent1 2 3 4 3" xfId="5749" xr:uid="{00000000-0005-0000-0000-000037000000}"/>
    <cellStyle name="20% - Accent1 2 3 4 3 2" xfId="14188" xr:uid="{401A137A-8A56-4FAE-B0E7-7E2ABAB4ECEE}"/>
    <cellStyle name="20% - Accent1 2 3 4 4" xfId="9970" xr:uid="{D172BD1F-41A6-45EF-9C3D-644E572A5E9A}"/>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45F7AC77-573E-4D68-A0CD-3C465E5A4E9A}"/>
    <cellStyle name="20% - Accent1 2 3 5 2 3" xfId="12528" xr:uid="{56440A25-787F-4BE2-B81D-88814D088E28}"/>
    <cellStyle name="20% - Accent1 2 3 5 3" xfId="6162" xr:uid="{00000000-0005-0000-0000-00003B000000}"/>
    <cellStyle name="20% - Accent1 2 3 5 3 2" xfId="14601" xr:uid="{3184DF74-9DB8-4DB4-B92F-84D5929DC493}"/>
    <cellStyle name="20% - Accent1 2 3 5 4" xfId="10383" xr:uid="{9683A160-1174-4CCD-BE49-AF3C1B6E2B6B}"/>
    <cellStyle name="20% - Accent1 2 3 6" xfId="2268" xr:uid="{00000000-0005-0000-0000-00003C000000}"/>
    <cellStyle name="20% - Accent1 2 3 6 2" xfId="6575" xr:uid="{00000000-0005-0000-0000-00003D000000}"/>
    <cellStyle name="20% - Accent1 2 3 6 2 2" xfId="15014" xr:uid="{C341895E-888D-4F73-ABAA-9760CFEF199E}"/>
    <cellStyle name="20% - Accent1 2 3 6 3" xfId="10796" xr:uid="{42A19196-3B8C-4CE2-A8C5-E60EFDC114BB}"/>
    <cellStyle name="20% - Accent1 2 3 7" xfId="4509" xr:uid="{00000000-0005-0000-0000-00003E000000}"/>
    <cellStyle name="20% - Accent1 2 3 7 2" xfId="12948" xr:uid="{DB3B67FA-003A-4684-A1AF-AFB168947A12}"/>
    <cellStyle name="20% - Accent1 2 3 8" xfId="8730" xr:uid="{613FD78B-C096-4356-8DD5-252755953799}"/>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DC4E684D-A5C7-43D6-95FF-8789C66878A9}"/>
    <cellStyle name="20% - Accent1 2 4 2 3" xfId="11286" xr:uid="{615AD452-442D-4D00-BEFA-23D095DBAD1E}"/>
    <cellStyle name="20% - Accent1 2 4 3" xfId="4920" xr:uid="{00000000-0005-0000-0000-000042000000}"/>
    <cellStyle name="20% - Accent1 2 4 3 2" xfId="13359" xr:uid="{0E8B4F7F-C5CB-4FE2-B73A-DC7AA4FE6B38}"/>
    <cellStyle name="20% - Accent1 2 4 4" xfId="9141" xr:uid="{29916EB9-B4A8-46F4-9307-A802B26A5C0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36384DF4-5C80-4B91-BF11-6E57F93419BB}"/>
    <cellStyle name="20% - Accent1 2 5 2 3" xfId="11699" xr:uid="{4D02872B-F24E-4F54-88C7-FCB9DD6597EA}"/>
    <cellStyle name="20% - Accent1 2 5 3" xfId="5333" xr:uid="{00000000-0005-0000-0000-000046000000}"/>
    <cellStyle name="20% - Accent1 2 5 3 2" xfId="13772" xr:uid="{06800675-38F1-4351-AEE7-B253374D03D0}"/>
    <cellStyle name="20% - Accent1 2 5 4" xfId="9554" xr:uid="{B265A5CC-115D-4D1E-9E79-33DAEABADEBA}"/>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46443644-28DE-48EB-90A3-BE24D95572DA}"/>
    <cellStyle name="20% - Accent1 2 6 2 3" xfId="12112" xr:uid="{8AB12F33-76BA-4D53-84BF-899C03B47BD0}"/>
    <cellStyle name="20% - Accent1 2 6 3" xfId="5746" xr:uid="{00000000-0005-0000-0000-00004A000000}"/>
    <cellStyle name="20% - Accent1 2 6 3 2" xfId="14185" xr:uid="{1740C7F8-AC31-4A0D-BD83-C2F6B4DA794B}"/>
    <cellStyle name="20% - Accent1 2 6 4" xfId="9967" xr:uid="{858AACD4-0140-4D4D-9D78-3994765356EE}"/>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686E75A6-6C76-45B1-84A2-0119106E4A05}"/>
    <cellStyle name="20% - Accent1 2 7 2 3" xfId="12525" xr:uid="{1D72E34C-4212-40DF-8EED-06B029EF1524}"/>
    <cellStyle name="20% - Accent1 2 7 3" xfId="6159" xr:uid="{00000000-0005-0000-0000-00004E000000}"/>
    <cellStyle name="20% - Accent1 2 7 3 2" xfId="14598" xr:uid="{823ECC35-795C-4600-8F33-1746B2C1B44A}"/>
    <cellStyle name="20% - Accent1 2 7 4" xfId="10380" xr:uid="{E760DF94-3D3F-4751-B34F-46F2956A86BF}"/>
    <cellStyle name="20% - Accent1 2 8" xfId="2265" xr:uid="{00000000-0005-0000-0000-00004F000000}"/>
    <cellStyle name="20% - Accent1 2 8 2" xfId="6572" xr:uid="{00000000-0005-0000-0000-000050000000}"/>
    <cellStyle name="20% - Accent1 2 8 2 2" xfId="15011" xr:uid="{48C1D425-4773-431E-8B9C-7092BF7677C4}"/>
    <cellStyle name="20% - Accent1 2 8 3" xfId="10793" xr:uid="{85CCBF6C-7C15-4F7A-949C-244D4ECDD96A}"/>
    <cellStyle name="20% - Accent1 2 9" xfId="4506" xr:uid="{00000000-0005-0000-0000-000051000000}"/>
    <cellStyle name="20% - Accent1 2 9 2" xfId="12945" xr:uid="{F051C5FC-A6D1-4273-9164-1F31615E6FEB}"/>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5CE54E2A-442B-442A-BD6D-BBB5E45A03A0}"/>
    <cellStyle name="20% - Accent1 3 2 2 2 3" xfId="11291" xr:uid="{308FF964-0888-4DEC-9516-74DB511B6B6A}"/>
    <cellStyle name="20% - Accent1 3 2 2 3" xfId="4925" xr:uid="{00000000-0005-0000-0000-000057000000}"/>
    <cellStyle name="20% - Accent1 3 2 2 3 2" xfId="13364" xr:uid="{9EFC3035-3E38-444C-9C0F-6D376C93E159}"/>
    <cellStyle name="20% - Accent1 3 2 2 4" xfId="9146" xr:uid="{C278FEA0-5CD3-4D2F-BD92-BBC093EB1AED}"/>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7C46FFAB-DC87-46DD-8683-B11D552CB4AF}"/>
    <cellStyle name="20% - Accent1 3 2 3 2 3" xfId="11704" xr:uid="{9F1E49DC-3B12-481B-842C-B1ECA77FCC3E}"/>
    <cellStyle name="20% - Accent1 3 2 3 3" xfId="5338" xr:uid="{00000000-0005-0000-0000-00005B000000}"/>
    <cellStyle name="20% - Accent1 3 2 3 3 2" xfId="13777" xr:uid="{FFB20C80-CB7F-4690-B69B-5A4954FD803C}"/>
    <cellStyle name="20% - Accent1 3 2 3 4" xfId="9559" xr:uid="{65D0FF83-AC85-4D13-88DF-35EA21C90E8A}"/>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ADDCE88E-714D-470E-AB4A-90351D307EC3}"/>
    <cellStyle name="20% - Accent1 3 2 4 2 3" xfId="12117" xr:uid="{504E3FBE-86A5-44EB-9984-2A3C2E598B0A}"/>
    <cellStyle name="20% - Accent1 3 2 4 3" xfId="5751" xr:uid="{00000000-0005-0000-0000-00005F000000}"/>
    <cellStyle name="20% - Accent1 3 2 4 3 2" xfId="14190" xr:uid="{4A9ECA88-4891-4F75-9100-F9D11B7923A4}"/>
    <cellStyle name="20% - Accent1 3 2 4 4" xfId="9972" xr:uid="{F3DFC8B8-2C32-46FA-8E00-0FEECC74E802}"/>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92401F10-59B2-4502-9ED0-21899063EAFA}"/>
    <cellStyle name="20% - Accent1 3 2 5 2 3" xfId="12530" xr:uid="{A0C72FA0-5703-4B9D-B40F-BF0822AC658A}"/>
    <cellStyle name="20% - Accent1 3 2 5 3" xfId="6164" xr:uid="{00000000-0005-0000-0000-000063000000}"/>
    <cellStyle name="20% - Accent1 3 2 5 3 2" xfId="14603" xr:uid="{7134C120-A2F2-49EB-A63B-0406F63C4C7D}"/>
    <cellStyle name="20% - Accent1 3 2 5 4" xfId="10385" xr:uid="{035CC23E-5A8A-4345-A6E4-308B297759E3}"/>
    <cellStyle name="20% - Accent1 3 2 6" xfId="2270" xr:uid="{00000000-0005-0000-0000-000064000000}"/>
    <cellStyle name="20% - Accent1 3 2 6 2" xfId="6577" xr:uid="{00000000-0005-0000-0000-000065000000}"/>
    <cellStyle name="20% - Accent1 3 2 6 2 2" xfId="15016" xr:uid="{259753ED-87EA-4AA0-BBB3-BDDCD07FCED8}"/>
    <cellStyle name="20% - Accent1 3 2 6 3" xfId="10798" xr:uid="{EEC860E8-7818-4C5D-B35B-EDEB98CDD26E}"/>
    <cellStyle name="20% - Accent1 3 2 7" xfId="4511" xr:uid="{00000000-0005-0000-0000-000066000000}"/>
    <cellStyle name="20% - Accent1 3 2 7 2" xfId="12950" xr:uid="{915BCCE9-B5E2-4142-8D70-45D772E74DA3}"/>
    <cellStyle name="20% - Accent1 3 2 8" xfId="8732" xr:uid="{B86E73A6-0E11-41FD-8887-1694E5FFF7E5}"/>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753A4C4B-18E4-4A3A-83FF-410D3D9E422F}"/>
    <cellStyle name="20% - Accent1 3 3 2 3" xfId="11290" xr:uid="{6DF744AA-BCAB-4E07-A58B-50F63C28DD7D}"/>
    <cellStyle name="20% - Accent1 3 3 3" xfId="4924" xr:uid="{00000000-0005-0000-0000-00006A000000}"/>
    <cellStyle name="20% - Accent1 3 3 3 2" xfId="13363" xr:uid="{25816F1C-7C92-4ED0-AC6C-FECFC20C18C4}"/>
    <cellStyle name="20% - Accent1 3 3 4" xfId="9145" xr:uid="{1186CD38-C29B-4F86-9B19-C656DBC55478}"/>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B0981B87-FAD5-4AC1-AEB8-92D894A13069}"/>
    <cellStyle name="20% - Accent1 3 4 2 3" xfId="11703" xr:uid="{39A36037-8432-4236-929C-ADF097C86A7B}"/>
    <cellStyle name="20% - Accent1 3 4 3" xfId="5337" xr:uid="{00000000-0005-0000-0000-00006E000000}"/>
    <cellStyle name="20% - Accent1 3 4 3 2" xfId="13776" xr:uid="{D3662500-225B-4002-8E32-72523165D6D7}"/>
    <cellStyle name="20% - Accent1 3 4 4" xfId="9558" xr:uid="{3096DF81-2D82-4094-B55D-B1601621A4A2}"/>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39ED4F18-7394-4869-AA42-C72275CDCB37}"/>
    <cellStyle name="20% - Accent1 3 5 2 3" xfId="12116" xr:uid="{476A586E-F89D-4CAD-B71B-71B53DB4F842}"/>
    <cellStyle name="20% - Accent1 3 5 3" xfId="5750" xr:uid="{00000000-0005-0000-0000-000072000000}"/>
    <cellStyle name="20% - Accent1 3 5 3 2" xfId="14189" xr:uid="{8F5E4E4F-1836-4DE9-9039-8ED24D8EBD37}"/>
    <cellStyle name="20% - Accent1 3 5 4" xfId="9971" xr:uid="{BBD66B87-200C-4FC2-B641-302206C98D9A}"/>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35D00B91-1083-40CE-9C83-906CE1904C05}"/>
    <cellStyle name="20% - Accent1 3 6 2 3" xfId="12529" xr:uid="{BD9EE2A3-03D9-4F0E-96C1-61E52DBB7869}"/>
    <cellStyle name="20% - Accent1 3 6 3" xfId="6163" xr:uid="{00000000-0005-0000-0000-000076000000}"/>
    <cellStyle name="20% - Accent1 3 6 3 2" xfId="14602" xr:uid="{BE0FC66E-12B4-4870-8E53-5CDF285C66CF}"/>
    <cellStyle name="20% - Accent1 3 6 4" xfId="10384" xr:uid="{D2E25FF7-C64A-42E5-ACE4-3B033620CD64}"/>
    <cellStyle name="20% - Accent1 3 7" xfId="2269" xr:uid="{00000000-0005-0000-0000-000077000000}"/>
    <cellStyle name="20% - Accent1 3 7 2" xfId="6576" xr:uid="{00000000-0005-0000-0000-000078000000}"/>
    <cellStyle name="20% - Accent1 3 7 2 2" xfId="15015" xr:uid="{70247D58-66E3-4B5F-8F38-9D16995239D0}"/>
    <cellStyle name="20% - Accent1 3 7 3" xfId="10797" xr:uid="{C58AFB17-6433-4367-8D57-FDDC6E3AEE7F}"/>
    <cellStyle name="20% - Accent1 3 8" xfId="4510" xr:uid="{00000000-0005-0000-0000-000079000000}"/>
    <cellStyle name="20% - Accent1 3 8 2" xfId="12949" xr:uid="{AE533CA4-8E02-4695-BB5C-69806EE08128}"/>
    <cellStyle name="20% - Accent1 3 9" xfId="8731" xr:uid="{C1B303AF-AA6C-4391-ADCF-1502E1155F13}"/>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C826F621-6FF8-4D9C-9939-5B4FA186A0B4}"/>
    <cellStyle name="20% - Accent1 4 2 2 3" xfId="11292" xr:uid="{1E42CBE5-E006-4EA7-BD1B-DD51C70CFE6E}"/>
    <cellStyle name="20% - Accent1 4 2 3" xfId="4926" xr:uid="{00000000-0005-0000-0000-00007E000000}"/>
    <cellStyle name="20% - Accent1 4 2 3 2" xfId="13365" xr:uid="{3E8F2A82-32A9-4F37-AB8E-05B515350D25}"/>
    <cellStyle name="20% - Accent1 4 2 4" xfId="9147" xr:uid="{1F34AAB8-DD9C-42DD-A301-498DA99E7FD0}"/>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803A18D9-3354-4D52-95FE-8D348009C1B2}"/>
    <cellStyle name="20% - Accent1 4 3 2 3" xfId="11705" xr:uid="{7E06CBBB-4BF1-4D1D-9112-3FB9B58A6B1F}"/>
    <cellStyle name="20% - Accent1 4 3 3" xfId="5339" xr:uid="{00000000-0005-0000-0000-000082000000}"/>
    <cellStyle name="20% - Accent1 4 3 3 2" xfId="13778" xr:uid="{07B36877-BE11-4C91-AA0E-3F7D648ED6BF}"/>
    <cellStyle name="20% - Accent1 4 3 4" xfId="9560" xr:uid="{6F6394E1-F5A4-461D-BCFA-BBFF41E6177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34939117-462D-4F47-8E77-421A2FDB1273}"/>
    <cellStyle name="20% - Accent1 4 4 2 3" xfId="12118" xr:uid="{48BF4830-11EF-4E02-BBE2-2EC1C1D627BE}"/>
    <cellStyle name="20% - Accent1 4 4 3" xfId="5752" xr:uid="{00000000-0005-0000-0000-000086000000}"/>
    <cellStyle name="20% - Accent1 4 4 3 2" xfId="14191" xr:uid="{C3C4AD44-7379-4050-AC92-5DCB1471D1C3}"/>
    <cellStyle name="20% - Accent1 4 4 4" xfId="9973" xr:uid="{B304E1A0-0293-43F7-ACD2-08C15DEEC775}"/>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4F9750D7-076F-4736-AD59-8FB4012CB373}"/>
    <cellStyle name="20% - Accent1 4 5 2 3" xfId="12531" xr:uid="{511BCFCF-C2EC-4462-B6A8-0CA57156D1B3}"/>
    <cellStyle name="20% - Accent1 4 5 3" xfId="6165" xr:uid="{00000000-0005-0000-0000-00008A000000}"/>
    <cellStyle name="20% - Accent1 4 5 3 2" xfId="14604" xr:uid="{14F2294E-434E-4462-890B-C83B3ACABE1F}"/>
    <cellStyle name="20% - Accent1 4 5 4" xfId="10386" xr:uid="{9C88F726-9529-4094-9067-DE445D61648C}"/>
    <cellStyle name="20% - Accent1 4 6" xfId="2271" xr:uid="{00000000-0005-0000-0000-00008B000000}"/>
    <cellStyle name="20% - Accent1 4 6 2" xfId="6578" xr:uid="{00000000-0005-0000-0000-00008C000000}"/>
    <cellStyle name="20% - Accent1 4 6 2 2" xfId="15017" xr:uid="{2A18F5D6-95B8-498E-8D5A-4BC6FE756FBC}"/>
    <cellStyle name="20% - Accent1 4 6 3" xfId="10799" xr:uid="{8BA05CBA-88F9-4D6D-ADAA-248BD5CA1613}"/>
    <cellStyle name="20% - Accent1 4 7" xfId="4512" xr:uid="{00000000-0005-0000-0000-00008D000000}"/>
    <cellStyle name="20% - Accent1 4 7 2" xfId="12951" xr:uid="{133DB4F3-F1CC-4064-BD9E-DD87AF61D522}"/>
    <cellStyle name="20% - Accent1 4 8" xfId="8733" xr:uid="{D33A00E8-04E2-44F7-B668-EA83165909A9}"/>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ADA304AF-ADD0-42A2-BF0C-9ED1BF1072EF}"/>
    <cellStyle name="20% - Accent1 5 2 3" xfId="11285" xr:uid="{B20203CA-6F80-4324-86C9-E527E9C89EF1}"/>
    <cellStyle name="20% - Accent1 5 3" xfId="4919" xr:uid="{00000000-0005-0000-0000-000091000000}"/>
    <cellStyle name="20% - Accent1 5 3 2" xfId="13358" xr:uid="{1C1B1091-7C1F-454D-9273-E07AD47F346B}"/>
    <cellStyle name="20% - Accent1 5 4" xfId="9140" xr:uid="{3304A0B9-9828-49DA-91E7-A92947EE1050}"/>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46844A55-6767-4429-81F6-589B2C99684D}"/>
    <cellStyle name="20% - Accent1 6 2 3" xfId="11698" xr:uid="{19863E87-5BC2-4C61-878A-E9446A6F8D64}"/>
    <cellStyle name="20% - Accent1 6 3" xfId="5332" xr:uid="{00000000-0005-0000-0000-000095000000}"/>
    <cellStyle name="20% - Accent1 6 3 2" xfId="13771" xr:uid="{4853908D-BC7A-4496-8B35-B8AAA273FD6E}"/>
    <cellStyle name="20% - Accent1 6 4" xfId="9553" xr:uid="{B6BF05A2-90BE-4D89-BF2A-A695CA4C1485}"/>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8884243E-F108-429D-B346-806920C51BD3}"/>
    <cellStyle name="20% - Accent1 7 2 3" xfId="12111" xr:uid="{A4E24305-EAFD-4D1F-947F-6B5D12B81C28}"/>
    <cellStyle name="20% - Accent1 7 3" xfId="5745" xr:uid="{00000000-0005-0000-0000-000099000000}"/>
    <cellStyle name="20% - Accent1 7 3 2" xfId="14184" xr:uid="{CB7AF48A-2D69-42B3-B0C4-020AB86322AC}"/>
    <cellStyle name="20% - Accent1 7 4" xfId="9966" xr:uid="{748F4134-3B14-4E57-80EA-FB5571DB939F}"/>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B6F44BB3-815A-4EDF-B35C-B1EF6A52A104}"/>
    <cellStyle name="20% - Accent1 8 2 3" xfId="12524" xr:uid="{4D8B44FA-95D5-4FAE-9E5F-5E9625C37424}"/>
    <cellStyle name="20% - Accent1 8 3" xfId="6158" xr:uid="{00000000-0005-0000-0000-00009D000000}"/>
    <cellStyle name="20% - Accent1 8 3 2" xfId="14597" xr:uid="{78AB027A-E119-4CDE-A481-1512B07C237B}"/>
    <cellStyle name="20% - Accent1 8 4" xfId="10379" xr:uid="{0FDC5C18-48FA-4A6A-A938-2FA2B5470487}"/>
    <cellStyle name="20% - Accent1 9" xfId="2264" xr:uid="{00000000-0005-0000-0000-00009E000000}"/>
    <cellStyle name="20% - Accent1 9 2" xfId="6571" xr:uid="{00000000-0005-0000-0000-00009F000000}"/>
    <cellStyle name="20% - Accent1 9 2 2" xfId="15010" xr:uid="{278C6164-6F0E-4D0C-BDF1-13F9E1ED3A7E}"/>
    <cellStyle name="20% - Accent1 9 3" xfId="10792" xr:uid="{C7C52805-AB3A-4D1C-B92A-071A1044C7D6}"/>
    <cellStyle name="20% - Accent2" xfId="9" builtinId="34" customBuiltin="1"/>
    <cellStyle name="20% - Accent2 10" xfId="4513" xr:uid="{00000000-0005-0000-0000-0000A1000000}"/>
    <cellStyle name="20% - Accent2 10 2" xfId="12952" xr:uid="{D7F43F68-9132-4A57-AFF4-1B6E34DAAD93}"/>
    <cellStyle name="20% - Accent2 11" xfId="8734" xr:uid="{A51085B2-4A5B-4BD5-B43B-ADAF52F004BA}"/>
    <cellStyle name="20% - Accent2 2" xfId="10" xr:uid="{00000000-0005-0000-0000-0000A2000000}"/>
    <cellStyle name="20% - Accent2 2 10" xfId="8735" xr:uid="{793B7D29-C596-44E5-AB08-9BFB5785B5B8}"/>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7F28CE35-92B6-4023-BDBE-7E418BA6B471}"/>
    <cellStyle name="20% - Accent2 2 2 2 2 2 3" xfId="11296" xr:uid="{E6596068-73AF-4455-943C-9E836EA5F5FE}"/>
    <cellStyle name="20% - Accent2 2 2 2 2 3" xfId="4930" xr:uid="{00000000-0005-0000-0000-0000A8000000}"/>
    <cellStyle name="20% - Accent2 2 2 2 2 3 2" xfId="13369" xr:uid="{5E0E140E-614F-49A4-87B2-21AAE9DFB04C}"/>
    <cellStyle name="20% - Accent2 2 2 2 2 4" xfId="9151" xr:uid="{E4D6B39E-A29E-4A59-A621-9D7D7CDD1643}"/>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824EBBA6-74F8-4D6E-A9BD-5AF1F290839A}"/>
    <cellStyle name="20% - Accent2 2 2 2 3 2 3" xfId="11709" xr:uid="{01BB4D59-40FE-4008-A5FB-8E9BE0EC120B}"/>
    <cellStyle name="20% - Accent2 2 2 2 3 3" xfId="5343" xr:uid="{00000000-0005-0000-0000-0000AC000000}"/>
    <cellStyle name="20% - Accent2 2 2 2 3 3 2" xfId="13782" xr:uid="{F0054480-CCE8-479B-A7E2-FF1ECE43A6F3}"/>
    <cellStyle name="20% - Accent2 2 2 2 3 4" xfId="9564" xr:uid="{91040884-B28F-4AB8-B472-B5C584B47914}"/>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53AD83F4-B212-4F89-8E07-6089AE8574C2}"/>
    <cellStyle name="20% - Accent2 2 2 2 4 2 3" xfId="12122" xr:uid="{F441EB75-7860-4F57-A8D0-185436F7B8D1}"/>
    <cellStyle name="20% - Accent2 2 2 2 4 3" xfId="5756" xr:uid="{00000000-0005-0000-0000-0000B0000000}"/>
    <cellStyle name="20% - Accent2 2 2 2 4 3 2" xfId="14195" xr:uid="{5CDDB00C-F0BB-4E19-B154-C3CED6D6BB8D}"/>
    <cellStyle name="20% - Accent2 2 2 2 4 4" xfId="9977" xr:uid="{3D8C21F1-42C1-4EB6-81CC-CF9523F6880E}"/>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E866816A-EFA5-4B8A-8DCE-463E53DE8539}"/>
    <cellStyle name="20% - Accent2 2 2 2 5 2 3" xfId="12535" xr:uid="{F082DA65-3511-4FC4-8AE9-26DEA8710BAD}"/>
    <cellStyle name="20% - Accent2 2 2 2 5 3" xfId="6169" xr:uid="{00000000-0005-0000-0000-0000B4000000}"/>
    <cellStyle name="20% - Accent2 2 2 2 5 3 2" xfId="14608" xr:uid="{130B0DBA-528F-430D-B7CC-71B67F33B347}"/>
    <cellStyle name="20% - Accent2 2 2 2 5 4" xfId="10390" xr:uid="{B79C804D-8DBF-4486-9839-6C0FFC641007}"/>
    <cellStyle name="20% - Accent2 2 2 2 6" xfId="2275" xr:uid="{00000000-0005-0000-0000-0000B5000000}"/>
    <cellStyle name="20% - Accent2 2 2 2 6 2" xfId="6582" xr:uid="{00000000-0005-0000-0000-0000B6000000}"/>
    <cellStyle name="20% - Accent2 2 2 2 6 2 2" xfId="15021" xr:uid="{8E00D1EE-0EC1-4621-A919-50962584213C}"/>
    <cellStyle name="20% - Accent2 2 2 2 6 3" xfId="10803" xr:uid="{BEECD773-1501-4A6D-A0DE-3CEB1733AFEC}"/>
    <cellStyle name="20% - Accent2 2 2 2 7" xfId="4516" xr:uid="{00000000-0005-0000-0000-0000B7000000}"/>
    <cellStyle name="20% - Accent2 2 2 2 7 2" xfId="12955" xr:uid="{739C2F83-335A-4089-8EE3-EB6906A1F3A5}"/>
    <cellStyle name="20% - Accent2 2 2 2 8" xfId="8737" xr:uid="{64A4D374-6085-4E25-A0B2-71665FB7C4ED}"/>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1224BFAC-3696-4699-B64D-F0CDA693AE3B}"/>
    <cellStyle name="20% - Accent2 2 2 3 2 3" xfId="11295" xr:uid="{135E3A5E-118C-45D7-B9BF-D11AED3EB0ED}"/>
    <cellStyle name="20% - Accent2 2 2 3 3" xfId="4929" xr:uid="{00000000-0005-0000-0000-0000BB000000}"/>
    <cellStyle name="20% - Accent2 2 2 3 3 2" xfId="13368" xr:uid="{E1A7565D-1DF7-4FF6-891D-AB886A5A6B8E}"/>
    <cellStyle name="20% - Accent2 2 2 3 4" xfId="9150" xr:uid="{80AE2E73-4C57-451B-9C23-BCC00B0D5514}"/>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43E0E353-3516-40C7-8342-386DE66E9E95}"/>
    <cellStyle name="20% - Accent2 2 2 4 2 3" xfId="11708" xr:uid="{77C1229C-1DA1-48B4-9084-5D1BCE407683}"/>
    <cellStyle name="20% - Accent2 2 2 4 3" xfId="5342" xr:uid="{00000000-0005-0000-0000-0000BF000000}"/>
    <cellStyle name="20% - Accent2 2 2 4 3 2" xfId="13781" xr:uid="{2132E95F-EADB-4927-B00E-951D0CED70EA}"/>
    <cellStyle name="20% - Accent2 2 2 4 4" xfId="9563" xr:uid="{46386904-C977-4127-9F18-12B099C2051C}"/>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0C1C65E3-74BD-4BAB-8861-0A17AD9C96D7}"/>
    <cellStyle name="20% - Accent2 2 2 5 2 3" xfId="12121" xr:uid="{35D6B839-97A5-44B7-8706-EAD8B07C470D}"/>
    <cellStyle name="20% - Accent2 2 2 5 3" xfId="5755" xr:uid="{00000000-0005-0000-0000-0000C3000000}"/>
    <cellStyle name="20% - Accent2 2 2 5 3 2" xfId="14194" xr:uid="{E532D694-2065-4C20-AC12-13C27B6093DE}"/>
    <cellStyle name="20% - Accent2 2 2 5 4" xfId="9976" xr:uid="{98947BD0-8529-4DB2-BC17-58C5F1A2FCF5}"/>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D1837634-0957-4C05-945B-A6BC2313EBC8}"/>
    <cellStyle name="20% - Accent2 2 2 6 2 3" xfId="12534" xr:uid="{9F8CF21C-F082-43E3-9DA4-04DEFF4AECE1}"/>
    <cellStyle name="20% - Accent2 2 2 6 3" xfId="6168" xr:uid="{00000000-0005-0000-0000-0000C7000000}"/>
    <cellStyle name="20% - Accent2 2 2 6 3 2" xfId="14607" xr:uid="{8F307154-407C-419F-AB5C-7E4F1B6FA44F}"/>
    <cellStyle name="20% - Accent2 2 2 6 4" xfId="10389" xr:uid="{38E8B2FC-9AB7-4B5E-8814-53E7EF7EF626}"/>
    <cellStyle name="20% - Accent2 2 2 7" xfId="2274" xr:uid="{00000000-0005-0000-0000-0000C8000000}"/>
    <cellStyle name="20% - Accent2 2 2 7 2" xfId="6581" xr:uid="{00000000-0005-0000-0000-0000C9000000}"/>
    <cellStyle name="20% - Accent2 2 2 7 2 2" xfId="15020" xr:uid="{BB28FB9B-983E-4A22-94DA-D1A5EBC557EE}"/>
    <cellStyle name="20% - Accent2 2 2 7 3" xfId="10802" xr:uid="{5883B040-86B6-4B42-AAAD-C60CEE12AD03}"/>
    <cellStyle name="20% - Accent2 2 2 8" xfId="4515" xr:uid="{00000000-0005-0000-0000-0000CA000000}"/>
    <cellStyle name="20% - Accent2 2 2 8 2" xfId="12954" xr:uid="{4A678FFB-8C61-48AD-BB60-0B0E37F7D6F2}"/>
    <cellStyle name="20% - Accent2 2 2 9" xfId="8736" xr:uid="{2EBEADC5-0B6D-4C2C-AE8A-9D176036BC67}"/>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BCB8FE18-9240-4DBE-92D7-122423B8E9EF}"/>
    <cellStyle name="20% - Accent2 2 3 2 2 3" xfId="11297" xr:uid="{85DB304E-137A-4DB0-9044-4E09BD531BC1}"/>
    <cellStyle name="20% - Accent2 2 3 2 3" xfId="4931" xr:uid="{00000000-0005-0000-0000-0000CF000000}"/>
    <cellStyle name="20% - Accent2 2 3 2 3 2" xfId="13370" xr:uid="{30832C76-4072-42A3-A96C-C73A2F54EDD0}"/>
    <cellStyle name="20% - Accent2 2 3 2 4" xfId="9152" xr:uid="{6DD0657B-1479-47F8-A724-8EE1737DAA37}"/>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B94A7404-A96F-46BD-9612-0A701A07299A}"/>
    <cellStyle name="20% - Accent2 2 3 3 2 3" xfId="11710" xr:uid="{01974B8E-6EDE-426A-8B80-5D7377939D7E}"/>
    <cellStyle name="20% - Accent2 2 3 3 3" xfId="5344" xr:uid="{00000000-0005-0000-0000-0000D3000000}"/>
    <cellStyle name="20% - Accent2 2 3 3 3 2" xfId="13783" xr:uid="{23ABB1A5-4009-4CE8-85EC-95B5135F0E94}"/>
    <cellStyle name="20% - Accent2 2 3 3 4" xfId="9565" xr:uid="{96FF44F8-73DA-4F7F-BA87-96CA0353F6E5}"/>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12CADE6C-44F0-41EA-B752-9E8E6C2E4E88}"/>
    <cellStyle name="20% - Accent2 2 3 4 2 3" xfId="12123" xr:uid="{D339B558-5BB8-4523-A812-6877ED3D4EC2}"/>
    <cellStyle name="20% - Accent2 2 3 4 3" xfId="5757" xr:uid="{00000000-0005-0000-0000-0000D7000000}"/>
    <cellStyle name="20% - Accent2 2 3 4 3 2" xfId="14196" xr:uid="{59A6DA36-C228-4975-BEB6-09680ACCCEF1}"/>
    <cellStyle name="20% - Accent2 2 3 4 4" xfId="9978" xr:uid="{640BEF88-3786-4C43-BD4D-8243257C8201}"/>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6A946CE2-8C38-46D3-8155-31A4A6CD24B0}"/>
    <cellStyle name="20% - Accent2 2 3 5 2 3" xfId="12536" xr:uid="{0397DB11-0A3D-4FE0-8E5B-8BE09D747C30}"/>
    <cellStyle name="20% - Accent2 2 3 5 3" xfId="6170" xr:uid="{00000000-0005-0000-0000-0000DB000000}"/>
    <cellStyle name="20% - Accent2 2 3 5 3 2" xfId="14609" xr:uid="{0D1A799D-0AD3-4C09-B5DB-3AA613921B5D}"/>
    <cellStyle name="20% - Accent2 2 3 5 4" xfId="10391" xr:uid="{E718A4A1-6C74-4784-A980-C782AD08312E}"/>
    <cellStyle name="20% - Accent2 2 3 6" xfId="2276" xr:uid="{00000000-0005-0000-0000-0000DC000000}"/>
    <cellStyle name="20% - Accent2 2 3 6 2" xfId="6583" xr:uid="{00000000-0005-0000-0000-0000DD000000}"/>
    <cellStyle name="20% - Accent2 2 3 6 2 2" xfId="15022" xr:uid="{15D6CBE8-F258-44AF-85AB-463E4BDA3137}"/>
    <cellStyle name="20% - Accent2 2 3 6 3" xfId="10804" xr:uid="{3AAF8DA9-7C26-49F0-A038-306928F1B95C}"/>
    <cellStyle name="20% - Accent2 2 3 7" xfId="4517" xr:uid="{00000000-0005-0000-0000-0000DE000000}"/>
    <cellStyle name="20% - Accent2 2 3 7 2" xfId="12956" xr:uid="{126FC25F-4695-4B7A-AF0F-9219717C641D}"/>
    <cellStyle name="20% - Accent2 2 3 8" xfId="8738" xr:uid="{7E3D7975-4064-4C55-A0C3-296A926830FE}"/>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EBF53D83-A35E-4B2B-8BFD-397A0CEAC151}"/>
    <cellStyle name="20% - Accent2 2 4 2 3" xfId="11294" xr:uid="{E5EA13CE-D9DA-45FE-A02A-2248E3C0A9F0}"/>
    <cellStyle name="20% - Accent2 2 4 3" xfId="4928" xr:uid="{00000000-0005-0000-0000-0000E2000000}"/>
    <cellStyle name="20% - Accent2 2 4 3 2" xfId="13367" xr:uid="{F0C96FDD-A675-4D0C-92D7-4BE2B033193A}"/>
    <cellStyle name="20% - Accent2 2 4 4" xfId="9149" xr:uid="{DEB1C8ED-5E21-487E-A8FD-80D93B33A460}"/>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14C59381-AE86-449B-87CC-7792079B18FB}"/>
    <cellStyle name="20% - Accent2 2 5 2 3" xfId="11707" xr:uid="{AAB96198-9C37-4040-A90B-E4021B61EF2C}"/>
    <cellStyle name="20% - Accent2 2 5 3" xfId="5341" xr:uid="{00000000-0005-0000-0000-0000E6000000}"/>
    <cellStyle name="20% - Accent2 2 5 3 2" xfId="13780" xr:uid="{47F5C9F9-9190-4E16-980F-B6F0E3F5D212}"/>
    <cellStyle name="20% - Accent2 2 5 4" xfId="9562" xr:uid="{AE34A02C-AE64-4D94-8178-4D0C0CFA33AA}"/>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4816A34A-47CC-4F3B-87E6-F155F398A1F0}"/>
    <cellStyle name="20% - Accent2 2 6 2 3" xfId="12120" xr:uid="{8613CD4B-9EE4-42D7-ABC8-4A5F3CC72A53}"/>
    <cellStyle name="20% - Accent2 2 6 3" xfId="5754" xr:uid="{00000000-0005-0000-0000-0000EA000000}"/>
    <cellStyle name="20% - Accent2 2 6 3 2" xfId="14193" xr:uid="{99869D12-A85B-4BF0-B627-B02337D3BCAB}"/>
    <cellStyle name="20% - Accent2 2 6 4" xfId="9975" xr:uid="{42549CDD-A148-4908-AC37-6231E6435750}"/>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D98269BF-41A5-45E8-8C11-0A1C0794C49E}"/>
    <cellStyle name="20% - Accent2 2 7 2 3" xfId="12533" xr:uid="{C8913055-0FA9-46E5-98B7-9329E8E6895D}"/>
    <cellStyle name="20% - Accent2 2 7 3" xfId="6167" xr:uid="{00000000-0005-0000-0000-0000EE000000}"/>
    <cellStyle name="20% - Accent2 2 7 3 2" xfId="14606" xr:uid="{9CA5693B-DE06-4EF4-A014-021F36ABB04A}"/>
    <cellStyle name="20% - Accent2 2 7 4" xfId="10388" xr:uid="{1339697A-A546-4927-952A-52F1A7DDB411}"/>
    <cellStyle name="20% - Accent2 2 8" xfId="2273" xr:uid="{00000000-0005-0000-0000-0000EF000000}"/>
    <cellStyle name="20% - Accent2 2 8 2" xfId="6580" xr:uid="{00000000-0005-0000-0000-0000F0000000}"/>
    <cellStyle name="20% - Accent2 2 8 2 2" xfId="15019" xr:uid="{FFD94E01-2362-46F4-970D-D22242AAC9ED}"/>
    <cellStyle name="20% - Accent2 2 8 3" xfId="10801" xr:uid="{4105E904-422B-4105-BCBB-140024A3244F}"/>
    <cellStyle name="20% - Accent2 2 9" xfId="4514" xr:uid="{00000000-0005-0000-0000-0000F1000000}"/>
    <cellStyle name="20% - Accent2 2 9 2" xfId="12953" xr:uid="{FFED57DF-7991-48AF-8194-DF8ED40C306F}"/>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167E2350-BBE7-4949-91F8-2E17BFD4C267}"/>
    <cellStyle name="20% - Accent2 3 2 2 2 3" xfId="11299" xr:uid="{C1B5EB7E-5D32-4E2A-9720-AF11302D6DF2}"/>
    <cellStyle name="20% - Accent2 3 2 2 3" xfId="4933" xr:uid="{00000000-0005-0000-0000-0000F7000000}"/>
    <cellStyle name="20% - Accent2 3 2 2 3 2" xfId="13372" xr:uid="{2EAC0349-072E-45D8-825E-EA19402012A2}"/>
    <cellStyle name="20% - Accent2 3 2 2 4" xfId="9154" xr:uid="{3BF3151D-B060-4883-ADB9-FB72C32EF19C}"/>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8972DB5F-4A62-491D-A4BE-D25239E03DB6}"/>
    <cellStyle name="20% - Accent2 3 2 3 2 3" xfId="11712" xr:uid="{05717CFE-E848-4824-90A9-8FF07E14A452}"/>
    <cellStyle name="20% - Accent2 3 2 3 3" xfId="5346" xr:uid="{00000000-0005-0000-0000-0000FB000000}"/>
    <cellStyle name="20% - Accent2 3 2 3 3 2" xfId="13785" xr:uid="{36DD7A1A-8F92-4EC8-BD56-6932964FFA39}"/>
    <cellStyle name="20% - Accent2 3 2 3 4" xfId="9567" xr:uid="{50A4A2C1-E995-4E26-AC39-197ECA3E251E}"/>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95AF2F10-5350-440B-8C1C-1F550962290D}"/>
    <cellStyle name="20% - Accent2 3 2 4 2 3" xfId="12125" xr:uid="{DBB931D8-A7BB-4859-8949-95E78CDFD897}"/>
    <cellStyle name="20% - Accent2 3 2 4 3" xfId="5759" xr:uid="{00000000-0005-0000-0000-0000FF000000}"/>
    <cellStyle name="20% - Accent2 3 2 4 3 2" xfId="14198" xr:uid="{81121D07-602F-4322-9B63-22EAE8FA1564}"/>
    <cellStyle name="20% - Accent2 3 2 4 4" xfId="9980" xr:uid="{D0861365-EB5F-4388-99FB-F6A738AC4CCD}"/>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A08EDE42-03EC-48EA-A70B-922497F9557D}"/>
    <cellStyle name="20% - Accent2 3 2 5 2 3" xfId="12538" xr:uid="{6CC17896-68FD-48BE-B399-07B0A2A549AD}"/>
    <cellStyle name="20% - Accent2 3 2 5 3" xfId="6172" xr:uid="{00000000-0005-0000-0000-000003010000}"/>
    <cellStyle name="20% - Accent2 3 2 5 3 2" xfId="14611" xr:uid="{4E8DD459-10F6-4221-93B7-9F7DB4877770}"/>
    <cellStyle name="20% - Accent2 3 2 5 4" xfId="10393" xr:uid="{691CDFF3-D3D6-4C3A-81C5-F5A66E40E67F}"/>
    <cellStyle name="20% - Accent2 3 2 6" xfId="2278" xr:uid="{00000000-0005-0000-0000-000004010000}"/>
    <cellStyle name="20% - Accent2 3 2 6 2" xfId="6585" xr:uid="{00000000-0005-0000-0000-000005010000}"/>
    <cellStyle name="20% - Accent2 3 2 6 2 2" xfId="15024" xr:uid="{5B6AE7F8-B3FA-4DAE-BCEB-BFDEC862736B}"/>
    <cellStyle name="20% - Accent2 3 2 6 3" xfId="10806" xr:uid="{52CD96AD-E945-4C42-8D21-0E0352A980C2}"/>
    <cellStyle name="20% - Accent2 3 2 7" xfId="4519" xr:uid="{00000000-0005-0000-0000-000006010000}"/>
    <cellStyle name="20% - Accent2 3 2 7 2" xfId="12958" xr:uid="{68B5ED7C-658A-4759-87D1-9D3BB2A57929}"/>
    <cellStyle name="20% - Accent2 3 2 8" xfId="8740" xr:uid="{6B0CCCE3-3DFA-482F-B9A8-4EB4E59DC9B2}"/>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8778A726-1570-444E-B0A0-FADC77ABF442}"/>
    <cellStyle name="20% - Accent2 3 3 2 3" xfId="11298" xr:uid="{5D1DE7C9-C860-4090-9C80-81C2C8F25853}"/>
    <cellStyle name="20% - Accent2 3 3 3" xfId="4932" xr:uid="{00000000-0005-0000-0000-00000A010000}"/>
    <cellStyle name="20% - Accent2 3 3 3 2" xfId="13371" xr:uid="{C9D01C1A-7A7B-4A6D-82CB-421DD9B0EB79}"/>
    <cellStyle name="20% - Accent2 3 3 4" xfId="9153" xr:uid="{59F75836-047B-4EBF-AF84-770EAD00FC99}"/>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9757565D-1198-465F-BF21-C65B38E9A7BC}"/>
    <cellStyle name="20% - Accent2 3 4 2 3" xfId="11711" xr:uid="{690B36FF-683D-4A8A-BC15-E5C50E812B0C}"/>
    <cellStyle name="20% - Accent2 3 4 3" xfId="5345" xr:uid="{00000000-0005-0000-0000-00000E010000}"/>
    <cellStyle name="20% - Accent2 3 4 3 2" xfId="13784" xr:uid="{080A4C54-F872-4365-9363-59B72E51133F}"/>
    <cellStyle name="20% - Accent2 3 4 4" xfId="9566" xr:uid="{1FB477A5-A375-4A25-A956-087B3604AF32}"/>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3EDE0305-E67B-4C67-93F9-0407DF56BDA1}"/>
    <cellStyle name="20% - Accent2 3 5 2 3" xfId="12124" xr:uid="{A1538F08-7B18-4BAB-9058-991DB9DBD1B2}"/>
    <cellStyle name="20% - Accent2 3 5 3" xfId="5758" xr:uid="{00000000-0005-0000-0000-000012010000}"/>
    <cellStyle name="20% - Accent2 3 5 3 2" xfId="14197" xr:uid="{C31FCB4B-646A-4063-9F92-3718EC7CD8A1}"/>
    <cellStyle name="20% - Accent2 3 5 4" xfId="9979" xr:uid="{401428F0-E785-43B2-B968-BAA1C7E2F859}"/>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0A0C66F0-98E3-48C3-80D3-3297CDBBACAC}"/>
    <cellStyle name="20% - Accent2 3 6 2 3" xfId="12537" xr:uid="{78AA5C03-EE1D-46D5-9A83-ED8584EC0291}"/>
    <cellStyle name="20% - Accent2 3 6 3" xfId="6171" xr:uid="{00000000-0005-0000-0000-000016010000}"/>
    <cellStyle name="20% - Accent2 3 6 3 2" xfId="14610" xr:uid="{E8E86002-E7CC-4589-946C-6D557FB199F4}"/>
    <cellStyle name="20% - Accent2 3 6 4" xfId="10392" xr:uid="{866B2BF0-26FE-4E7F-87C1-123F6F6789F7}"/>
    <cellStyle name="20% - Accent2 3 7" xfId="2277" xr:uid="{00000000-0005-0000-0000-000017010000}"/>
    <cellStyle name="20% - Accent2 3 7 2" xfId="6584" xr:uid="{00000000-0005-0000-0000-000018010000}"/>
    <cellStyle name="20% - Accent2 3 7 2 2" xfId="15023" xr:uid="{5EC4892E-7CBB-49FB-83F0-06E9F6056D03}"/>
    <cellStyle name="20% - Accent2 3 7 3" xfId="10805" xr:uid="{9BC99E66-BC63-489D-945C-E88254937A8E}"/>
    <cellStyle name="20% - Accent2 3 8" xfId="4518" xr:uid="{00000000-0005-0000-0000-000019010000}"/>
    <cellStyle name="20% - Accent2 3 8 2" xfId="12957" xr:uid="{0C573B54-C914-43C4-9CFD-520BBA284392}"/>
    <cellStyle name="20% - Accent2 3 9" xfId="8739" xr:uid="{F805C19B-E614-4781-AE52-CC740B54A19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669ED960-D956-4A39-928A-D55AB752B0BB}"/>
    <cellStyle name="20% - Accent2 4 2 2 3" xfId="11300" xr:uid="{B864AB62-44CE-467B-A8B4-ED28183372DA}"/>
    <cellStyle name="20% - Accent2 4 2 3" xfId="4934" xr:uid="{00000000-0005-0000-0000-00001E010000}"/>
    <cellStyle name="20% - Accent2 4 2 3 2" xfId="13373" xr:uid="{D5D5A218-0CE7-4224-A8FB-AE64156A33D2}"/>
    <cellStyle name="20% - Accent2 4 2 4" xfId="9155" xr:uid="{0CDA4ED4-2EAE-4DC9-AF83-B5472BB1D99E}"/>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1A8131A8-F274-49F7-8967-B49EE8579A6A}"/>
    <cellStyle name="20% - Accent2 4 3 2 3" xfId="11713" xr:uid="{5D79DB3E-88EC-4C92-8121-E98F84119963}"/>
    <cellStyle name="20% - Accent2 4 3 3" xfId="5347" xr:uid="{00000000-0005-0000-0000-000022010000}"/>
    <cellStyle name="20% - Accent2 4 3 3 2" xfId="13786" xr:uid="{FDC09BA3-7BC0-4D54-9635-7CB3406D298A}"/>
    <cellStyle name="20% - Accent2 4 3 4" xfId="9568" xr:uid="{7494B417-2B78-4634-B53A-FDFE8389B017}"/>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29D513A1-61D9-45E2-B402-CBB5B16BAB87}"/>
    <cellStyle name="20% - Accent2 4 4 2 3" xfId="12126" xr:uid="{474C742C-2668-4F3C-BBD7-D21EE189D41A}"/>
    <cellStyle name="20% - Accent2 4 4 3" xfId="5760" xr:uid="{00000000-0005-0000-0000-000026010000}"/>
    <cellStyle name="20% - Accent2 4 4 3 2" xfId="14199" xr:uid="{06006DF2-19C7-495C-9B75-E0BDB06FFEF5}"/>
    <cellStyle name="20% - Accent2 4 4 4" xfId="9981" xr:uid="{1619E499-1DFE-4D4F-BE1C-23165E78EBEA}"/>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7A460723-06A7-47E7-B146-8CEE551ADA2A}"/>
    <cellStyle name="20% - Accent2 4 5 2 3" xfId="12539" xr:uid="{C71DF05A-0592-4F60-81C1-FF053DEFB973}"/>
    <cellStyle name="20% - Accent2 4 5 3" xfId="6173" xr:uid="{00000000-0005-0000-0000-00002A010000}"/>
    <cellStyle name="20% - Accent2 4 5 3 2" xfId="14612" xr:uid="{C54CFD0D-172A-4EBA-9126-91C2E103AEDE}"/>
    <cellStyle name="20% - Accent2 4 5 4" xfId="10394" xr:uid="{8BF95DB1-6622-4595-8EC3-6A4EFFF3C15F}"/>
    <cellStyle name="20% - Accent2 4 6" xfId="2279" xr:uid="{00000000-0005-0000-0000-00002B010000}"/>
    <cellStyle name="20% - Accent2 4 6 2" xfId="6586" xr:uid="{00000000-0005-0000-0000-00002C010000}"/>
    <cellStyle name="20% - Accent2 4 6 2 2" xfId="15025" xr:uid="{5B31FF5A-05C1-4FB2-880D-5F2973AA7166}"/>
    <cellStyle name="20% - Accent2 4 6 3" xfId="10807" xr:uid="{B33376A8-CF30-41E5-BF1D-41BD9EDFA192}"/>
    <cellStyle name="20% - Accent2 4 7" xfId="4520" xr:uid="{00000000-0005-0000-0000-00002D010000}"/>
    <cellStyle name="20% - Accent2 4 7 2" xfId="12959" xr:uid="{156C4F2E-9111-4135-9BC2-FEAD8BD0B9EA}"/>
    <cellStyle name="20% - Accent2 4 8" xfId="8741" xr:uid="{AA208893-FBE9-4FF2-B417-6CD08BED310C}"/>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931F1C85-E18F-4C48-A870-48AA08C4DED9}"/>
    <cellStyle name="20% - Accent2 5 2 3" xfId="11293" xr:uid="{8CB64CE0-3CE3-4796-BAB3-EB850C8FE039}"/>
    <cellStyle name="20% - Accent2 5 3" xfId="4927" xr:uid="{00000000-0005-0000-0000-000031010000}"/>
    <cellStyle name="20% - Accent2 5 3 2" xfId="13366" xr:uid="{BBFE3F78-F110-4084-A1EC-029326AE2ECC}"/>
    <cellStyle name="20% - Accent2 5 4" xfId="9148" xr:uid="{41F243A7-7BB6-44C9-9213-0611467654CA}"/>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FB69B485-66A1-4660-BD1F-7AB2544314A8}"/>
    <cellStyle name="20% - Accent2 6 2 3" xfId="11706" xr:uid="{662E004F-01EA-4EDD-9607-5E9858222A04}"/>
    <cellStyle name="20% - Accent2 6 3" xfId="5340" xr:uid="{00000000-0005-0000-0000-000035010000}"/>
    <cellStyle name="20% - Accent2 6 3 2" xfId="13779" xr:uid="{035D5B7C-87AD-405F-8003-F88759CCE9AE}"/>
    <cellStyle name="20% - Accent2 6 4" xfId="9561" xr:uid="{FA3563F2-DCBF-43AB-B98D-7582C52E95E6}"/>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B5EA6C72-81AB-4E09-9FE5-165330777182}"/>
    <cellStyle name="20% - Accent2 7 2 3" xfId="12119" xr:uid="{65C7137F-91E2-4BD2-B2AD-978C4DC1422C}"/>
    <cellStyle name="20% - Accent2 7 3" xfId="5753" xr:uid="{00000000-0005-0000-0000-000039010000}"/>
    <cellStyle name="20% - Accent2 7 3 2" xfId="14192" xr:uid="{0E3BBD6C-CB0E-4019-A28E-EDDB82C8523C}"/>
    <cellStyle name="20% - Accent2 7 4" xfId="9974" xr:uid="{7A3F7E51-0010-448A-87B8-AF68250A2B07}"/>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B404F50C-3B3B-4B77-B2E8-28E2016918D6}"/>
    <cellStyle name="20% - Accent2 8 2 3" xfId="12532" xr:uid="{9D31A0A6-6598-4D5B-B484-FB3EB20AB10A}"/>
    <cellStyle name="20% - Accent2 8 3" xfId="6166" xr:uid="{00000000-0005-0000-0000-00003D010000}"/>
    <cellStyle name="20% - Accent2 8 3 2" xfId="14605" xr:uid="{EFDD3DEA-0E0B-47B9-B0A4-22FBB066676D}"/>
    <cellStyle name="20% - Accent2 8 4" xfId="10387" xr:uid="{FE3F631E-174D-41F3-8A72-EB33B908F8AD}"/>
    <cellStyle name="20% - Accent2 9" xfId="2272" xr:uid="{00000000-0005-0000-0000-00003E010000}"/>
    <cellStyle name="20% - Accent2 9 2" xfId="6579" xr:uid="{00000000-0005-0000-0000-00003F010000}"/>
    <cellStyle name="20% - Accent2 9 2 2" xfId="15018" xr:uid="{75AB1FCA-3A17-49C3-96A2-5A0D026CC058}"/>
    <cellStyle name="20% - Accent2 9 3" xfId="10800" xr:uid="{A2F1C7E4-3B5D-421A-AF73-0FAF1DBA2CC8}"/>
    <cellStyle name="20% - Accent3" xfId="17" builtinId="38" customBuiltin="1"/>
    <cellStyle name="20% - Accent3 10" xfId="4521" xr:uid="{00000000-0005-0000-0000-000041010000}"/>
    <cellStyle name="20% - Accent3 10 2" xfId="12960" xr:uid="{EEECFD86-FACB-4906-B74C-A3649EF5C745}"/>
    <cellStyle name="20% - Accent3 11" xfId="8742" xr:uid="{53427C86-3D51-43EA-B368-CB4B295A47DE}"/>
    <cellStyle name="20% - Accent3 2" xfId="18" xr:uid="{00000000-0005-0000-0000-000042010000}"/>
    <cellStyle name="20% - Accent3 2 10" xfId="8743" xr:uid="{DAF6F0A5-4229-4879-985C-4B3612457D4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086CEBA9-87B6-47D0-AA00-5C7718E17C9D}"/>
    <cellStyle name="20% - Accent3 2 2 2 2 2 3" xfId="11304" xr:uid="{EEA2FB68-7984-49E5-AA59-27FED1CB347B}"/>
    <cellStyle name="20% - Accent3 2 2 2 2 3" xfId="4938" xr:uid="{00000000-0005-0000-0000-000048010000}"/>
    <cellStyle name="20% - Accent3 2 2 2 2 3 2" xfId="13377" xr:uid="{A52BE74F-AA90-44FD-9FC4-A6171769DFCB}"/>
    <cellStyle name="20% - Accent3 2 2 2 2 4" xfId="9159" xr:uid="{28CD5AFB-911A-4C28-953D-CD2E4169846C}"/>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92EB65D3-B094-4061-A4D0-0A18BAA8F7D1}"/>
    <cellStyle name="20% - Accent3 2 2 2 3 2 3" xfId="11717" xr:uid="{D328EB7A-182E-471C-9C29-F1F8E3EF4E14}"/>
    <cellStyle name="20% - Accent3 2 2 2 3 3" xfId="5351" xr:uid="{00000000-0005-0000-0000-00004C010000}"/>
    <cellStyle name="20% - Accent3 2 2 2 3 3 2" xfId="13790" xr:uid="{A39C326D-6755-41E4-B009-9573A2047034}"/>
    <cellStyle name="20% - Accent3 2 2 2 3 4" xfId="9572" xr:uid="{E4F89D7A-805D-4132-9877-561FA861A904}"/>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FBE8ED37-3201-4366-A5C7-9B2734C109F2}"/>
    <cellStyle name="20% - Accent3 2 2 2 4 2 3" xfId="12130" xr:uid="{DD86F2B3-8099-4492-9115-FBCFC28FB6AF}"/>
    <cellStyle name="20% - Accent3 2 2 2 4 3" xfId="5764" xr:uid="{00000000-0005-0000-0000-000050010000}"/>
    <cellStyle name="20% - Accent3 2 2 2 4 3 2" xfId="14203" xr:uid="{C24A46AC-7FAF-42DE-A51D-B813CA9ACD40}"/>
    <cellStyle name="20% - Accent3 2 2 2 4 4" xfId="9985" xr:uid="{9141DB76-ED07-4961-AC3F-5822BF3C7E8D}"/>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745DA0B2-3A65-40A1-97BF-4FEEDAFC9C96}"/>
    <cellStyle name="20% - Accent3 2 2 2 5 2 3" xfId="12543" xr:uid="{ACAAFFE2-FC10-49FC-A114-2422FC3C005B}"/>
    <cellStyle name="20% - Accent3 2 2 2 5 3" xfId="6177" xr:uid="{00000000-0005-0000-0000-000054010000}"/>
    <cellStyle name="20% - Accent3 2 2 2 5 3 2" xfId="14616" xr:uid="{C3F0A997-8347-4A60-9F85-DE427F51A316}"/>
    <cellStyle name="20% - Accent3 2 2 2 5 4" xfId="10398" xr:uid="{A89D0ADA-B45D-41C1-8F88-E48A5FBAFEC9}"/>
    <cellStyle name="20% - Accent3 2 2 2 6" xfId="2283" xr:uid="{00000000-0005-0000-0000-000055010000}"/>
    <cellStyle name="20% - Accent3 2 2 2 6 2" xfId="6590" xr:uid="{00000000-0005-0000-0000-000056010000}"/>
    <cellStyle name="20% - Accent3 2 2 2 6 2 2" xfId="15029" xr:uid="{247CF7C1-58F4-459D-90C3-742691BDE5F1}"/>
    <cellStyle name="20% - Accent3 2 2 2 6 3" xfId="10811" xr:uid="{C3D25519-0C0F-4599-9850-1CFBA44B2FCE}"/>
    <cellStyle name="20% - Accent3 2 2 2 7" xfId="4524" xr:uid="{00000000-0005-0000-0000-000057010000}"/>
    <cellStyle name="20% - Accent3 2 2 2 7 2" xfId="12963" xr:uid="{6D4E78E9-E32B-4690-8AFE-8CBBDCB990FA}"/>
    <cellStyle name="20% - Accent3 2 2 2 8" xfId="8745" xr:uid="{1EA2360C-C64C-45CC-BD2D-DD55BEFD9C9C}"/>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498117CE-7F53-430C-9F4D-DF37CB8917EB}"/>
    <cellStyle name="20% - Accent3 2 2 3 2 3" xfId="11303" xr:uid="{5B0D941E-89E0-4B69-9442-C893A6CE9D4D}"/>
    <cellStyle name="20% - Accent3 2 2 3 3" xfId="4937" xr:uid="{00000000-0005-0000-0000-00005B010000}"/>
    <cellStyle name="20% - Accent3 2 2 3 3 2" xfId="13376" xr:uid="{45B66D9E-1D1C-45A4-81BF-5E4A715EC0C5}"/>
    <cellStyle name="20% - Accent3 2 2 3 4" xfId="9158" xr:uid="{7A0A0E5F-7DE2-4B34-B384-59A108FACBA3}"/>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D5F9CD1B-BF95-42AF-B3A1-45530F16DF7D}"/>
    <cellStyle name="20% - Accent3 2 2 4 2 3" xfId="11716" xr:uid="{D17CE5C3-642D-48EC-97EE-9B8CD0A8074C}"/>
    <cellStyle name="20% - Accent3 2 2 4 3" xfId="5350" xr:uid="{00000000-0005-0000-0000-00005F010000}"/>
    <cellStyle name="20% - Accent3 2 2 4 3 2" xfId="13789" xr:uid="{13D78D05-C08B-4385-8472-DAF67AD5DDD2}"/>
    <cellStyle name="20% - Accent3 2 2 4 4" xfId="9571" xr:uid="{69020AAB-3714-4632-ADCC-606ACC78AC93}"/>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3676E807-A506-4452-8CA1-CE9C413EED45}"/>
    <cellStyle name="20% - Accent3 2 2 5 2 3" xfId="12129" xr:uid="{A944B372-98D4-41F1-88B3-7EAFFD2D6BA4}"/>
    <cellStyle name="20% - Accent3 2 2 5 3" xfId="5763" xr:uid="{00000000-0005-0000-0000-000063010000}"/>
    <cellStyle name="20% - Accent3 2 2 5 3 2" xfId="14202" xr:uid="{69E492BF-DAEE-4DDA-A45C-B063C9023A08}"/>
    <cellStyle name="20% - Accent3 2 2 5 4" xfId="9984" xr:uid="{C9CD30F1-6E06-4AC0-97CF-DC20A8BF7E00}"/>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EB95659C-B56D-4CAD-8832-B23ED6D20F25}"/>
    <cellStyle name="20% - Accent3 2 2 6 2 3" xfId="12542" xr:uid="{B5A6C08F-3622-4FC8-A338-33E81DDADC39}"/>
    <cellStyle name="20% - Accent3 2 2 6 3" xfId="6176" xr:uid="{00000000-0005-0000-0000-000067010000}"/>
    <cellStyle name="20% - Accent3 2 2 6 3 2" xfId="14615" xr:uid="{860C5FD0-A2CC-4FF2-B094-42AAD1FDBB86}"/>
    <cellStyle name="20% - Accent3 2 2 6 4" xfId="10397" xr:uid="{F64534B4-01E4-41A8-95E7-ED303B203BB3}"/>
    <cellStyle name="20% - Accent3 2 2 7" xfId="2282" xr:uid="{00000000-0005-0000-0000-000068010000}"/>
    <cellStyle name="20% - Accent3 2 2 7 2" xfId="6589" xr:uid="{00000000-0005-0000-0000-000069010000}"/>
    <cellStyle name="20% - Accent3 2 2 7 2 2" xfId="15028" xr:uid="{F52A41A2-1AA8-4955-AF16-7E86D84BF243}"/>
    <cellStyle name="20% - Accent3 2 2 7 3" xfId="10810" xr:uid="{CE0B37A4-985F-48E4-BF4F-B5F24DF419CA}"/>
    <cellStyle name="20% - Accent3 2 2 8" xfId="4523" xr:uid="{00000000-0005-0000-0000-00006A010000}"/>
    <cellStyle name="20% - Accent3 2 2 8 2" xfId="12962" xr:uid="{54A69CF8-38B3-47E3-B9C3-DD5045B05D3E}"/>
    <cellStyle name="20% - Accent3 2 2 9" xfId="8744" xr:uid="{90771810-2AE5-472B-958E-3E636B712A2B}"/>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5EF73785-C641-4950-91A7-F0347D80D744}"/>
    <cellStyle name="20% - Accent3 2 3 2 2 3" xfId="11305" xr:uid="{612E255B-5C05-4AC6-99A7-28FE5DF5B1E6}"/>
    <cellStyle name="20% - Accent3 2 3 2 3" xfId="4939" xr:uid="{00000000-0005-0000-0000-00006F010000}"/>
    <cellStyle name="20% - Accent3 2 3 2 3 2" xfId="13378" xr:uid="{2F91AFEC-F3A8-4E7A-BD2C-3E1C3EA587ED}"/>
    <cellStyle name="20% - Accent3 2 3 2 4" xfId="9160" xr:uid="{E27B812D-882F-4F6C-BE6B-A805089423F5}"/>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8E2564FB-8F99-49E0-BB52-7ECF5A333FA3}"/>
    <cellStyle name="20% - Accent3 2 3 3 2 3" xfId="11718" xr:uid="{D4BDD43D-D9B1-4D50-ADFC-80EB5BD4C14F}"/>
    <cellStyle name="20% - Accent3 2 3 3 3" xfId="5352" xr:uid="{00000000-0005-0000-0000-000073010000}"/>
    <cellStyle name="20% - Accent3 2 3 3 3 2" xfId="13791" xr:uid="{2882450A-67D7-4489-8C14-38E40A8FBC42}"/>
    <cellStyle name="20% - Accent3 2 3 3 4" xfId="9573" xr:uid="{56803515-CF05-46F5-AB59-53C951906CBF}"/>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D9E73400-4708-47C5-87BD-00641CEB4F27}"/>
    <cellStyle name="20% - Accent3 2 3 4 2 3" xfId="12131" xr:uid="{CA24EAC8-D252-41B1-A251-3580295A25FE}"/>
    <cellStyle name="20% - Accent3 2 3 4 3" xfId="5765" xr:uid="{00000000-0005-0000-0000-000077010000}"/>
    <cellStyle name="20% - Accent3 2 3 4 3 2" xfId="14204" xr:uid="{ECA477A1-821C-4105-9E13-49F20CE1EEAF}"/>
    <cellStyle name="20% - Accent3 2 3 4 4" xfId="9986" xr:uid="{08209449-37AF-482B-B771-B5F403FC4B9E}"/>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D23A5A3E-A9B5-49B5-8758-734801A87B2D}"/>
    <cellStyle name="20% - Accent3 2 3 5 2 3" xfId="12544" xr:uid="{D4BBDD1A-3409-4853-B0A3-87658A9A3A97}"/>
    <cellStyle name="20% - Accent3 2 3 5 3" xfId="6178" xr:uid="{00000000-0005-0000-0000-00007B010000}"/>
    <cellStyle name="20% - Accent3 2 3 5 3 2" xfId="14617" xr:uid="{21FCCF44-9261-469E-9979-B063C2AE9289}"/>
    <cellStyle name="20% - Accent3 2 3 5 4" xfId="10399" xr:uid="{2ED92F62-FE25-4D48-A240-04CA464A2B8F}"/>
    <cellStyle name="20% - Accent3 2 3 6" xfId="2284" xr:uid="{00000000-0005-0000-0000-00007C010000}"/>
    <cellStyle name="20% - Accent3 2 3 6 2" xfId="6591" xr:uid="{00000000-0005-0000-0000-00007D010000}"/>
    <cellStyle name="20% - Accent3 2 3 6 2 2" xfId="15030" xr:uid="{587BDE6C-22A3-42FE-A572-9050A720E925}"/>
    <cellStyle name="20% - Accent3 2 3 6 3" xfId="10812" xr:uid="{CB4B78F5-1954-4827-ABBB-9937981A57D7}"/>
    <cellStyle name="20% - Accent3 2 3 7" xfId="4525" xr:uid="{00000000-0005-0000-0000-00007E010000}"/>
    <cellStyle name="20% - Accent3 2 3 7 2" xfId="12964" xr:uid="{26208C51-501A-43DE-97BD-C9CF9AAD7983}"/>
    <cellStyle name="20% - Accent3 2 3 8" xfId="8746" xr:uid="{842447D4-EED6-46FE-92AF-6CF424DFC084}"/>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C372DAA5-48D2-4CEB-96F1-DB33FF31F640}"/>
    <cellStyle name="20% - Accent3 2 4 2 3" xfId="11302" xr:uid="{7354DD3B-F777-474C-83D2-697C511131AD}"/>
    <cellStyle name="20% - Accent3 2 4 3" xfId="4936" xr:uid="{00000000-0005-0000-0000-000082010000}"/>
    <cellStyle name="20% - Accent3 2 4 3 2" xfId="13375" xr:uid="{B0D097AB-8A17-45AE-8166-62C798255797}"/>
    <cellStyle name="20% - Accent3 2 4 4" xfId="9157" xr:uid="{6EBF9872-1AD9-40B1-A530-5561B0F35C66}"/>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CAE9B62E-E407-4153-87D7-29D5024A5223}"/>
    <cellStyle name="20% - Accent3 2 5 2 3" xfId="11715" xr:uid="{A4B232ED-3A6B-463C-B3FD-6A4E8B70D9AE}"/>
    <cellStyle name="20% - Accent3 2 5 3" xfId="5349" xr:uid="{00000000-0005-0000-0000-000086010000}"/>
    <cellStyle name="20% - Accent3 2 5 3 2" xfId="13788" xr:uid="{3E200C27-7543-4863-93D9-CB849EF3A732}"/>
    <cellStyle name="20% - Accent3 2 5 4" xfId="9570" xr:uid="{470CEA2E-0E66-4870-92C0-D636CF039EE8}"/>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8D24B8C9-16B6-4C9D-9288-1AEA70162858}"/>
    <cellStyle name="20% - Accent3 2 6 2 3" xfId="12128" xr:uid="{6B5201BF-6438-421C-B6B0-081EE8DB83D5}"/>
    <cellStyle name="20% - Accent3 2 6 3" xfId="5762" xr:uid="{00000000-0005-0000-0000-00008A010000}"/>
    <cellStyle name="20% - Accent3 2 6 3 2" xfId="14201" xr:uid="{C0D451EB-2373-42A6-B660-8F60FE02CCB3}"/>
    <cellStyle name="20% - Accent3 2 6 4" xfId="9983" xr:uid="{0DF11DC4-93D5-4053-9986-A0A9E47E298F}"/>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7E6BE792-A696-4663-A14F-3FA970E0AAEB}"/>
    <cellStyle name="20% - Accent3 2 7 2 3" xfId="12541" xr:uid="{FF18FDBE-84FF-4732-976C-4CB84803062E}"/>
    <cellStyle name="20% - Accent3 2 7 3" xfId="6175" xr:uid="{00000000-0005-0000-0000-00008E010000}"/>
    <cellStyle name="20% - Accent3 2 7 3 2" xfId="14614" xr:uid="{8D1AEE62-2916-48F4-B718-3E55F5741284}"/>
    <cellStyle name="20% - Accent3 2 7 4" xfId="10396" xr:uid="{85B36F55-0BE7-4C04-9B06-45A0529911D8}"/>
    <cellStyle name="20% - Accent3 2 8" xfId="2281" xr:uid="{00000000-0005-0000-0000-00008F010000}"/>
    <cellStyle name="20% - Accent3 2 8 2" xfId="6588" xr:uid="{00000000-0005-0000-0000-000090010000}"/>
    <cellStyle name="20% - Accent3 2 8 2 2" xfId="15027" xr:uid="{DDBB567B-84B2-4EDF-B650-0C1FEC0C6EC4}"/>
    <cellStyle name="20% - Accent3 2 8 3" xfId="10809" xr:uid="{E70729EE-D0E7-4EF2-95B1-9A5ACAD5251F}"/>
    <cellStyle name="20% - Accent3 2 9" xfId="4522" xr:uid="{00000000-0005-0000-0000-000091010000}"/>
    <cellStyle name="20% - Accent3 2 9 2" xfId="12961" xr:uid="{D5F58EF6-3DFC-412F-9F57-7FE895A2930D}"/>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46EFFDB6-B8CD-4A77-A6FD-5167C55A1A6A}"/>
    <cellStyle name="20% - Accent3 3 2 2 2 3" xfId="11307" xr:uid="{05539231-BDC4-41FF-94BE-A00A51CBF9FB}"/>
    <cellStyle name="20% - Accent3 3 2 2 3" xfId="4941" xr:uid="{00000000-0005-0000-0000-000097010000}"/>
    <cellStyle name="20% - Accent3 3 2 2 3 2" xfId="13380" xr:uid="{AFDB0696-F819-49E2-A378-FBFCDA157EC2}"/>
    <cellStyle name="20% - Accent3 3 2 2 4" xfId="9162" xr:uid="{743762EC-7035-4640-AB4A-A8E17F07B367}"/>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6F6AE0F4-9A89-4C96-9FF2-8705331212F9}"/>
    <cellStyle name="20% - Accent3 3 2 3 2 3" xfId="11720" xr:uid="{E74F43BF-39B7-4EFD-A7B5-73489F4D9262}"/>
    <cellStyle name="20% - Accent3 3 2 3 3" xfId="5354" xr:uid="{00000000-0005-0000-0000-00009B010000}"/>
    <cellStyle name="20% - Accent3 3 2 3 3 2" xfId="13793" xr:uid="{C9A4DE7D-6E0D-47C4-8D1C-8014E1110E5A}"/>
    <cellStyle name="20% - Accent3 3 2 3 4" xfId="9575" xr:uid="{64C90B4B-A4FC-4415-AE5F-0926448FDC12}"/>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1A6BAB44-58C6-4322-83DC-2BAB16F8541B}"/>
    <cellStyle name="20% - Accent3 3 2 4 2 3" xfId="12133" xr:uid="{97A9FC3B-F26E-41FA-9D13-D09E89FBA9EC}"/>
    <cellStyle name="20% - Accent3 3 2 4 3" xfId="5767" xr:uid="{00000000-0005-0000-0000-00009F010000}"/>
    <cellStyle name="20% - Accent3 3 2 4 3 2" xfId="14206" xr:uid="{823A314E-90FA-43F5-BC3A-F061F03F93F8}"/>
    <cellStyle name="20% - Accent3 3 2 4 4" xfId="9988" xr:uid="{CAA74FC7-02D6-41EA-9D6F-05936A40E90D}"/>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2DB22F17-0D7D-4509-B96E-660DC8ABA998}"/>
    <cellStyle name="20% - Accent3 3 2 5 2 3" xfId="12546" xr:uid="{1ABE1894-EA2D-4C0E-ACAA-62A4C1D130F6}"/>
    <cellStyle name="20% - Accent3 3 2 5 3" xfId="6180" xr:uid="{00000000-0005-0000-0000-0000A3010000}"/>
    <cellStyle name="20% - Accent3 3 2 5 3 2" xfId="14619" xr:uid="{2CB9A2AD-5E5B-4649-BDAF-FE13E03F8AD1}"/>
    <cellStyle name="20% - Accent3 3 2 5 4" xfId="10401" xr:uid="{44D2DEF9-B840-4773-9401-F583C2180F53}"/>
    <cellStyle name="20% - Accent3 3 2 6" xfId="2286" xr:uid="{00000000-0005-0000-0000-0000A4010000}"/>
    <cellStyle name="20% - Accent3 3 2 6 2" xfId="6593" xr:uid="{00000000-0005-0000-0000-0000A5010000}"/>
    <cellStyle name="20% - Accent3 3 2 6 2 2" xfId="15032" xr:uid="{3F442679-22B2-4ECC-AC7F-2CC3CAC05809}"/>
    <cellStyle name="20% - Accent3 3 2 6 3" xfId="10814" xr:uid="{F4E6AC72-5D7A-4185-86C9-E3B749C11A23}"/>
    <cellStyle name="20% - Accent3 3 2 7" xfId="4527" xr:uid="{00000000-0005-0000-0000-0000A6010000}"/>
    <cellStyle name="20% - Accent3 3 2 7 2" xfId="12966" xr:uid="{03BC9F05-8068-46A4-9CC1-90F0CFD2C17E}"/>
    <cellStyle name="20% - Accent3 3 2 8" xfId="8748" xr:uid="{CD279559-FAC3-4334-81ED-A4358CD7725B}"/>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E283CBBF-FDB7-41DB-A090-72302696847A}"/>
    <cellStyle name="20% - Accent3 3 3 2 3" xfId="11306" xr:uid="{C239D540-E8E0-453D-BC2A-B1D5FCED2C45}"/>
    <cellStyle name="20% - Accent3 3 3 3" xfId="4940" xr:uid="{00000000-0005-0000-0000-0000AA010000}"/>
    <cellStyle name="20% - Accent3 3 3 3 2" xfId="13379" xr:uid="{7D610D1F-4A47-4B1E-9EC6-913F00EEAD3C}"/>
    <cellStyle name="20% - Accent3 3 3 4" xfId="9161" xr:uid="{D4170B8A-6661-4F8A-9366-6E7D776D2793}"/>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E9AFDFCE-AFCD-4F3D-BBE0-8E466B4D814E}"/>
    <cellStyle name="20% - Accent3 3 4 2 3" xfId="11719" xr:uid="{2610C4B7-9E67-4E6C-9BE4-7FC7597546E2}"/>
    <cellStyle name="20% - Accent3 3 4 3" xfId="5353" xr:uid="{00000000-0005-0000-0000-0000AE010000}"/>
    <cellStyle name="20% - Accent3 3 4 3 2" xfId="13792" xr:uid="{4C8A045F-0E8F-4CB2-88CB-FEE45885CDED}"/>
    <cellStyle name="20% - Accent3 3 4 4" xfId="9574" xr:uid="{DCA60235-3F40-4E1D-B1C8-B9089E580414}"/>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9639006B-31B1-4E78-BCFC-6081C99AE954}"/>
    <cellStyle name="20% - Accent3 3 5 2 3" xfId="12132" xr:uid="{69F62840-0CC2-441E-A719-813A29DB7663}"/>
    <cellStyle name="20% - Accent3 3 5 3" xfId="5766" xr:uid="{00000000-0005-0000-0000-0000B2010000}"/>
    <cellStyle name="20% - Accent3 3 5 3 2" xfId="14205" xr:uid="{171656F3-EDDE-4AE7-BEC5-CAEEB4914C99}"/>
    <cellStyle name="20% - Accent3 3 5 4" xfId="9987" xr:uid="{C9E83BBB-F167-4D16-91EB-CBEC55C378F7}"/>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C89F7030-F3DE-4199-BB40-282350B4B63C}"/>
    <cellStyle name="20% - Accent3 3 6 2 3" xfId="12545" xr:uid="{8E35D6BC-35B7-4818-8301-5DE32DF13992}"/>
    <cellStyle name="20% - Accent3 3 6 3" xfId="6179" xr:uid="{00000000-0005-0000-0000-0000B6010000}"/>
    <cellStyle name="20% - Accent3 3 6 3 2" xfId="14618" xr:uid="{CB55DB55-FC0C-4C62-BAA1-A42F328ABBD9}"/>
    <cellStyle name="20% - Accent3 3 6 4" xfId="10400" xr:uid="{7DF8BF27-C7FD-4235-8D7A-98AE35338310}"/>
    <cellStyle name="20% - Accent3 3 7" xfId="2285" xr:uid="{00000000-0005-0000-0000-0000B7010000}"/>
    <cellStyle name="20% - Accent3 3 7 2" xfId="6592" xr:uid="{00000000-0005-0000-0000-0000B8010000}"/>
    <cellStyle name="20% - Accent3 3 7 2 2" xfId="15031" xr:uid="{AADA437E-2EB7-48A5-98E1-96AAE394715C}"/>
    <cellStyle name="20% - Accent3 3 7 3" xfId="10813" xr:uid="{65305778-BCCD-40AC-A6D7-0C699A5444F9}"/>
    <cellStyle name="20% - Accent3 3 8" xfId="4526" xr:uid="{00000000-0005-0000-0000-0000B9010000}"/>
    <cellStyle name="20% - Accent3 3 8 2" xfId="12965" xr:uid="{260C6F61-690C-4A6E-AC14-AD6102C55FBE}"/>
    <cellStyle name="20% - Accent3 3 9" xfId="8747" xr:uid="{BFA9A8B0-7CD9-4892-B4B6-61731034C443}"/>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2F8FC2C2-0631-4ECC-936A-C89E8564B2DD}"/>
    <cellStyle name="20% - Accent3 4 2 2 3" xfId="11308" xr:uid="{50D6A9A2-669E-401B-BE24-B3A3554E8F2D}"/>
    <cellStyle name="20% - Accent3 4 2 3" xfId="4942" xr:uid="{00000000-0005-0000-0000-0000BE010000}"/>
    <cellStyle name="20% - Accent3 4 2 3 2" xfId="13381" xr:uid="{2506EA1B-8A1A-4F62-9F30-EDD6CB8EF701}"/>
    <cellStyle name="20% - Accent3 4 2 4" xfId="9163" xr:uid="{426A7084-853D-4DC5-965E-B5EB72D787A7}"/>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7E9BA3E7-FB26-4C54-91EE-B859A1431611}"/>
    <cellStyle name="20% - Accent3 4 3 2 3" xfId="11721" xr:uid="{D3D94CF7-9927-44E5-8807-E493E5B8A5FF}"/>
    <cellStyle name="20% - Accent3 4 3 3" xfId="5355" xr:uid="{00000000-0005-0000-0000-0000C2010000}"/>
    <cellStyle name="20% - Accent3 4 3 3 2" xfId="13794" xr:uid="{27D99294-7E07-4B45-93CE-1DD7B406D51D}"/>
    <cellStyle name="20% - Accent3 4 3 4" xfId="9576" xr:uid="{D5F2440A-7199-463C-899E-117042E0F0E5}"/>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5C34F2AA-477F-496F-9BFB-C2AD62CC338E}"/>
    <cellStyle name="20% - Accent3 4 4 2 3" xfId="12134" xr:uid="{37460F0C-DB9E-4E76-9E7B-638F33656A9E}"/>
    <cellStyle name="20% - Accent3 4 4 3" xfId="5768" xr:uid="{00000000-0005-0000-0000-0000C6010000}"/>
    <cellStyle name="20% - Accent3 4 4 3 2" xfId="14207" xr:uid="{86236CD1-8AE0-4807-B442-0CB57F9258DC}"/>
    <cellStyle name="20% - Accent3 4 4 4" xfId="9989" xr:uid="{8B55816A-1E35-4EF4-8AC0-D7A0B9F2B40D}"/>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3753FD1D-BEF9-46BD-BC80-AB87118242EC}"/>
    <cellStyle name="20% - Accent3 4 5 2 3" xfId="12547" xr:uid="{7725515D-784A-496B-80CC-A9C9C1A5FEC3}"/>
    <cellStyle name="20% - Accent3 4 5 3" xfId="6181" xr:uid="{00000000-0005-0000-0000-0000CA010000}"/>
    <cellStyle name="20% - Accent3 4 5 3 2" xfId="14620" xr:uid="{0C303C3C-4EAE-468D-9176-6237A431E438}"/>
    <cellStyle name="20% - Accent3 4 5 4" xfId="10402" xr:uid="{C3A6DECD-FB42-49F9-9909-FDEFD24BE0DC}"/>
    <cellStyle name="20% - Accent3 4 6" xfId="2287" xr:uid="{00000000-0005-0000-0000-0000CB010000}"/>
    <cellStyle name="20% - Accent3 4 6 2" xfId="6594" xr:uid="{00000000-0005-0000-0000-0000CC010000}"/>
    <cellStyle name="20% - Accent3 4 6 2 2" xfId="15033" xr:uid="{6F1BCC58-CC76-49E3-9488-8CFE7413661A}"/>
    <cellStyle name="20% - Accent3 4 6 3" xfId="10815" xr:uid="{2EC9E355-CD64-48F3-846C-F84B33A44BFE}"/>
    <cellStyle name="20% - Accent3 4 7" xfId="4528" xr:uid="{00000000-0005-0000-0000-0000CD010000}"/>
    <cellStyle name="20% - Accent3 4 7 2" xfId="12967" xr:uid="{5110EF1C-CD3D-4D42-8C7D-89A80DBD7391}"/>
    <cellStyle name="20% - Accent3 4 8" xfId="8749" xr:uid="{D806955F-E2A7-4C52-BFC0-E190CB1B471C}"/>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719B7765-5C0D-4135-B625-0F49BA82527B}"/>
    <cellStyle name="20% - Accent3 5 2 3" xfId="11301" xr:uid="{7E85B2A1-7AA4-491A-9F02-5B13F0F0AEAE}"/>
    <cellStyle name="20% - Accent3 5 3" xfId="4935" xr:uid="{00000000-0005-0000-0000-0000D1010000}"/>
    <cellStyle name="20% - Accent3 5 3 2" xfId="13374" xr:uid="{26CAC290-FEDF-4C81-9344-7432BD0E0E79}"/>
    <cellStyle name="20% - Accent3 5 4" xfId="9156" xr:uid="{298BEE9A-0819-4AFC-906D-0CA3C8000124}"/>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2DC63D0D-17CA-410D-9854-95028496187E}"/>
    <cellStyle name="20% - Accent3 6 2 3" xfId="11714" xr:uid="{296D8864-46DE-450C-8B5A-79B466EC244F}"/>
    <cellStyle name="20% - Accent3 6 3" xfId="5348" xr:uid="{00000000-0005-0000-0000-0000D5010000}"/>
    <cellStyle name="20% - Accent3 6 3 2" xfId="13787" xr:uid="{A9E2EBB2-63B5-46E9-9DC6-D37F72B461E3}"/>
    <cellStyle name="20% - Accent3 6 4" xfId="9569" xr:uid="{31240032-5770-4595-865C-99DBA0BADD6A}"/>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528A48D8-D8A9-4AF1-B7EC-FEC6FE2B4DE0}"/>
    <cellStyle name="20% - Accent3 7 2 3" xfId="12127" xr:uid="{BB985D9B-DB80-4B1B-8304-8C25E6C24B76}"/>
    <cellStyle name="20% - Accent3 7 3" xfId="5761" xr:uid="{00000000-0005-0000-0000-0000D9010000}"/>
    <cellStyle name="20% - Accent3 7 3 2" xfId="14200" xr:uid="{69371C02-254D-46E2-AF83-52A73EDDA7EF}"/>
    <cellStyle name="20% - Accent3 7 4" xfId="9982" xr:uid="{64E7BCF7-C047-4E86-985B-3397BBA255C2}"/>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598CF59A-7BDC-4C0B-B83A-2824C71A26CE}"/>
    <cellStyle name="20% - Accent3 8 2 3" xfId="12540" xr:uid="{2C78F570-E964-4311-ACD2-BCFE41EB5062}"/>
    <cellStyle name="20% - Accent3 8 3" xfId="6174" xr:uid="{00000000-0005-0000-0000-0000DD010000}"/>
    <cellStyle name="20% - Accent3 8 3 2" xfId="14613" xr:uid="{9ABC52DF-25D3-4207-B43B-957745833B12}"/>
    <cellStyle name="20% - Accent3 8 4" xfId="10395" xr:uid="{30A0C5B8-0D51-4432-B187-CF67C0BED0E6}"/>
    <cellStyle name="20% - Accent3 9" xfId="2280" xr:uid="{00000000-0005-0000-0000-0000DE010000}"/>
    <cellStyle name="20% - Accent3 9 2" xfId="6587" xr:uid="{00000000-0005-0000-0000-0000DF010000}"/>
    <cellStyle name="20% - Accent3 9 2 2" xfId="15026" xr:uid="{E4900BBA-4769-4DE6-BEB2-AE2E65202720}"/>
    <cellStyle name="20% - Accent3 9 3" xfId="10808" xr:uid="{8A046109-BE57-4ED5-8A12-21CA1DB95752}"/>
    <cellStyle name="20% - Accent4" xfId="25" builtinId="42" customBuiltin="1"/>
    <cellStyle name="20% - Accent4 10" xfId="4529" xr:uid="{00000000-0005-0000-0000-0000E1010000}"/>
    <cellStyle name="20% - Accent4 10 2" xfId="12968" xr:uid="{37C396B5-E313-4EB8-AEE8-02E3B88CB63D}"/>
    <cellStyle name="20% - Accent4 11" xfId="8750" xr:uid="{216A6D20-9D49-4438-8F15-2B5C11F328AF}"/>
    <cellStyle name="20% - Accent4 2" xfId="26" xr:uid="{00000000-0005-0000-0000-0000E2010000}"/>
    <cellStyle name="20% - Accent4 2 10" xfId="8751" xr:uid="{84071CB9-129B-4AF9-8CC8-1C0020070618}"/>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82614269-EA0B-4E98-AD98-E7400082850C}"/>
    <cellStyle name="20% - Accent4 2 2 2 2 2 3" xfId="11312" xr:uid="{05C4C4C1-78DC-4B23-B181-792ACD41BC50}"/>
    <cellStyle name="20% - Accent4 2 2 2 2 3" xfId="4946" xr:uid="{00000000-0005-0000-0000-0000E8010000}"/>
    <cellStyle name="20% - Accent4 2 2 2 2 3 2" xfId="13385" xr:uid="{FACF7450-42E3-4B44-A3F9-158F57230CEC}"/>
    <cellStyle name="20% - Accent4 2 2 2 2 4" xfId="9167" xr:uid="{ECB7F359-ABD3-4495-9AB6-816B6299149F}"/>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C672ACC9-6EE8-44A4-BCC8-5347771F4965}"/>
    <cellStyle name="20% - Accent4 2 2 2 3 2 3" xfId="11725" xr:uid="{25D535D6-F061-4E0A-8071-B5E6B5C5B7D9}"/>
    <cellStyle name="20% - Accent4 2 2 2 3 3" xfId="5359" xr:uid="{00000000-0005-0000-0000-0000EC010000}"/>
    <cellStyle name="20% - Accent4 2 2 2 3 3 2" xfId="13798" xr:uid="{CD18B363-177E-48E4-9078-633CE873C8F9}"/>
    <cellStyle name="20% - Accent4 2 2 2 3 4" xfId="9580" xr:uid="{9500A77B-8EA1-4D19-83A7-9213048BA2E7}"/>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A10B0755-A20C-41BB-B2CC-C05094C5A99A}"/>
    <cellStyle name="20% - Accent4 2 2 2 4 2 3" xfId="12138" xr:uid="{8C7ACC97-109F-4C87-B508-0DC6F112475F}"/>
    <cellStyle name="20% - Accent4 2 2 2 4 3" xfId="5772" xr:uid="{00000000-0005-0000-0000-0000F0010000}"/>
    <cellStyle name="20% - Accent4 2 2 2 4 3 2" xfId="14211" xr:uid="{6AC03E75-A491-44A8-B040-CA9C5D6478ED}"/>
    <cellStyle name="20% - Accent4 2 2 2 4 4" xfId="9993" xr:uid="{C97252C2-3107-4D49-8F68-B977BF064073}"/>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F43677C3-ACC9-42B2-82F2-53E29531FE5B}"/>
    <cellStyle name="20% - Accent4 2 2 2 5 2 3" xfId="12551" xr:uid="{805AC5AB-1651-4E44-A0B5-4F9C6C7A1FDF}"/>
    <cellStyle name="20% - Accent4 2 2 2 5 3" xfId="6185" xr:uid="{00000000-0005-0000-0000-0000F4010000}"/>
    <cellStyle name="20% - Accent4 2 2 2 5 3 2" xfId="14624" xr:uid="{9BE05D7E-BFAC-4A28-97CE-7E15C2BF1A1E}"/>
    <cellStyle name="20% - Accent4 2 2 2 5 4" xfId="10406" xr:uid="{955DAD87-60E9-4938-B53F-B97DB573488A}"/>
    <cellStyle name="20% - Accent4 2 2 2 6" xfId="2291" xr:uid="{00000000-0005-0000-0000-0000F5010000}"/>
    <cellStyle name="20% - Accent4 2 2 2 6 2" xfId="6598" xr:uid="{00000000-0005-0000-0000-0000F6010000}"/>
    <cellStyle name="20% - Accent4 2 2 2 6 2 2" xfId="15037" xr:uid="{7D48E307-DDF0-4C30-A4AF-B4C109F6EEDF}"/>
    <cellStyle name="20% - Accent4 2 2 2 6 3" xfId="10819" xr:uid="{54791615-AD83-4698-8D19-98D420167ECE}"/>
    <cellStyle name="20% - Accent4 2 2 2 7" xfId="4532" xr:uid="{00000000-0005-0000-0000-0000F7010000}"/>
    <cellStyle name="20% - Accent4 2 2 2 7 2" xfId="12971" xr:uid="{3154F11D-EC03-470A-9992-0E096C07D2CD}"/>
    <cellStyle name="20% - Accent4 2 2 2 8" xfId="8753" xr:uid="{11934951-733D-499D-8575-52AC699AE126}"/>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1E25A0B5-7345-47C3-8964-1BE0F634D0B6}"/>
    <cellStyle name="20% - Accent4 2 2 3 2 3" xfId="11311" xr:uid="{4D16D0CB-5C2E-465B-BE32-F06B2AA95A60}"/>
    <cellStyle name="20% - Accent4 2 2 3 3" xfId="4945" xr:uid="{00000000-0005-0000-0000-0000FB010000}"/>
    <cellStyle name="20% - Accent4 2 2 3 3 2" xfId="13384" xr:uid="{F6C20B5F-FFD2-46D2-9BBC-D045292185D7}"/>
    <cellStyle name="20% - Accent4 2 2 3 4" xfId="9166" xr:uid="{EC73E998-3DB0-4368-9058-9E4C7D4DC600}"/>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17274558-DBCA-4928-A6EE-A9D8269FCAD2}"/>
    <cellStyle name="20% - Accent4 2 2 4 2 3" xfId="11724" xr:uid="{19B44816-66EC-4835-B1E6-7F9DAD1F7399}"/>
    <cellStyle name="20% - Accent4 2 2 4 3" xfId="5358" xr:uid="{00000000-0005-0000-0000-0000FF010000}"/>
    <cellStyle name="20% - Accent4 2 2 4 3 2" xfId="13797" xr:uid="{A76600F5-3FD5-43FC-AF3D-2C75DDD0124E}"/>
    <cellStyle name="20% - Accent4 2 2 4 4" xfId="9579" xr:uid="{FAF15606-E230-4BE0-9E23-9ECF1128910D}"/>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7DB69CD1-1E98-4EDC-A328-EA8AFE1ADB39}"/>
    <cellStyle name="20% - Accent4 2 2 5 2 3" xfId="12137" xr:uid="{33C7E3FE-5886-4959-BA23-0BA0CFAAB97C}"/>
    <cellStyle name="20% - Accent4 2 2 5 3" xfId="5771" xr:uid="{00000000-0005-0000-0000-000003020000}"/>
    <cellStyle name="20% - Accent4 2 2 5 3 2" xfId="14210" xr:uid="{95127E11-F942-4534-8A68-E65FE616F81F}"/>
    <cellStyle name="20% - Accent4 2 2 5 4" xfId="9992" xr:uid="{29051D2C-E4DE-45DB-A57B-73C8A150D796}"/>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160C553A-2E02-491D-8882-0636A012F1D3}"/>
    <cellStyle name="20% - Accent4 2 2 6 2 3" xfId="12550" xr:uid="{E7580E3A-B57E-4460-AAA8-966953AAB06C}"/>
    <cellStyle name="20% - Accent4 2 2 6 3" xfId="6184" xr:uid="{00000000-0005-0000-0000-000007020000}"/>
    <cellStyle name="20% - Accent4 2 2 6 3 2" xfId="14623" xr:uid="{8AF10476-C873-402A-8F51-AF85A9EB26ED}"/>
    <cellStyle name="20% - Accent4 2 2 6 4" xfId="10405" xr:uid="{773050C8-3503-49B2-B3A7-46D4C9AD68DA}"/>
    <cellStyle name="20% - Accent4 2 2 7" xfId="2290" xr:uid="{00000000-0005-0000-0000-000008020000}"/>
    <cellStyle name="20% - Accent4 2 2 7 2" xfId="6597" xr:uid="{00000000-0005-0000-0000-000009020000}"/>
    <cellStyle name="20% - Accent4 2 2 7 2 2" xfId="15036" xr:uid="{B011B893-250A-4960-8317-A74F7B9BD32D}"/>
    <cellStyle name="20% - Accent4 2 2 7 3" xfId="10818" xr:uid="{19D9747D-D440-4403-A80C-C63C7B21D200}"/>
    <cellStyle name="20% - Accent4 2 2 8" xfId="4531" xr:uid="{00000000-0005-0000-0000-00000A020000}"/>
    <cellStyle name="20% - Accent4 2 2 8 2" xfId="12970" xr:uid="{3EC1F967-04AA-470A-962C-9FA01369BD84}"/>
    <cellStyle name="20% - Accent4 2 2 9" xfId="8752" xr:uid="{940515B9-A698-4725-B873-B2D8A89C4F31}"/>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C2BF73B6-EB56-4965-932A-52CF95A77357}"/>
    <cellStyle name="20% - Accent4 2 3 2 2 3" xfId="11313" xr:uid="{1C4F5E24-056F-4EBE-AA7B-A30D0909DA1A}"/>
    <cellStyle name="20% - Accent4 2 3 2 3" xfId="4947" xr:uid="{00000000-0005-0000-0000-00000F020000}"/>
    <cellStyle name="20% - Accent4 2 3 2 3 2" xfId="13386" xr:uid="{C4ABCCB6-F7BE-4FFC-BAFE-5940DE84E1E8}"/>
    <cellStyle name="20% - Accent4 2 3 2 4" xfId="9168" xr:uid="{87441645-6BF8-43BA-A8E2-63A1040345F6}"/>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202F666C-0D51-4EC3-98F7-7D8B138C202E}"/>
    <cellStyle name="20% - Accent4 2 3 3 2 3" xfId="11726" xr:uid="{B6C2E148-446B-4F85-AF69-1F6B3A87A3BF}"/>
    <cellStyle name="20% - Accent4 2 3 3 3" xfId="5360" xr:uid="{00000000-0005-0000-0000-000013020000}"/>
    <cellStyle name="20% - Accent4 2 3 3 3 2" xfId="13799" xr:uid="{B2178557-9BBA-46E1-9CE9-73D91C66CA7E}"/>
    <cellStyle name="20% - Accent4 2 3 3 4" xfId="9581" xr:uid="{C6931453-8033-427F-874B-D1B0B045F36A}"/>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7DA19084-8684-4B7E-869A-AE7D3EC0590D}"/>
    <cellStyle name="20% - Accent4 2 3 4 2 3" xfId="12139" xr:uid="{B4544492-DFF4-49F4-BE59-577477CF337C}"/>
    <cellStyle name="20% - Accent4 2 3 4 3" xfId="5773" xr:uid="{00000000-0005-0000-0000-000017020000}"/>
    <cellStyle name="20% - Accent4 2 3 4 3 2" xfId="14212" xr:uid="{F3FBA541-C946-4CA2-A98D-E850DACF9321}"/>
    <cellStyle name="20% - Accent4 2 3 4 4" xfId="9994" xr:uid="{35180FEA-4D43-4385-855F-56AD83B67237}"/>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F2242642-3D34-49B6-AC70-75AFBB7596FA}"/>
    <cellStyle name="20% - Accent4 2 3 5 2 3" xfId="12552" xr:uid="{50506425-2715-4EE6-9FD0-3D649DCE6589}"/>
    <cellStyle name="20% - Accent4 2 3 5 3" xfId="6186" xr:uid="{00000000-0005-0000-0000-00001B020000}"/>
    <cellStyle name="20% - Accent4 2 3 5 3 2" xfId="14625" xr:uid="{C09BAEA1-B97D-4500-9D2C-BE747142B0BA}"/>
    <cellStyle name="20% - Accent4 2 3 5 4" xfId="10407" xr:uid="{BD8E935F-842A-49D4-ADEF-7B66DEA1C577}"/>
    <cellStyle name="20% - Accent4 2 3 6" xfId="2292" xr:uid="{00000000-0005-0000-0000-00001C020000}"/>
    <cellStyle name="20% - Accent4 2 3 6 2" xfId="6599" xr:uid="{00000000-0005-0000-0000-00001D020000}"/>
    <cellStyle name="20% - Accent4 2 3 6 2 2" xfId="15038" xr:uid="{7C1E8B0C-509F-4856-BC1D-06E131277BAC}"/>
    <cellStyle name="20% - Accent4 2 3 6 3" xfId="10820" xr:uid="{DD249E8D-58F5-4593-9210-D3C598E39528}"/>
    <cellStyle name="20% - Accent4 2 3 7" xfId="4533" xr:uid="{00000000-0005-0000-0000-00001E020000}"/>
    <cellStyle name="20% - Accent4 2 3 7 2" xfId="12972" xr:uid="{14CFBECD-2FCB-4613-B4CE-E6DADED86078}"/>
    <cellStyle name="20% - Accent4 2 3 8" xfId="8754" xr:uid="{FE3DB067-4876-4439-A469-C2FDE97D5D74}"/>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2EE693E9-31BB-470A-875C-27FC309AC655}"/>
    <cellStyle name="20% - Accent4 2 4 2 3" xfId="11310" xr:uid="{5678ECC8-EE8E-4B09-A9D5-AED8DBA3DB55}"/>
    <cellStyle name="20% - Accent4 2 4 3" xfId="4944" xr:uid="{00000000-0005-0000-0000-000022020000}"/>
    <cellStyle name="20% - Accent4 2 4 3 2" xfId="13383" xr:uid="{73274982-296C-4FDF-91AB-FF819FABC588}"/>
    <cellStyle name="20% - Accent4 2 4 4" xfId="9165" xr:uid="{BABCFF91-E143-40E8-A60D-A47687530F19}"/>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746E080D-9CF6-4A4C-BECA-0C983AD4033B}"/>
    <cellStyle name="20% - Accent4 2 5 2 3" xfId="11723" xr:uid="{3C122231-914F-415C-8E3D-6D81ADB3402B}"/>
    <cellStyle name="20% - Accent4 2 5 3" xfId="5357" xr:uid="{00000000-0005-0000-0000-000026020000}"/>
    <cellStyle name="20% - Accent4 2 5 3 2" xfId="13796" xr:uid="{56CC40CF-6A59-4FFD-BCA1-99E36F482E94}"/>
    <cellStyle name="20% - Accent4 2 5 4" xfId="9578" xr:uid="{3E2797F1-FA81-4B99-828A-777EB091499F}"/>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882B5E42-AA23-47FF-BC44-5E112F858418}"/>
    <cellStyle name="20% - Accent4 2 6 2 3" xfId="12136" xr:uid="{F4C0858A-65F1-42D5-933F-410B658EA7E5}"/>
    <cellStyle name="20% - Accent4 2 6 3" xfId="5770" xr:uid="{00000000-0005-0000-0000-00002A020000}"/>
    <cellStyle name="20% - Accent4 2 6 3 2" xfId="14209" xr:uid="{A0B6A5E8-6AB7-4865-A6C1-C4E97E257A32}"/>
    <cellStyle name="20% - Accent4 2 6 4" xfId="9991" xr:uid="{DA2EEDE0-BA3B-4331-91F1-327967376F9C}"/>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9337F4AE-2E75-4A20-A439-0BE0C4969463}"/>
    <cellStyle name="20% - Accent4 2 7 2 3" xfId="12549" xr:uid="{F9887FC0-6738-4F22-BDB4-8295891D3291}"/>
    <cellStyle name="20% - Accent4 2 7 3" xfId="6183" xr:uid="{00000000-0005-0000-0000-00002E020000}"/>
    <cellStyle name="20% - Accent4 2 7 3 2" xfId="14622" xr:uid="{27987BEA-542D-4479-9BD9-593D6A273541}"/>
    <cellStyle name="20% - Accent4 2 7 4" xfId="10404" xr:uid="{5F1FCE76-8283-4566-A363-47C465CD5B5D}"/>
    <cellStyle name="20% - Accent4 2 8" xfId="2289" xr:uid="{00000000-0005-0000-0000-00002F020000}"/>
    <cellStyle name="20% - Accent4 2 8 2" xfId="6596" xr:uid="{00000000-0005-0000-0000-000030020000}"/>
    <cellStyle name="20% - Accent4 2 8 2 2" xfId="15035" xr:uid="{097D5135-BFA6-4A2C-A8BC-B25728B7DFC5}"/>
    <cellStyle name="20% - Accent4 2 8 3" xfId="10817" xr:uid="{1DE39EB2-5870-4035-A1E9-D8A49442145F}"/>
    <cellStyle name="20% - Accent4 2 9" xfId="4530" xr:uid="{00000000-0005-0000-0000-000031020000}"/>
    <cellStyle name="20% - Accent4 2 9 2" xfId="12969" xr:uid="{D28E79F6-F10C-4D66-900A-E12DCBE8D1AD}"/>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E4EB7B43-044D-46DA-9E2F-0A4E05F74090}"/>
    <cellStyle name="20% - Accent4 3 2 2 2 3" xfId="11315" xr:uid="{2D54313E-44B6-4692-B205-C9E5B6E83998}"/>
    <cellStyle name="20% - Accent4 3 2 2 3" xfId="4949" xr:uid="{00000000-0005-0000-0000-000037020000}"/>
    <cellStyle name="20% - Accent4 3 2 2 3 2" xfId="13388" xr:uid="{CD4C2F87-8CD5-488B-A421-8E18C498914D}"/>
    <cellStyle name="20% - Accent4 3 2 2 4" xfId="9170" xr:uid="{6D0CB1F2-777A-4D60-8B78-88623CBE439F}"/>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3643C74E-354F-4785-BF59-E0F4D24F05BB}"/>
    <cellStyle name="20% - Accent4 3 2 3 2 3" xfId="11728" xr:uid="{ECA5310B-94E7-4505-A699-ED9AE25E2D68}"/>
    <cellStyle name="20% - Accent4 3 2 3 3" xfId="5362" xr:uid="{00000000-0005-0000-0000-00003B020000}"/>
    <cellStyle name="20% - Accent4 3 2 3 3 2" xfId="13801" xr:uid="{590196D7-1D24-4C60-A00A-67E83F27ABF4}"/>
    <cellStyle name="20% - Accent4 3 2 3 4" xfId="9583" xr:uid="{3FC164FA-A06E-4AD5-AE7E-822D3F043DCC}"/>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39FFFB65-00CA-49EC-9668-AE79F87B7E51}"/>
    <cellStyle name="20% - Accent4 3 2 4 2 3" xfId="12141" xr:uid="{01D26721-FD9C-43A1-8E38-6A2582F5EB82}"/>
    <cellStyle name="20% - Accent4 3 2 4 3" xfId="5775" xr:uid="{00000000-0005-0000-0000-00003F020000}"/>
    <cellStyle name="20% - Accent4 3 2 4 3 2" xfId="14214" xr:uid="{BF550B97-91CF-4A0D-9AB8-9D355E514DDE}"/>
    <cellStyle name="20% - Accent4 3 2 4 4" xfId="9996" xr:uid="{78DE28C1-3453-41B5-A952-DB58F7408746}"/>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E441314A-9A22-4A57-8E0A-3CBBA8AF5750}"/>
    <cellStyle name="20% - Accent4 3 2 5 2 3" xfId="12554" xr:uid="{C75F71D4-CC0B-4E4A-AEFB-20DCC4EF09C3}"/>
    <cellStyle name="20% - Accent4 3 2 5 3" xfId="6188" xr:uid="{00000000-0005-0000-0000-000043020000}"/>
    <cellStyle name="20% - Accent4 3 2 5 3 2" xfId="14627" xr:uid="{3DFF2253-0951-491E-B1CC-1511C5B085A0}"/>
    <cellStyle name="20% - Accent4 3 2 5 4" xfId="10409" xr:uid="{311746A7-5489-4268-87F3-4CAF96D3CB5C}"/>
    <cellStyle name="20% - Accent4 3 2 6" xfId="2294" xr:uid="{00000000-0005-0000-0000-000044020000}"/>
    <cellStyle name="20% - Accent4 3 2 6 2" xfId="6601" xr:uid="{00000000-0005-0000-0000-000045020000}"/>
    <cellStyle name="20% - Accent4 3 2 6 2 2" xfId="15040" xr:uid="{5E80EFC9-7E4A-49AD-8621-350ACC88FE79}"/>
    <cellStyle name="20% - Accent4 3 2 6 3" xfId="10822" xr:uid="{22DCC1AC-6060-4536-A061-0D0556A5E359}"/>
    <cellStyle name="20% - Accent4 3 2 7" xfId="4535" xr:uid="{00000000-0005-0000-0000-000046020000}"/>
    <cellStyle name="20% - Accent4 3 2 7 2" xfId="12974" xr:uid="{F6FDF7B8-6C0D-44FC-98BD-09C82E24635B}"/>
    <cellStyle name="20% - Accent4 3 2 8" xfId="8756" xr:uid="{FBFCA10E-13D7-46DD-AA72-AD7E2A77E73A}"/>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F449EFBB-CA74-4ECB-B9E3-469B9D77C960}"/>
    <cellStyle name="20% - Accent4 3 3 2 3" xfId="11314" xr:uid="{A4E40C6F-1E3B-4DB7-BF39-93290BD5DE23}"/>
    <cellStyle name="20% - Accent4 3 3 3" xfId="4948" xr:uid="{00000000-0005-0000-0000-00004A020000}"/>
    <cellStyle name="20% - Accent4 3 3 3 2" xfId="13387" xr:uid="{6D1B2BEF-4EAB-4DBF-828C-3CD25CD64111}"/>
    <cellStyle name="20% - Accent4 3 3 4" xfId="9169" xr:uid="{D9A74D1B-7A28-45B7-96EE-13CD0C58068F}"/>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CC0016B5-D220-4CDE-BD56-AD3D4097D513}"/>
    <cellStyle name="20% - Accent4 3 4 2 3" xfId="11727" xr:uid="{95EFC441-C4E0-4ABA-BD49-288C6D32979D}"/>
    <cellStyle name="20% - Accent4 3 4 3" xfId="5361" xr:uid="{00000000-0005-0000-0000-00004E020000}"/>
    <cellStyle name="20% - Accent4 3 4 3 2" xfId="13800" xr:uid="{762A16BA-9A97-478F-9241-678665CC032E}"/>
    <cellStyle name="20% - Accent4 3 4 4" xfId="9582" xr:uid="{E2B60C51-3709-47E1-8054-03433D0A561F}"/>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D82C90FA-E472-481C-B85E-6D6E6E7D82B8}"/>
    <cellStyle name="20% - Accent4 3 5 2 3" xfId="12140" xr:uid="{288EF666-BE80-410A-B33F-AC5BB4711858}"/>
    <cellStyle name="20% - Accent4 3 5 3" xfId="5774" xr:uid="{00000000-0005-0000-0000-000052020000}"/>
    <cellStyle name="20% - Accent4 3 5 3 2" xfId="14213" xr:uid="{B2EA76A6-615D-458E-B133-145D75902B49}"/>
    <cellStyle name="20% - Accent4 3 5 4" xfId="9995" xr:uid="{F99979D8-D891-419F-ACD7-CA35E58B15CE}"/>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DF480819-7D73-4A46-A723-E1330BF77398}"/>
    <cellStyle name="20% - Accent4 3 6 2 3" xfId="12553" xr:uid="{1BEE8151-2B4A-4B35-8F3E-97B62783B3D3}"/>
    <cellStyle name="20% - Accent4 3 6 3" xfId="6187" xr:uid="{00000000-0005-0000-0000-000056020000}"/>
    <cellStyle name="20% - Accent4 3 6 3 2" xfId="14626" xr:uid="{E1CA0116-AF4A-4311-88E7-EDB3211F15EA}"/>
    <cellStyle name="20% - Accent4 3 6 4" xfId="10408" xr:uid="{62737DC3-5C5C-44CE-8CED-347D3A4DE390}"/>
    <cellStyle name="20% - Accent4 3 7" xfId="2293" xr:uid="{00000000-0005-0000-0000-000057020000}"/>
    <cellStyle name="20% - Accent4 3 7 2" xfId="6600" xr:uid="{00000000-0005-0000-0000-000058020000}"/>
    <cellStyle name="20% - Accent4 3 7 2 2" xfId="15039" xr:uid="{0CE3F28A-5E31-4830-A8C6-6D1B2AD2FCA9}"/>
    <cellStyle name="20% - Accent4 3 7 3" xfId="10821" xr:uid="{558C37A6-0625-48D4-8170-581FFA33A777}"/>
    <cellStyle name="20% - Accent4 3 8" xfId="4534" xr:uid="{00000000-0005-0000-0000-000059020000}"/>
    <cellStyle name="20% - Accent4 3 8 2" xfId="12973" xr:uid="{9E2902E1-28B9-4389-923C-1933E6DD79B3}"/>
    <cellStyle name="20% - Accent4 3 9" xfId="8755" xr:uid="{6A39AD31-BA67-418E-BC2F-11563EB46893}"/>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BC3F96A1-3D21-4DDF-BF8A-BA5FFC9F7C5E}"/>
    <cellStyle name="20% - Accent4 4 2 2 3" xfId="11316" xr:uid="{2CC950C4-BCA2-482B-9A59-3E307CE9B06D}"/>
    <cellStyle name="20% - Accent4 4 2 3" xfId="4950" xr:uid="{00000000-0005-0000-0000-00005E020000}"/>
    <cellStyle name="20% - Accent4 4 2 3 2" xfId="13389" xr:uid="{E62478FE-6A01-4B95-A142-2222354EBEF7}"/>
    <cellStyle name="20% - Accent4 4 2 4" xfId="9171" xr:uid="{12F8FF91-DBFA-499D-B134-707A58D4294D}"/>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1958DBC7-EE9C-46EC-9828-53978FA5B917}"/>
    <cellStyle name="20% - Accent4 4 3 2 3" xfId="11729" xr:uid="{3A739B7D-91B2-41A0-8111-B3DADDCA5947}"/>
    <cellStyle name="20% - Accent4 4 3 3" xfId="5363" xr:uid="{00000000-0005-0000-0000-000062020000}"/>
    <cellStyle name="20% - Accent4 4 3 3 2" xfId="13802" xr:uid="{061AAD56-F032-4B33-95FB-08CFCFFF6ECA}"/>
    <cellStyle name="20% - Accent4 4 3 4" xfId="9584" xr:uid="{067C218E-988F-43C3-89D5-B661B701298D}"/>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0C64BC1F-C262-4F19-90E5-B87CE2E9555C}"/>
    <cellStyle name="20% - Accent4 4 4 2 3" xfId="12142" xr:uid="{387F3EEF-2E7B-45EC-9178-6B09EE138008}"/>
    <cellStyle name="20% - Accent4 4 4 3" xfId="5776" xr:uid="{00000000-0005-0000-0000-000066020000}"/>
    <cellStyle name="20% - Accent4 4 4 3 2" xfId="14215" xr:uid="{C61BE3B0-F5C7-438A-BD61-700931AC0332}"/>
    <cellStyle name="20% - Accent4 4 4 4" xfId="9997" xr:uid="{EC9F007D-A203-4606-87C6-90B73A838B27}"/>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462801AF-141C-4FFC-9FD5-0AB4B12B0365}"/>
    <cellStyle name="20% - Accent4 4 5 2 3" xfId="12555" xr:uid="{43130485-7529-469B-A99A-E9CF90D3EEB7}"/>
    <cellStyle name="20% - Accent4 4 5 3" xfId="6189" xr:uid="{00000000-0005-0000-0000-00006A020000}"/>
    <cellStyle name="20% - Accent4 4 5 3 2" xfId="14628" xr:uid="{8A755352-17E8-4FB1-9557-2177C470D5A8}"/>
    <cellStyle name="20% - Accent4 4 5 4" xfId="10410" xr:uid="{0078D5FD-5DC1-4210-868B-93ADBC40F7BE}"/>
    <cellStyle name="20% - Accent4 4 6" xfId="2295" xr:uid="{00000000-0005-0000-0000-00006B020000}"/>
    <cellStyle name="20% - Accent4 4 6 2" xfId="6602" xr:uid="{00000000-0005-0000-0000-00006C020000}"/>
    <cellStyle name="20% - Accent4 4 6 2 2" xfId="15041" xr:uid="{EAEB0BFF-FF04-49DB-9718-C4C1C4AB5701}"/>
    <cellStyle name="20% - Accent4 4 6 3" xfId="10823" xr:uid="{1DE6E0B2-7F81-4D92-B2B1-C9EF143540DD}"/>
    <cellStyle name="20% - Accent4 4 7" xfId="4536" xr:uid="{00000000-0005-0000-0000-00006D020000}"/>
    <cellStyle name="20% - Accent4 4 7 2" xfId="12975" xr:uid="{D4DC9F4E-11C1-415E-B01F-F594169F90DE}"/>
    <cellStyle name="20% - Accent4 4 8" xfId="8757" xr:uid="{8FBEC505-CDA5-4777-8C66-D47C46F50783}"/>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6BC0E049-0F6C-43E8-8DAB-38DFBD8DD9CB}"/>
    <cellStyle name="20% - Accent4 5 2 3" xfId="11309" xr:uid="{CB790A6E-7D08-4623-8C20-612326ABBCB9}"/>
    <cellStyle name="20% - Accent4 5 3" xfId="4943" xr:uid="{00000000-0005-0000-0000-000071020000}"/>
    <cellStyle name="20% - Accent4 5 3 2" xfId="13382" xr:uid="{591B8655-C69B-49F4-9641-D0C10EDEA1C3}"/>
    <cellStyle name="20% - Accent4 5 4" xfId="9164" xr:uid="{D812D59F-5C2E-4391-9B67-15F9B062A39C}"/>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3DE557F1-9D25-4F8C-B34F-2120F51C6F09}"/>
    <cellStyle name="20% - Accent4 6 2 3" xfId="11722" xr:uid="{E87A2F09-C55F-476D-A633-15ABDE796715}"/>
    <cellStyle name="20% - Accent4 6 3" xfId="5356" xr:uid="{00000000-0005-0000-0000-000075020000}"/>
    <cellStyle name="20% - Accent4 6 3 2" xfId="13795" xr:uid="{D2E0F57B-C1CE-4E4F-A7AC-59D7D27ECB25}"/>
    <cellStyle name="20% - Accent4 6 4" xfId="9577" xr:uid="{02950CFD-CC16-4B72-B381-566BABFDCEDD}"/>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4759080F-CC9C-467E-B378-40029A592B57}"/>
    <cellStyle name="20% - Accent4 7 2 3" xfId="12135" xr:uid="{A765F7DA-5DC2-41FD-9BCC-FD7F6E10717C}"/>
    <cellStyle name="20% - Accent4 7 3" xfId="5769" xr:uid="{00000000-0005-0000-0000-000079020000}"/>
    <cellStyle name="20% - Accent4 7 3 2" xfId="14208" xr:uid="{10A54E23-6B90-4D28-9120-194ECEC52BF2}"/>
    <cellStyle name="20% - Accent4 7 4" xfId="9990" xr:uid="{F8A81F86-3568-4D74-8B86-2EC2097A1901}"/>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215F575B-0510-4C12-B8A9-BE8F4F37A4DE}"/>
    <cellStyle name="20% - Accent4 8 2 3" xfId="12548" xr:uid="{1FAA7FB8-05B1-4074-814C-BF118E48CCA9}"/>
    <cellStyle name="20% - Accent4 8 3" xfId="6182" xr:uid="{00000000-0005-0000-0000-00007D020000}"/>
    <cellStyle name="20% - Accent4 8 3 2" xfId="14621" xr:uid="{5FA11B85-0654-4133-9E0C-3320CFE8539D}"/>
    <cellStyle name="20% - Accent4 8 4" xfId="10403" xr:uid="{644E18F5-2035-4006-9DB5-3AA797A0D886}"/>
    <cellStyle name="20% - Accent4 9" xfId="2288" xr:uid="{00000000-0005-0000-0000-00007E020000}"/>
    <cellStyle name="20% - Accent4 9 2" xfId="6595" xr:uid="{00000000-0005-0000-0000-00007F020000}"/>
    <cellStyle name="20% - Accent4 9 2 2" xfId="15034" xr:uid="{37D99D09-91EA-49D9-9606-9C6D763C36FD}"/>
    <cellStyle name="20% - Accent4 9 3" xfId="10816" xr:uid="{81FBCC20-B58F-425D-ADF4-5B2221B4CA47}"/>
    <cellStyle name="20% - Accent5" xfId="33" builtinId="46" customBuiltin="1"/>
    <cellStyle name="20% - Accent5 10" xfId="4537" xr:uid="{00000000-0005-0000-0000-000081020000}"/>
    <cellStyle name="20% - Accent5 10 2" xfId="12976" xr:uid="{2CEDCE59-4DEF-4FCD-ADA1-1175B4DCE34A}"/>
    <cellStyle name="20% - Accent5 11" xfId="8758" xr:uid="{F4C437A2-4048-4767-9564-0903D234220D}"/>
    <cellStyle name="20% - Accent5 2" xfId="34" xr:uid="{00000000-0005-0000-0000-000082020000}"/>
    <cellStyle name="20% - Accent5 2 10" xfId="8759" xr:uid="{9E1EEE3E-DF36-4633-9BD9-778C22865C09}"/>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0B19A355-81C0-4521-B0F1-2BA12E7F7268}"/>
    <cellStyle name="20% - Accent5 2 2 2 2 2 3" xfId="11320" xr:uid="{9BA24CDB-A88D-4C61-A95A-00AE5035D53C}"/>
    <cellStyle name="20% - Accent5 2 2 2 2 3" xfId="4954" xr:uid="{00000000-0005-0000-0000-000088020000}"/>
    <cellStyle name="20% - Accent5 2 2 2 2 3 2" xfId="13393" xr:uid="{E9227FA2-615D-4E4A-B5B5-074FCCA0D9C3}"/>
    <cellStyle name="20% - Accent5 2 2 2 2 4" xfId="9175" xr:uid="{15C9C6BA-D12E-46A3-A050-8260BF246EEC}"/>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51B62772-704E-476E-931D-874C9AC02E0F}"/>
    <cellStyle name="20% - Accent5 2 2 2 3 2 3" xfId="11733" xr:uid="{3DB4CA17-79F1-4577-A648-D662A2A9CB76}"/>
    <cellStyle name="20% - Accent5 2 2 2 3 3" xfId="5367" xr:uid="{00000000-0005-0000-0000-00008C020000}"/>
    <cellStyle name="20% - Accent5 2 2 2 3 3 2" xfId="13806" xr:uid="{E1A01186-8705-42A6-8E58-51724D9DBB18}"/>
    <cellStyle name="20% - Accent5 2 2 2 3 4" xfId="9588" xr:uid="{48DD04B9-64BE-4BCC-9B33-BFC254148778}"/>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91F14EFD-C341-4AFB-80D5-27B6EA886793}"/>
    <cellStyle name="20% - Accent5 2 2 2 4 2 3" xfId="12146" xr:uid="{80E83D8F-B6C7-4809-B444-08EF6C64976D}"/>
    <cellStyle name="20% - Accent5 2 2 2 4 3" xfId="5780" xr:uid="{00000000-0005-0000-0000-000090020000}"/>
    <cellStyle name="20% - Accent5 2 2 2 4 3 2" xfId="14219" xr:uid="{BEFECCF2-73CE-49E7-B457-607440C2D167}"/>
    <cellStyle name="20% - Accent5 2 2 2 4 4" xfId="10001" xr:uid="{186C2514-185E-48BD-B6DA-37CF7BFC7E79}"/>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DDBE0646-A311-4D77-B8ED-4064AF6C4280}"/>
    <cellStyle name="20% - Accent5 2 2 2 5 2 3" xfId="12559" xr:uid="{8DAD0D21-C100-4579-9B35-173C72A0C218}"/>
    <cellStyle name="20% - Accent5 2 2 2 5 3" xfId="6193" xr:uid="{00000000-0005-0000-0000-000094020000}"/>
    <cellStyle name="20% - Accent5 2 2 2 5 3 2" xfId="14632" xr:uid="{EEE55A90-F1CC-45CB-B48C-B38CB7ADC03D}"/>
    <cellStyle name="20% - Accent5 2 2 2 5 4" xfId="10414" xr:uid="{E61A42A8-0D9B-4078-BE8C-DA7DAA2C62CA}"/>
    <cellStyle name="20% - Accent5 2 2 2 6" xfId="2299" xr:uid="{00000000-0005-0000-0000-000095020000}"/>
    <cellStyle name="20% - Accent5 2 2 2 6 2" xfId="6606" xr:uid="{00000000-0005-0000-0000-000096020000}"/>
    <cellStyle name="20% - Accent5 2 2 2 6 2 2" xfId="15045" xr:uid="{0B6CF35B-F829-4CC5-BA79-4EADA6370850}"/>
    <cellStyle name="20% - Accent5 2 2 2 6 3" xfId="10827" xr:uid="{D5E2C5BD-52F7-4159-9129-BFCFF9CCC973}"/>
    <cellStyle name="20% - Accent5 2 2 2 7" xfId="4540" xr:uid="{00000000-0005-0000-0000-000097020000}"/>
    <cellStyle name="20% - Accent5 2 2 2 7 2" xfId="12979" xr:uid="{E40C5811-F3E6-4321-AEC0-01C433752361}"/>
    <cellStyle name="20% - Accent5 2 2 2 8" xfId="8761" xr:uid="{2DD3AF99-2174-46BB-9DF9-A61A005F38A1}"/>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EE1309F5-4CCD-4C1A-8D51-8AEB201212EA}"/>
    <cellStyle name="20% - Accent5 2 2 3 2 3" xfId="11319" xr:uid="{EA78E41E-3B8F-4D0F-91C0-B23B627EC33E}"/>
    <cellStyle name="20% - Accent5 2 2 3 3" xfId="4953" xr:uid="{00000000-0005-0000-0000-00009B020000}"/>
    <cellStyle name="20% - Accent5 2 2 3 3 2" xfId="13392" xr:uid="{21BFFA3C-6453-4CA0-AE51-A5B00A7EE031}"/>
    <cellStyle name="20% - Accent5 2 2 3 4" xfId="9174" xr:uid="{5761E3C2-D375-42B0-866B-F1BDD0BD4653}"/>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07F4EF0C-A109-4228-A98A-180B9A93BB5C}"/>
    <cellStyle name="20% - Accent5 2 2 4 2 3" xfId="11732" xr:uid="{BA94293E-F646-4A84-8ABE-A6A63D64E677}"/>
    <cellStyle name="20% - Accent5 2 2 4 3" xfId="5366" xr:uid="{00000000-0005-0000-0000-00009F020000}"/>
    <cellStyle name="20% - Accent5 2 2 4 3 2" xfId="13805" xr:uid="{79A15EC9-0705-4D88-98C9-325B6C4C04FC}"/>
    <cellStyle name="20% - Accent5 2 2 4 4" xfId="9587" xr:uid="{C92767C6-473A-49F9-93F3-25F975CE49D8}"/>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157DA20B-2D41-4BA6-9CF4-380C8A94F10F}"/>
    <cellStyle name="20% - Accent5 2 2 5 2 3" xfId="12145" xr:uid="{2724FF8C-9E44-40A0-AC19-341BA11525F6}"/>
    <cellStyle name="20% - Accent5 2 2 5 3" xfId="5779" xr:uid="{00000000-0005-0000-0000-0000A3020000}"/>
    <cellStyle name="20% - Accent5 2 2 5 3 2" xfId="14218" xr:uid="{705FA4E8-3406-41F0-8156-2BE5639E68DE}"/>
    <cellStyle name="20% - Accent5 2 2 5 4" xfId="10000" xr:uid="{60BA4A4B-AA07-4A4E-A567-CFBA9A75C3E1}"/>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0A1F76DE-3011-4B8C-8B0C-AAD605BA9337}"/>
    <cellStyle name="20% - Accent5 2 2 6 2 3" xfId="12558" xr:uid="{325B126F-8B20-4164-A2F7-09E8A55A970A}"/>
    <cellStyle name="20% - Accent5 2 2 6 3" xfId="6192" xr:uid="{00000000-0005-0000-0000-0000A7020000}"/>
    <cellStyle name="20% - Accent5 2 2 6 3 2" xfId="14631" xr:uid="{E89C857D-B199-47CF-9AA3-EFD3278B1B51}"/>
    <cellStyle name="20% - Accent5 2 2 6 4" xfId="10413" xr:uid="{E1AB7F00-BD7A-41C1-86D1-C381A30BB94F}"/>
    <cellStyle name="20% - Accent5 2 2 7" xfId="2298" xr:uid="{00000000-0005-0000-0000-0000A8020000}"/>
    <cellStyle name="20% - Accent5 2 2 7 2" xfId="6605" xr:uid="{00000000-0005-0000-0000-0000A9020000}"/>
    <cellStyle name="20% - Accent5 2 2 7 2 2" xfId="15044" xr:uid="{0A4997A7-246F-4E35-9D59-905B0512F004}"/>
    <cellStyle name="20% - Accent5 2 2 7 3" xfId="10826" xr:uid="{4020BD8D-0E85-491F-98A5-B463BD78F561}"/>
    <cellStyle name="20% - Accent5 2 2 8" xfId="4539" xr:uid="{00000000-0005-0000-0000-0000AA020000}"/>
    <cellStyle name="20% - Accent5 2 2 8 2" xfId="12978" xr:uid="{67FC0D43-8DE5-40C8-B0EE-C8CBC427E9AC}"/>
    <cellStyle name="20% - Accent5 2 2 9" xfId="8760" xr:uid="{DA3EA2A9-F851-4AE0-BDEB-97BCEA7C495F}"/>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AA018B96-C15D-4EEF-820D-7E988BE92F96}"/>
    <cellStyle name="20% - Accent5 2 3 2 2 3" xfId="11321" xr:uid="{2CD8094C-0290-48A4-84B3-D93ED562BCA3}"/>
    <cellStyle name="20% - Accent5 2 3 2 3" xfId="4955" xr:uid="{00000000-0005-0000-0000-0000AF020000}"/>
    <cellStyle name="20% - Accent5 2 3 2 3 2" xfId="13394" xr:uid="{0AFE0C94-6284-445E-B825-10153501794E}"/>
    <cellStyle name="20% - Accent5 2 3 2 4" xfId="9176" xr:uid="{E2354253-DA63-4186-A518-9F7F251751B6}"/>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841BEECE-E76B-4DBC-AF26-8485C4E2CF99}"/>
    <cellStyle name="20% - Accent5 2 3 3 2 3" xfId="11734" xr:uid="{12576AA0-00E6-4909-A3F8-9581ADC017EA}"/>
    <cellStyle name="20% - Accent5 2 3 3 3" xfId="5368" xr:uid="{00000000-0005-0000-0000-0000B3020000}"/>
    <cellStyle name="20% - Accent5 2 3 3 3 2" xfId="13807" xr:uid="{652CF7D8-F85B-4D3C-B2BF-DFBF8AEC9D52}"/>
    <cellStyle name="20% - Accent5 2 3 3 4" xfId="9589" xr:uid="{5F156BC3-86E5-4BCE-AA1B-E364B328772D}"/>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0A26D4B4-1FAE-4421-B5BA-0C926ED323BE}"/>
    <cellStyle name="20% - Accent5 2 3 4 2 3" xfId="12147" xr:uid="{5119B497-B544-4A78-920B-E03DA1D19EC6}"/>
    <cellStyle name="20% - Accent5 2 3 4 3" xfId="5781" xr:uid="{00000000-0005-0000-0000-0000B7020000}"/>
    <cellStyle name="20% - Accent5 2 3 4 3 2" xfId="14220" xr:uid="{BB7D1F68-DB3A-477C-964D-A62902B97D3C}"/>
    <cellStyle name="20% - Accent5 2 3 4 4" xfId="10002" xr:uid="{09637BF6-6BFA-476D-965D-E4A92BFC6B6D}"/>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ABE87ABA-5667-4399-86E8-EA47F0156939}"/>
    <cellStyle name="20% - Accent5 2 3 5 2 3" xfId="12560" xr:uid="{3C76F01F-31E9-4D78-BBC3-D7B3DA35D6EB}"/>
    <cellStyle name="20% - Accent5 2 3 5 3" xfId="6194" xr:uid="{00000000-0005-0000-0000-0000BB020000}"/>
    <cellStyle name="20% - Accent5 2 3 5 3 2" xfId="14633" xr:uid="{10B9528F-6014-42F2-A124-995D3C6A6340}"/>
    <cellStyle name="20% - Accent5 2 3 5 4" xfId="10415" xr:uid="{55BE514B-138F-4D5F-BA93-1C299B10E47E}"/>
    <cellStyle name="20% - Accent5 2 3 6" xfId="2300" xr:uid="{00000000-0005-0000-0000-0000BC020000}"/>
    <cellStyle name="20% - Accent5 2 3 6 2" xfId="6607" xr:uid="{00000000-0005-0000-0000-0000BD020000}"/>
    <cellStyle name="20% - Accent5 2 3 6 2 2" xfId="15046" xr:uid="{0F4DA40E-6363-45FB-8B21-C734BBDF9F5A}"/>
    <cellStyle name="20% - Accent5 2 3 6 3" xfId="10828" xr:uid="{23F3158A-EB19-403B-BDD8-978C0FF7D8C2}"/>
    <cellStyle name="20% - Accent5 2 3 7" xfId="4541" xr:uid="{00000000-0005-0000-0000-0000BE020000}"/>
    <cellStyle name="20% - Accent5 2 3 7 2" xfId="12980" xr:uid="{40F1930B-2731-477D-9562-BB7F5FF130E5}"/>
    <cellStyle name="20% - Accent5 2 3 8" xfId="8762" xr:uid="{2E2CC3F1-65DA-497C-93FA-4AEC2D7EF907}"/>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F0BE2ADA-004E-41C3-8B90-FAB6379DBB8F}"/>
    <cellStyle name="20% - Accent5 2 4 2 3" xfId="11318" xr:uid="{DE6199D2-A0A3-41F8-A32A-EB30AC6A72BB}"/>
    <cellStyle name="20% - Accent5 2 4 3" xfId="4952" xr:uid="{00000000-0005-0000-0000-0000C2020000}"/>
    <cellStyle name="20% - Accent5 2 4 3 2" xfId="13391" xr:uid="{96780692-5877-4547-AE8F-C7C40C01B000}"/>
    <cellStyle name="20% - Accent5 2 4 4" xfId="9173" xr:uid="{1D92A912-A1D4-4A75-9075-7F077ADDE89D}"/>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F971F31C-30D1-4032-B9D3-0AFDFBCFE6F3}"/>
    <cellStyle name="20% - Accent5 2 5 2 3" xfId="11731" xr:uid="{DF3A5AEB-6A0A-4A73-81CF-186863E18660}"/>
    <cellStyle name="20% - Accent5 2 5 3" xfId="5365" xr:uid="{00000000-0005-0000-0000-0000C6020000}"/>
    <cellStyle name="20% - Accent5 2 5 3 2" xfId="13804" xr:uid="{BD7E7FC3-9682-4B6D-8329-6E9D462AF052}"/>
    <cellStyle name="20% - Accent5 2 5 4" xfId="9586" xr:uid="{B2403B6D-5017-43EA-ABBB-A93D6640D2C6}"/>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E759E4FB-7C61-4DAF-BBA4-5033724D2142}"/>
    <cellStyle name="20% - Accent5 2 6 2 3" xfId="12144" xr:uid="{F98B30DE-AE35-4888-AF58-890088CAA2E8}"/>
    <cellStyle name="20% - Accent5 2 6 3" xfId="5778" xr:uid="{00000000-0005-0000-0000-0000CA020000}"/>
    <cellStyle name="20% - Accent5 2 6 3 2" xfId="14217" xr:uid="{4FAA3107-3753-440A-9CA2-288B7EDD4384}"/>
    <cellStyle name="20% - Accent5 2 6 4" xfId="9999" xr:uid="{FFFFF067-BFE7-4653-82AC-1B1ED212DDF3}"/>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33220994-8B74-43EA-9396-487AA9022389}"/>
    <cellStyle name="20% - Accent5 2 7 2 3" xfId="12557" xr:uid="{A7D3D6E5-2F44-4875-96E3-D734F353B2A5}"/>
    <cellStyle name="20% - Accent5 2 7 3" xfId="6191" xr:uid="{00000000-0005-0000-0000-0000CE020000}"/>
    <cellStyle name="20% - Accent5 2 7 3 2" xfId="14630" xr:uid="{15802A66-5D0C-43B3-A531-30A8E5E0C4E2}"/>
    <cellStyle name="20% - Accent5 2 7 4" xfId="10412" xr:uid="{2E153CB7-7E5A-424C-817A-E5D6EB679585}"/>
    <cellStyle name="20% - Accent5 2 8" xfId="2297" xr:uid="{00000000-0005-0000-0000-0000CF020000}"/>
    <cellStyle name="20% - Accent5 2 8 2" xfId="6604" xr:uid="{00000000-0005-0000-0000-0000D0020000}"/>
    <cellStyle name="20% - Accent5 2 8 2 2" xfId="15043" xr:uid="{34F27A3D-AB61-4D92-8A02-69188562FCC2}"/>
    <cellStyle name="20% - Accent5 2 8 3" xfId="10825" xr:uid="{11A6BA70-6C44-4A07-99B9-1214B11BBCBE}"/>
    <cellStyle name="20% - Accent5 2 9" xfId="4538" xr:uid="{00000000-0005-0000-0000-0000D1020000}"/>
    <cellStyle name="20% - Accent5 2 9 2" xfId="12977" xr:uid="{FF21BF0C-4086-495F-BEE2-1C591322BDD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8AB07EF9-EE94-4969-B20E-64805B68B314}"/>
    <cellStyle name="20% - Accent5 3 2 2 2 3" xfId="11323" xr:uid="{8C928413-D9EE-4196-8EAD-60DF3AE338F4}"/>
    <cellStyle name="20% - Accent5 3 2 2 3" xfId="4957" xr:uid="{00000000-0005-0000-0000-0000D7020000}"/>
    <cellStyle name="20% - Accent5 3 2 2 3 2" xfId="13396" xr:uid="{A7727004-8357-451C-8C69-32813CC508C4}"/>
    <cellStyle name="20% - Accent5 3 2 2 4" xfId="9178" xr:uid="{713EA55A-127A-4201-8BA7-DEC9B0FE34EA}"/>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A3F0CF07-5364-439D-A71A-B2C0FC7EEA8E}"/>
    <cellStyle name="20% - Accent5 3 2 3 2 3" xfId="11736" xr:uid="{D2871CD8-1D9B-4566-8035-8A1843B88AA9}"/>
    <cellStyle name="20% - Accent5 3 2 3 3" xfId="5370" xr:uid="{00000000-0005-0000-0000-0000DB020000}"/>
    <cellStyle name="20% - Accent5 3 2 3 3 2" xfId="13809" xr:uid="{0B7CAD37-6D0A-445C-AECF-70A054F46C10}"/>
    <cellStyle name="20% - Accent5 3 2 3 4" xfId="9591" xr:uid="{B4D3BC9F-5488-4468-B0BE-EC8A639EFDDD}"/>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C17CB74B-6D50-4601-B672-398700442AAC}"/>
    <cellStyle name="20% - Accent5 3 2 4 2 3" xfId="12149" xr:uid="{5E13B370-C15D-40EC-9532-0085286129BC}"/>
    <cellStyle name="20% - Accent5 3 2 4 3" xfId="5783" xr:uid="{00000000-0005-0000-0000-0000DF020000}"/>
    <cellStyle name="20% - Accent5 3 2 4 3 2" xfId="14222" xr:uid="{248A3FC9-3BE0-47A7-8D8F-74D69490E950}"/>
    <cellStyle name="20% - Accent5 3 2 4 4" xfId="10004" xr:uid="{8CEEE456-9E9E-4B8B-82B6-EE5285DC5ED6}"/>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8F6D6E73-E046-404E-BAF9-A9371AD6E212}"/>
    <cellStyle name="20% - Accent5 3 2 5 2 3" xfId="12562" xr:uid="{A900D53E-35CE-4DC7-B402-417426881DF0}"/>
    <cellStyle name="20% - Accent5 3 2 5 3" xfId="6196" xr:uid="{00000000-0005-0000-0000-0000E3020000}"/>
    <cellStyle name="20% - Accent5 3 2 5 3 2" xfId="14635" xr:uid="{A0446D90-0A1D-443C-8D5C-094090003D68}"/>
    <cellStyle name="20% - Accent5 3 2 5 4" xfId="10417" xr:uid="{33558E91-DF4E-40F7-A671-FEE9B456D77E}"/>
    <cellStyle name="20% - Accent5 3 2 6" xfId="2302" xr:uid="{00000000-0005-0000-0000-0000E4020000}"/>
    <cellStyle name="20% - Accent5 3 2 6 2" xfId="6609" xr:uid="{00000000-0005-0000-0000-0000E5020000}"/>
    <cellStyle name="20% - Accent5 3 2 6 2 2" xfId="15048" xr:uid="{FD3F6B8D-A04A-4DC2-B4CC-6AA335A7582D}"/>
    <cellStyle name="20% - Accent5 3 2 6 3" xfId="10830" xr:uid="{E52F234D-5B68-4874-BC28-61517CC989F3}"/>
    <cellStyle name="20% - Accent5 3 2 7" xfId="4543" xr:uid="{00000000-0005-0000-0000-0000E6020000}"/>
    <cellStyle name="20% - Accent5 3 2 7 2" xfId="12982" xr:uid="{F6804C4F-A919-4BF0-9B2A-DD327A680B47}"/>
    <cellStyle name="20% - Accent5 3 2 8" xfId="8764" xr:uid="{F8C86B1D-D926-4328-AF98-6ACDEA408996}"/>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24362441-1590-47BA-AD50-F30902D193A1}"/>
    <cellStyle name="20% - Accent5 3 3 2 3" xfId="11322" xr:uid="{59E74E9C-C0DF-4566-9842-4170E6F16199}"/>
    <cellStyle name="20% - Accent5 3 3 3" xfId="4956" xr:uid="{00000000-0005-0000-0000-0000EA020000}"/>
    <cellStyle name="20% - Accent5 3 3 3 2" xfId="13395" xr:uid="{4E9F06B2-1AC4-4DD0-8075-36CD6DF19CF4}"/>
    <cellStyle name="20% - Accent5 3 3 4" xfId="9177" xr:uid="{3A201239-C92C-4705-A28D-D36E9CB41B8B}"/>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53DCBCC1-925D-4088-BE66-F5B38E5E7B85}"/>
    <cellStyle name="20% - Accent5 3 4 2 3" xfId="11735" xr:uid="{6E90291D-435C-4C3F-A00D-8C597F612FEC}"/>
    <cellStyle name="20% - Accent5 3 4 3" xfId="5369" xr:uid="{00000000-0005-0000-0000-0000EE020000}"/>
    <cellStyle name="20% - Accent5 3 4 3 2" xfId="13808" xr:uid="{54EA6579-9CFB-4654-8C7C-EB99B34AA24D}"/>
    <cellStyle name="20% - Accent5 3 4 4" xfId="9590" xr:uid="{80985831-5B2A-4139-B8F4-25EEF3A4107A}"/>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5532DA8B-5B40-4F58-926E-89F47D59FB22}"/>
    <cellStyle name="20% - Accent5 3 5 2 3" xfId="12148" xr:uid="{2F61F177-DF97-43D5-A66F-35B164D83447}"/>
    <cellStyle name="20% - Accent5 3 5 3" xfId="5782" xr:uid="{00000000-0005-0000-0000-0000F2020000}"/>
    <cellStyle name="20% - Accent5 3 5 3 2" xfId="14221" xr:uid="{8344790E-9515-45CF-A2E0-1E02AD876019}"/>
    <cellStyle name="20% - Accent5 3 5 4" xfId="10003" xr:uid="{78BA5F34-E04C-4C56-AF80-75ED83F6D61B}"/>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4B970A22-15BC-4B61-A6D5-BA271786402A}"/>
    <cellStyle name="20% - Accent5 3 6 2 3" xfId="12561" xr:uid="{80F2A2A9-19A7-4DDC-87C6-1518FB554D46}"/>
    <cellStyle name="20% - Accent5 3 6 3" xfId="6195" xr:uid="{00000000-0005-0000-0000-0000F6020000}"/>
    <cellStyle name="20% - Accent5 3 6 3 2" xfId="14634" xr:uid="{0A9493AE-F796-4939-A0F6-023E50E7B9D4}"/>
    <cellStyle name="20% - Accent5 3 6 4" xfId="10416" xr:uid="{B7E7129E-CEA1-4496-9322-5E7E5C3A3A19}"/>
    <cellStyle name="20% - Accent5 3 7" xfId="2301" xr:uid="{00000000-0005-0000-0000-0000F7020000}"/>
    <cellStyle name="20% - Accent5 3 7 2" xfId="6608" xr:uid="{00000000-0005-0000-0000-0000F8020000}"/>
    <cellStyle name="20% - Accent5 3 7 2 2" xfId="15047" xr:uid="{5ACF5649-F746-4179-8249-224E111C537D}"/>
    <cellStyle name="20% - Accent5 3 7 3" xfId="10829" xr:uid="{EF088A49-2810-4ACA-B6BA-1F22DAA926CA}"/>
    <cellStyle name="20% - Accent5 3 8" xfId="4542" xr:uid="{00000000-0005-0000-0000-0000F9020000}"/>
    <cellStyle name="20% - Accent5 3 8 2" xfId="12981" xr:uid="{04C23FDD-1413-48AC-BF1F-33F71AD557B7}"/>
    <cellStyle name="20% - Accent5 3 9" xfId="8763" xr:uid="{384E74C6-C3D9-42CE-AF4D-F4CB48988E28}"/>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11750DA2-C5B1-465D-A7E6-BFF942D80F4D}"/>
    <cellStyle name="20% - Accent5 4 2 2 3" xfId="11324" xr:uid="{4B79AB6C-7DC4-4D23-9BAD-E232E3C86DBA}"/>
    <cellStyle name="20% - Accent5 4 2 3" xfId="4958" xr:uid="{00000000-0005-0000-0000-0000FE020000}"/>
    <cellStyle name="20% - Accent5 4 2 3 2" xfId="13397" xr:uid="{1F259628-7BE8-4DCC-9BC8-E84BF63459CA}"/>
    <cellStyle name="20% - Accent5 4 2 4" xfId="9179" xr:uid="{7072C022-A870-4CA3-8C16-DE63247BDB28}"/>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74F15491-7F90-45FF-B119-DD766B820E93}"/>
    <cellStyle name="20% - Accent5 4 3 2 3" xfId="11737" xr:uid="{AC32771F-1328-4FB9-9689-093273CD5446}"/>
    <cellStyle name="20% - Accent5 4 3 3" xfId="5371" xr:uid="{00000000-0005-0000-0000-000002030000}"/>
    <cellStyle name="20% - Accent5 4 3 3 2" xfId="13810" xr:uid="{D1FFC61C-95CD-447B-A6B1-8E6FAA6FE461}"/>
    <cellStyle name="20% - Accent5 4 3 4" xfId="9592" xr:uid="{5CEDCEC8-CDC7-4EF0-909F-1B3ECD7B65B5}"/>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52720885-0E18-4FB8-B377-B86B1D87CB91}"/>
    <cellStyle name="20% - Accent5 4 4 2 3" xfId="12150" xr:uid="{953DE31A-E1E3-4C2D-8129-2EF0B606DDF9}"/>
    <cellStyle name="20% - Accent5 4 4 3" xfId="5784" xr:uid="{00000000-0005-0000-0000-000006030000}"/>
    <cellStyle name="20% - Accent5 4 4 3 2" xfId="14223" xr:uid="{8AEBC077-A565-48D0-8C95-325FADDD2676}"/>
    <cellStyle name="20% - Accent5 4 4 4" xfId="10005" xr:uid="{B058356B-0452-4076-BF8F-E9FCF7B97C1B}"/>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AA787E7C-C269-4D1F-A1E6-8A29E0C09C18}"/>
    <cellStyle name="20% - Accent5 4 5 2 3" xfId="12563" xr:uid="{594BB238-4A49-4A37-B5D5-B5FC4A31466B}"/>
    <cellStyle name="20% - Accent5 4 5 3" xfId="6197" xr:uid="{00000000-0005-0000-0000-00000A030000}"/>
    <cellStyle name="20% - Accent5 4 5 3 2" xfId="14636" xr:uid="{241DE5F6-5033-4818-9B4D-762F644838B9}"/>
    <cellStyle name="20% - Accent5 4 5 4" xfId="10418" xr:uid="{63D922DC-166F-4AAD-A313-F88FC84FFC48}"/>
    <cellStyle name="20% - Accent5 4 6" xfId="2303" xr:uid="{00000000-0005-0000-0000-00000B030000}"/>
    <cellStyle name="20% - Accent5 4 6 2" xfId="6610" xr:uid="{00000000-0005-0000-0000-00000C030000}"/>
    <cellStyle name="20% - Accent5 4 6 2 2" xfId="15049" xr:uid="{AB3AE7FD-2E0D-4A82-9886-595326EDD04D}"/>
    <cellStyle name="20% - Accent5 4 6 3" xfId="10831" xr:uid="{F822D56F-F74E-44B0-AA28-19D64B219BF4}"/>
    <cellStyle name="20% - Accent5 4 7" xfId="4544" xr:uid="{00000000-0005-0000-0000-00000D030000}"/>
    <cellStyle name="20% - Accent5 4 7 2" xfId="12983" xr:uid="{4DE49B20-02C5-4653-BA9A-0614E815BB86}"/>
    <cellStyle name="20% - Accent5 4 8" xfId="8765" xr:uid="{76D6F281-E859-4D17-9208-6F41B070852F}"/>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9AAA48DD-A032-422A-8D23-3EE3D582DEDF}"/>
    <cellStyle name="20% - Accent5 5 2 3" xfId="11317" xr:uid="{E11CBCC7-2E25-4E9B-A11F-8329DC622C91}"/>
    <cellStyle name="20% - Accent5 5 3" xfId="4951" xr:uid="{00000000-0005-0000-0000-000011030000}"/>
    <cellStyle name="20% - Accent5 5 3 2" xfId="13390" xr:uid="{9BC35D0A-9A37-475A-8FB4-751A08B3C017}"/>
    <cellStyle name="20% - Accent5 5 4" xfId="9172" xr:uid="{F8DE8CED-F3AA-4E44-A60C-0BE29989B09F}"/>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3ADACD5B-5A86-4F3A-9FD6-8628337AAAEC}"/>
    <cellStyle name="20% - Accent5 6 2 3" xfId="11730" xr:uid="{09FD56C6-FDF1-41E1-812D-34788833636C}"/>
    <cellStyle name="20% - Accent5 6 3" xfId="5364" xr:uid="{00000000-0005-0000-0000-000015030000}"/>
    <cellStyle name="20% - Accent5 6 3 2" xfId="13803" xr:uid="{225E4ED3-7FFF-4C83-A6CB-59E84141575D}"/>
    <cellStyle name="20% - Accent5 6 4" xfId="9585" xr:uid="{D10ABDEB-31BC-43B8-8211-B4157565FFB0}"/>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8D2909F2-6D69-4429-8CE4-5E086E02A9DF}"/>
    <cellStyle name="20% - Accent5 7 2 3" xfId="12143" xr:uid="{6C2FCE60-0F92-4850-918F-4DB0570E51BB}"/>
    <cellStyle name="20% - Accent5 7 3" xfId="5777" xr:uid="{00000000-0005-0000-0000-000019030000}"/>
    <cellStyle name="20% - Accent5 7 3 2" xfId="14216" xr:uid="{7CA3CF92-AE2C-4DF3-9707-86692E1BE8F4}"/>
    <cellStyle name="20% - Accent5 7 4" xfId="9998" xr:uid="{C923CC2B-70BE-4FE2-8683-EF98E2755EA3}"/>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0A4D1279-3116-403F-9A1D-9B12E6E93EFC}"/>
    <cellStyle name="20% - Accent5 8 2 3" xfId="12556" xr:uid="{EDBDD880-7589-4895-A579-AC98C2F5A590}"/>
    <cellStyle name="20% - Accent5 8 3" xfId="6190" xr:uid="{00000000-0005-0000-0000-00001D030000}"/>
    <cellStyle name="20% - Accent5 8 3 2" xfId="14629" xr:uid="{2CA9D6CC-C3E4-4306-8C06-C96C88A2FD0D}"/>
    <cellStyle name="20% - Accent5 8 4" xfId="10411" xr:uid="{BE26798E-A0CC-4FF0-88CC-1940C164110A}"/>
    <cellStyle name="20% - Accent5 9" xfId="2296" xr:uid="{00000000-0005-0000-0000-00001E030000}"/>
    <cellStyle name="20% - Accent5 9 2" xfId="6603" xr:uid="{00000000-0005-0000-0000-00001F030000}"/>
    <cellStyle name="20% - Accent5 9 2 2" xfId="15042" xr:uid="{A767891D-7025-472F-960D-4399A0549DE4}"/>
    <cellStyle name="20% - Accent5 9 3" xfId="10824" xr:uid="{4A5AC783-C324-4AAB-ABE9-41C3F4EB7BCF}"/>
    <cellStyle name="20% - Accent6" xfId="41" builtinId="50" customBuiltin="1"/>
    <cellStyle name="20% - Accent6 10" xfId="4545" xr:uid="{00000000-0005-0000-0000-000021030000}"/>
    <cellStyle name="20% - Accent6 10 2" xfId="12984" xr:uid="{6FB8DB85-7E37-401D-905E-A407C4FB08C4}"/>
    <cellStyle name="20% - Accent6 11" xfId="8766" xr:uid="{2DBEA739-0117-4254-81DA-872D7D5EA255}"/>
    <cellStyle name="20% - Accent6 2" xfId="42" xr:uid="{00000000-0005-0000-0000-000022030000}"/>
    <cellStyle name="20% - Accent6 2 10" xfId="8767" xr:uid="{9F7CCA03-8851-4205-A9BA-67A9AFB1E25A}"/>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A80A28B5-0BB0-48B4-86CF-2C7F1B33A4E1}"/>
    <cellStyle name="20% - Accent6 2 2 2 2 2 3" xfId="11328" xr:uid="{E6E10938-5B39-478A-806E-F142132E48FB}"/>
    <cellStyle name="20% - Accent6 2 2 2 2 3" xfId="4962" xr:uid="{00000000-0005-0000-0000-000028030000}"/>
    <cellStyle name="20% - Accent6 2 2 2 2 3 2" xfId="13401" xr:uid="{42ADD804-3A20-4344-817F-24768FD7B167}"/>
    <cellStyle name="20% - Accent6 2 2 2 2 4" xfId="9183" xr:uid="{9AE079C0-93B4-483F-B000-E4B5131DFAEC}"/>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8B0510AA-A747-40A2-B6A5-BE72710120FE}"/>
    <cellStyle name="20% - Accent6 2 2 2 3 2 3" xfId="11741" xr:uid="{BBD9AFEF-5576-4A72-AA7E-9226B2347823}"/>
    <cellStyle name="20% - Accent6 2 2 2 3 3" xfId="5375" xr:uid="{00000000-0005-0000-0000-00002C030000}"/>
    <cellStyle name="20% - Accent6 2 2 2 3 3 2" xfId="13814" xr:uid="{940053F5-04B4-4A42-91DA-BE738DDC1BBE}"/>
    <cellStyle name="20% - Accent6 2 2 2 3 4" xfId="9596" xr:uid="{05D58862-2898-4FD9-85DB-81DD17343AB6}"/>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C64EDE1C-26B6-4959-BE65-457285F1B1A0}"/>
    <cellStyle name="20% - Accent6 2 2 2 4 2 3" xfId="12154" xr:uid="{95A5D881-A06F-4C8E-AECE-1AB2789ED047}"/>
    <cellStyle name="20% - Accent6 2 2 2 4 3" xfId="5788" xr:uid="{00000000-0005-0000-0000-000030030000}"/>
    <cellStyle name="20% - Accent6 2 2 2 4 3 2" xfId="14227" xr:uid="{C7EA3142-2994-4081-9396-CDC3DEBF1595}"/>
    <cellStyle name="20% - Accent6 2 2 2 4 4" xfId="10009" xr:uid="{7E9BD928-BA68-4EF9-8AD9-AEB05E9AE179}"/>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8C787048-698B-4E89-BD45-87DCDF75AC3E}"/>
    <cellStyle name="20% - Accent6 2 2 2 5 2 3" xfId="12567" xr:uid="{AF4F0F10-37F0-487A-9C77-83DCB8AD9F87}"/>
    <cellStyle name="20% - Accent6 2 2 2 5 3" xfId="6201" xr:uid="{00000000-0005-0000-0000-000034030000}"/>
    <cellStyle name="20% - Accent6 2 2 2 5 3 2" xfId="14640" xr:uid="{EE9A2D36-52D3-4A65-BD95-B07A4847ED64}"/>
    <cellStyle name="20% - Accent6 2 2 2 5 4" xfId="10422" xr:uid="{4656A488-CAAC-4835-A855-A6E68CB8AB60}"/>
    <cellStyle name="20% - Accent6 2 2 2 6" xfId="2307" xr:uid="{00000000-0005-0000-0000-000035030000}"/>
    <cellStyle name="20% - Accent6 2 2 2 6 2" xfId="6614" xr:uid="{00000000-0005-0000-0000-000036030000}"/>
    <cellStyle name="20% - Accent6 2 2 2 6 2 2" xfId="15053" xr:uid="{B3009FCE-8D93-4E8C-9DA6-00B768E5C020}"/>
    <cellStyle name="20% - Accent6 2 2 2 6 3" xfId="10835" xr:uid="{EE6E8C96-03CB-4A86-A908-55B61920D5D9}"/>
    <cellStyle name="20% - Accent6 2 2 2 7" xfId="4548" xr:uid="{00000000-0005-0000-0000-000037030000}"/>
    <cellStyle name="20% - Accent6 2 2 2 7 2" xfId="12987" xr:uid="{B200164A-EFD0-4768-9D79-AB0DA097A469}"/>
    <cellStyle name="20% - Accent6 2 2 2 8" xfId="8769" xr:uid="{6A8AA707-70C9-4F51-BF28-279B1B3BD062}"/>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F2302863-96DB-4388-91F0-36DB7303158F}"/>
    <cellStyle name="20% - Accent6 2 2 3 2 3" xfId="11327" xr:uid="{74905193-D6ED-499B-950D-E1EBA88EFBB8}"/>
    <cellStyle name="20% - Accent6 2 2 3 3" xfId="4961" xr:uid="{00000000-0005-0000-0000-00003B030000}"/>
    <cellStyle name="20% - Accent6 2 2 3 3 2" xfId="13400" xr:uid="{BF09287C-3810-4EF2-8520-E6217676D21F}"/>
    <cellStyle name="20% - Accent6 2 2 3 4" xfId="9182" xr:uid="{904D580A-3988-4143-BC6C-AAC2EB9E7A9F}"/>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4AC7D57D-1B95-4BE3-9B84-DCCAA7E31C8F}"/>
    <cellStyle name="20% - Accent6 2 2 4 2 3" xfId="11740" xr:uid="{0309ED5E-8967-4653-935B-C91C51E9AEE1}"/>
    <cellStyle name="20% - Accent6 2 2 4 3" xfId="5374" xr:uid="{00000000-0005-0000-0000-00003F030000}"/>
    <cellStyle name="20% - Accent6 2 2 4 3 2" xfId="13813" xr:uid="{98305630-722B-4EA0-B6C3-5EB628A67CED}"/>
    <cellStyle name="20% - Accent6 2 2 4 4" xfId="9595" xr:uid="{ECBA8AB5-C261-4CF9-9C03-3F02217379F4}"/>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AB8919B8-D24A-47B9-957A-BE4E663C745D}"/>
    <cellStyle name="20% - Accent6 2 2 5 2 3" xfId="12153" xr:uid="{C1B6B6AC-E716-4414-924A-BBCF376BEAB2}"/>
    <cellStyle name="20% - Accent6 2 2 5 3" xfId="5787" xr:uid="{00000000-0005-0000-0000-000043030000}"/>
    <cellStyle name="20% - Accent6 2 2 5 3 2" xfId="14226" xr:uid="{F824A087-E9BD-4977-89A4-090EA9629787}"/>
    <cellStyle name="20% - Accent6 2 2 5 4" xfId="10008" xr:uid="{BD841075-C23E-47EA-BAA5-8FEAD0CA1C2D}"/>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E3D4FE70-3DC1-4F7A-8F3B-3DBEBF1FAB05}"/>
    <cellStyle name="20% - Accent6 2 2 6 2 3" xfId="12566" xr:uid="{E9A46253-8A9F-46F7-9151-A7F0454A9BB2}"/>
    <cellStyle name="20% - Accent6 2 2 6 3" xfId="6200" xr:uid="{00000000-0005-0000-0000-000047030000}"/>
    <cellStyle name="20% - Accent6 2 2 6 3 2" xfId="14639" xr:uid="{30406582-8940-4F7D-BFF8-7D8A0EF08711}"/>
    <cellStyle name="20% - Accent6 2 2 6 4" xfId="10421" xr:uid="{F97280C2-B8D9-411E-A18B-7F32D23758F2}"/>
    <cellStyle name="20% - Accent6 2 2 7" xfId="2306" xr:uid="{00000000-0005-0000-0000-000048030000}"/>
    <cellStyle name="20% - Accent6 2 2 7 2" xfId="6613" xr:uid="{00000000-0005-0000-0000-000049030000}"/>
    <cellStyle name="20% - Accent6 2 2 7 2 2" xfId="15052" xr:uid="{700E1400-5DDB-42F9-AF88-E41A33F2A630}"/>
    <cellStyle name="20% - Accent6 2 2 7 3" xfId="10834" xr:uid="{7C46C9B9-8BB1-4ADD-9004-EF59DE498710}"/>
    <cellStyle name="20% - Accent6 2 2 8" xfId="4547" xr:uid="{00000000-0005-0000-0000-00004A030000}"/>
    <cellStyle name="20% - Accent6 2 2 8 2" xfId="12986" xr:uid="{F47A2658-E599-4C27-B37A-26AAC6EC5195}"/>
    <cellStyle name="20% - Accent6 2 2 9" xfId="8768" xr:uid="{188A4F52-7507-461F-AE9B-65E046C9F686}"/>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8C254B6B-2AB1-4787-BBFE-87A0F3286337}"/>
    <cellStyle name="20% - Accent6 2 3 2 2 3" xfId="11329" xr:uid="{0B0DF864-109E-4ACC-9E21-DA7D6F322DF1}"/>
    <cellStyle name="20% - Accent6 2 3 2 3" xfId="4963" xr:uid="{00000000-0005-0000-0000-00004F030000}"/>
    <cellStyle name="20% - Accent6 2 3 2 3 2" xfId="13402" xr:uid="{0903A1FE-083A-4276-AC4F-4ADDF7654C90}"/>
    <cellStyle name="20% - Accent6 2 3 2 4" xfId="9184" xr:uid="{4FAD5B97-E096-4F80-B483-417C35C7FAE8}"/>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CBAE1B48-2411-4579-B0E9-62050AA14890}"/>
    <cellStyle name="20% - Accent6 2 3 3 2 3" xfId="11742" xr:uid="{0F51419A-40A5-496A-B4A1-E42CF11978EC}"/>
    <cellStyle name="20% - Accent6 2 3 3 3" xfId="5376" xr:uid="{00000000-0005-0000-0000-000053030000}"/>
    <cellStyle name="20% - Accent6 2 3 3 3 2" xfId="13815" xr:uid="{2CE4A9DF-CEEF-4DA5-B608-B6C3B45227FB}"/>
    <cellStyle name="20% - Accent6 2 3 3 4" xfId="9597" xr:uid="{D8A61C40-7E14-4B67-BE2E-81A38E5C2213}"/>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CC986C5A-156F-4D5D-92C2-C7D94E66D599}"/>
    <cellStyle name="20% - Accent6 2 3 4 2 3" xfId="12155" xr:uid="{66697817-5AE5-412F-B872-17DF37C40FD9}"/>
    <cellStyle name="20% - Accent6 2 3 4 3" xfId="5789" xr:uid="{00000000-0005-0000-0000-000057030000}"/>
    <cellStyle name="20% - Accent6 2 3 4 3 2" xfId="14228" xr:uid="{3BF34891-C968-4329-B052-BF6B7CFE59EA}"/>
    <cellStyle name="20% - Accent6 2 3 4 4" xfId="10010" xr:uid="{153148E8-07EB-4D51-BB39-C8C23031B3DD}"/>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9C9B4A77-32AB-4712-8DCD-B8059E8411EB}"/>
    <cellStyle name="20% - Accent6 2 3 5 2 3" xfId="12568" xr:uid="{9E846439-CAD6-44C2-8BC4-7B220F30636A}"/>
    <cellStyle name="20% - Accent6 2 3 5 3" xfId="6202" xr:uid="{00000000-0005-0000-0000-00005B030000}"/>
    <cellStyle name="20% - Accent6 2 3 5 3 2" xfId="14641" xr:uid="{E057DA7A-2745-49FF-8654-0982E6B69192}"/>
    <cellStyle name="20% - Accent6 2 3 5 4" xfId="10423" xr:uid="{258E35EF-5797-4890-BAE1-385D497EDDCD}"/>
    <cellStyle name="20% - Accent6 2 3 6" xfId="2308" xr:uid="{00000000-0005-0000-0000-00005C030000}"/>
    <cellStyle name="20% - Accent6 2 3 6 2" xfId="6615" xr:uid="{00000000-0005-0000-0000-00005D030000}"/>
    <cellStyle name="20% - Accent6 2 3 6 2 2" xfId="15054" xr:uid="{9093F7C1-43BD-4BB5-9DD3-454A7702560B}"/>
    <cellStyle name="20% - Accent6 2 3 6 3" xfId="10836" xr:uid="{06C3A8EF-561D-4E63-AC7F-12A5574E8AB2}"/>
    <cellStyle name="20% - Accent6 2 3 7" xfId="4549" xr:uid="{00000000-0005-0000-0000-00005E030000}"/>
    <cellStyle name="20% - Accent6 2 3 7 2" xfId="12988" xr:uid="{C5B4CE02-C341-4DEA-986C-1DE9D614B827}"/>
    <cellStyle name="20% - Accent6 2 3 8" xfId="8770" xr:uid="{45AA72B5-B7C5-4B59-BA41-B5B60ED11415}"/>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82145D73-F52D-4BA8-AE27-A0EA5948AE3F}"/>
    <cellStyle name="20% - Accent6 2 4 2 3" xfId="11326" xr:uid="{BA5B581D-CC0D-441F-ABC2-5C32526DBA50}"/>
    <cellStyle name="20% - Accent6 2 4 3" xfId="4960" xr:uid="{00000000-0005-0000-0000-000062030000}"/>
    <cellStyle name="20% - Accent6 2 4 3 2" xfId="13399" xr:uid="{9519FF48-C073-4912-9466-9B0666E0AAC7}"/>
    <cellStyle name="20% - Accent6 2 4 4" xfId="9181" xr:uid="{460DCFAF-332A-427E-8187-8D0D16DB4B58}"/>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7293CDF5-6F56-4A2B-BE4C-A6BA83328172}"/>
    <cellStyle name="20% - Accent6 2 5 2 3" xfId="11739" xr:uid="{E8D4B49D-85CC-4967-B07E-2BAAE72BA7F4}"/>
    <cellStyle name="20% - Accent6 2 5 3" xfId="5373" xr:uid="{00000000-0005-0000-0000-000066030000}"/>
    <cellStyle name="20% - Accent6 2 5 3 2" xfId="13812" xr:uid="{2097D55F-757F-44A8-BA4D-F6B5E60F54E5}"/>
    <cellStyle name="20% - Accent6 2 5 4" xfId="9594" xr:uid="{C534D60B-D28C-4D9B-85F6-41C744DB185F}"/>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AEA12843-0581-49A2-883D-40C17001775A}"/>
    <cellStyle name="20% - Accent6 2 6 2 3" xfId="12152" xr:uid="{8BC68D98-86D2-44E8-8AC8-7F04186312F6}"/>
    <cellStyle name="20% - Accent6 2 6 3" xfId="5786" xr:uid="{00000000-0005-0000-0000-00006A030000}"/>
    <cellStyle name="20% - Accent6 2 6 3 2" xfId="14225" xr:uid="{789E5F27-8F2C-4317-9598-A68C46768414}"/>
    <cellStyle name="20% - Accent6 2 6 4" xfId="10007" xr:uid="{A21C8B84-CF57-424A-AF19-0CAE5800F76C}"/>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B61CDED3-0EE7-4189-BEFC-79B979084124}"/>
    <cellStyle name="20% - Accent6 2 7 2 3" xfId="12565" xr:uid="{21160F6D-0EA4-4012-9298-AFC720D9D7B9}"/>
    <cellStyle name="20% - Accent6 2 7 3" xfId="6199" xr:uid="{00000000-0005-0000-0000-00006E030000}"/>
    <cellStyle name="20% - Accent6 2 7 3 2" xfId="14638" xr:uid="{DAB3BCA5-E571-4827-8075-8B9C35CDEB25}"/>
    <cellStyle name="20% - Accent6 2 7 4" xfId="10420" xr:uid="{87A3D67F-ABA4-4018-8F10-28A6E4155B7D}"/>
    <cellStyle name="20% - Accent6 2 8" xfId="2305" xr:uid="{00000000-0005-0000-0000-00006F030000}"/>
    <cellStyle name="20% - Accent6 2 8 2" xfId="6612" xr:uid="{00000000-0005-0000-0000-000070030000}"/>
    <cellStyle name="20% - Accent6 2 8 2 2" xfId="15051" xr:uid="{D2F48FE8-D1A5-48EC-B175-C5A2FE9D9FD0}"/>
    <cellStyle name="20% - Accent6 2 8 3" xfId="10833" xr:uid="{43DBD7D1-B668-4E16-AE9E-27843CD9FB1E}"/>
    <cellStyle name="20% - Accent6 2 9" xfId="4546" xr:uid="{00000000-0005-0000-0000-000071030000}"/>
    <cellStyle name="20% - Accent6 2 9 2" xfId="12985" xr:uid="{F6A56183-0EFB-4FBC-94C3-9DA97375C1F4}"/>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6132F8AA-1B08-4D9C-8330-EA07621C3B49}"/>
    <cellStyle name="20% - Accent6 3 2 2 2 3" xfId="11331" xr:uid="{53EB7508-07C8-4216-AE84-CBFF55EA6135}"/>
    <cellStyle name="20% - Accent6 3 2 2 3" xfId="4965" xr:uid="{00000000-0005-0000-0000-000077030000}"/>
    <cellStyle name="20% - Accent6 3 2 2 3 2" xfId="13404" xr:uid="{BF1F00C7-80F7-430F-BB2E-529E141D3CCA}"/>
    <cellStyle name="20% - Accent6 3 2 2 4" xfId="9186" xr:uid="{DA43E2A6-6B60-4D13-B156-399DEE36A0B8}"/>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D2AA177D-8FDD-4EE9-B50B-684B245C6250}"/>
    <cellStyle name="20% - Accent6 3 2 3 2 3" xfId="11744" xr:uid="{6BA54872-5DFF-4ED8-A7A5-82D43AFE922D}"/>
    <cellStyle name="20% - Accent6 3 2 3 3" xfId="5378" xr:uid="{00000000-0005-0000-0000-00007B030000}"/>
    <cellStyle name="20% - Accent6 3 2 3 3 2" xfId="13817" xr:uid="{A336559A-30A2-484A-B56A-D090ACC79851}"/>
    <cellStyle name="20% - Accent6 3 2 3 4" xfId="9599" xr:uid="{8D846B37-5B66-45C9-BA9E-CCFF4BF70D13}"/>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490A39B0-2A0E-4F3B-A4A7-39230BAE8769}"/>
    <cellStyle name="20% - Accent6 3 2 4 2 3" xfId="12157" xr:uid="{F7128D88-C68D-44A4-80E5-3D2CA55A01FF}"/>
    <cellStyle name="20% - Accent6 3 2 4 3" xfId="5791" xr:uid="{00000000-0005-0000-0000-00007F030000}"/>
    <cellStyle name="20% - Accent6 3 2 4 3 2" xfId="14230" xr:uid="{6AAD28C0-511E-478F-8704-5BB27628D745}"/>
    <cellStyle name="20% - Accent6 3 2 4 4" xfId="10012" xr:uid="{E7FC37B9-9782-4643-8DC4-F41283C00B08}"/>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70A87772-B0CC-41EE-99D1-2A54DF39D21C}"/>
    <cellStyle name="20% - Accent6 3 2 5 2 3" xfId="12570" xr:uid="{8CD2A192-673F-45C8-BCB9-4CE9FDD79F62}"/>
    <cellStyle name="20% - Accent6 3 2 5 3" xfId="6204" xr:uid="{00000000-0005-0000-0000-000083030000}"/>
    <cellStyle name="20% - Accent6 3 2 5 3 2" xfId="14643" xr:uid="{9EB195BE-436A-4645-A7DA-E918F40EFDD1}"/>
    <cellStyle name="20% - Accent6 3 2 5 4" xfId="10425" xr:uid="{8C4FF6E8-84CF-438F-B9B6-FDA59362E645}"/>
    <cellStyle name="20% - Accent6 3 2 6" xfId="2310" xr:uid="{00000000-0005-0000-0000-000084030000}"/>
    <cellStyle name="20% - Accent6 3 2 6 2" xfId="6617" xr:uid="{00000000-0005-0000-0000-000085030000}"/>
    <cellStyle name="20% - Accent6 3 2 6 2 2" xfId="15056" xr:uid="{0F3825A8-FDEB-4F13-BF37-5495811E1239}"/>
    <cellStyle name="20% - Accent6 3 2 6 3" xfId="10838" xr:uid="{7E4E3693-5C80-49A2-9347-71587F4CEAC6}"/>
    <cellStyle name="20% - Accent6 3 2 7" xfId="4551" xr:uid="{00000000-0005-0000-0000-000086030000}"/>
    <cellStyle name="20% - Accent6 3 2 7 2" xfId="12990" xr:uid="{749E2563-C1B4-4BE5-BF29-4C7BA229F9CE}"/>
    <cellStyle name="20% - Accent6 3 2 8" xfId="8772" xr:uid="{E79C6073-9B3F-4350-B22C-F504C1576852}"/>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FB5428CD-559A-4098-8DD5-166EE79A753B}"/>
    <cellStyle name="20% - Accent6 3 3 2 3" xfId="11330" xr:uid="{4F8FE2BE-62FE-4A20-9E04-D6769B0CA060}"/>
    <cellStyle name="20% - Accent6 3 3 3" xfId="4964" xr:uid="{00000000-0005-0000-0000-00008A030000}"/>
    <cellStyle name="20% - Accent6 3 3 3 2" xfId="13403" xr:uid="{8BCB491F-F574-400D-AC55-B54DF39F4BED}"/>
    <cellStyle name="20% - Accent6 3 3 4" xfId="9185" xr:uid="{22A655FB-9873-476D-9AE8-4F60419ACF75}"/>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964DFB8B-F98E-4F0C-A207-5B0910247403}"/>
    <cellStyle name="20% - Accent6 3 4 2 3" xfId="11743" xr:uid="{67354131-0BBC-4904-BA0B-EB1F098DB3BC}"/>
    <cellStyle name="20% - Accent6 3 4 3" xfId="5377" xr:uid="{00000000-0005-0000-0000-00008E030000}"/>
    <cellStyle name="20% - Accent6 3 4 3 2" xfId="13816" xr:uid="{3D418CB8-C9BA-42CC-8F1B-C6B82C603963}"/>
    <cellStyle name="20% - Accent6 3 4 4" xfId="9598" xr:uid="{BB1A48B3-A05B-4F87-9E81-C07277EE0E2E}"/>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5238B244-F259-4F14-8E56-A94E271FE2DB}"/>
    <cellStyle name="20% - Accent6 3 5 2 3" xfId="12156" xr:uid="{F2FB99DF-67D4-49C7-8376-85C1D68B18C8}"/>
    <cellStyle name="20% - Accent6 3 5 3" xfId="5790" xr:uid="{00000000-0005-0000-0000-000092030000}"/>
    <cellStyle name="20% - Accent6 3 5 3 2" xfId="14229" xr:uid="{B94D6B27-050B-464C-A3DB-014C2BFDEBCB}"/>
    <cellStyle name="20% - Accent6 3 5 4" xfId="10011" xr:uid="{239AFEEA-8434-4D9B-9991-9ACD91BB5FA0}"/>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36270DF6-2FE7-43FD-850D-471B8E1373A3}"/>
    <cellStyle name="20% - Accent6 3 6 2 3" xfId="12569" xr:uid="{05FF1632-8CEB-4446-9D5F-115629254B46}"/>
    <cellStyle name="20% - Accent6 3 6 3" xfId="6203" xr:uid="{00000000-0005-0000-0000-000096030000}"/>
    <cellStyle name="20% - Accent6 3 6 3 2" xfId="14642" xr:uid="{DBD0BADC-F9C9-437B-9546-AB457E924E3A}"/>
    <cellStyle name="20% - Accent6 3 6 4" xfId="10424" xr:uid="{8A4B0EFB-EBBB-4A77-B4D4-5A006647BBBD}"/>
    <cellStyle name="20% - Accent6 3 7" xfId="2309" xr:uid="{00000000-0005-0000-0000-000097030000}"/>
    <cellStyle name="20% - Accent6 3 7 2" xfId="6616" xr:uid="{00000000-0005-0000-0000-000098030000}"/>
    <cellStyle name="20% - Accent6 3 7 2 2" xfId="15055" xr:uid="{215E4E96-70CE-4A86-9795-A2DD685B74CB}"/>
    <cellStyle name="20% - Accent6 3 7 3" xfId="10837" xr:uid="{9AE2CE67-0FB1-47F4-8075-8B15331412D0}"/>
    <cellStyle name="20% - Accent6 3 8" xfId="4550" xr:uid="{00000000-0005-0000-0000-000099030000}"/>
    <cellStyle name="20% - Accent6 3 8 2" xfId="12989" xr:uid="{10DAB1AA-E819-414D-97BC-01BB87FC75A8}"/>
    <cellStyle name="20% - Accent6 3 9" xfId="8771" xr:uid="{0B41C94C-8991-4E40-BED2-77484EA7663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8FC3A66E-D201-455E-B15C-A12C4B4E2D10}"/>
    <cellStyle name="20% - Accent6 4 2 2 3" xfId="11332" xr:uid="{9B0309D6-FCCE-4B47-B6DB-CDEEA2B2B346}"/>
    <cellStyle name="20% - Accent6 4 2 3" xfId="4966" xr:uid="{00000000-0005-0000-0000-00009E030000}"/>
    <cellStyle name="20% - Accent6 4 2 3 2" xfId="13405" xr:uid="{D8D0E363-0B28-42D8-AD31-BEE25CF3B28A}"/>
    <cellStyle name="20% - Accent6 4 2 4" xfId="9187" xr:uid="{9E70DFF4-94FD-432B-955F-96AB839C269A}"/>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6AE57F89-2A0B-41EB-AD95-D1260672CE57}"/>
    <cellStyle name="20% - Accent6 4 3 2 3" xfId="11745" xr:uid="{ED9267C6-C974-4DCF-8CAC-A4DE391A4249}"/>
    <cellStyle name="20% - Accent6 4 3 3" xfId="5379" xr:uid="{00000000-0005-0000-0000-0000A2030000}"/>
    <cellStyle name="20% - Accent6 4 3 3 2" xfId="13818" xr:uid="{8BF01CE6-6210-45CD-966A-52370FB8D813}"/>
    <cellStyle name="20% - Accent6 4 3 4" xfId="9600" xr:uid="{B2D41F1E-B0CC-4447-8CE7-E37B7740905A}"/>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E4A4799A-504D-41A8-8664-EDFFE334C5FF}"/>
    <cellStyle name="20% - Accent6 4 4 2 3" xfId="12158" xr:uid="{84DB3AC0-D256-47B4-A599-23E8C9C90089}"/>
    <cellStyle name="20% - Accent6 4 4 3" xfId="5792" xr:uid="{00000000-0005-0000-0000-0000A6030000}"/>
    <cellStyle name="20% - Accent6 4 4 3 2" xfId="14231" xr:uid="{773103BD-9DB3-46CD-803A-4461F71B42E2}"/>
    <cellStyle name="20% - Accent6 4 4 4" xfId="10013" xr:uid="{B7BDB752-C9BD-4983-BF65-25D3E7988C03}"/>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AC0A8BB3-CA36-4A22-9598-85D987407D0F}"/>
    <cellStyle name="20% - Accent6 4 5 2 3" xfId="12571" xr:uid="{BD42EE65-B5D0-4E0B-A0A1-255FD7DD2DB7}"/>
    <cellStyle name="20% - Accent6 4 5 3" xfId="6205" xr:uid="{00000000-0005-0000-0000-0000AA030000}"/>
    <cellStyle name="20% - Accent6 4 5 3 2" xfId="14644" xr:uid="{CA26F1EF-7F87-4965-95BA-384856DD6F96}"/>
    <cellStyle name="20% - Accent6 4 5 4" xfId="10426" xr:uid="{955AFC23-08EB-4A95-8C6F-8F7FCCB563AC}"/>
    <cellStyle name="20% - Accent6 4 6" xfId="2311" xr:uid="{00000000-0005-0000-0000-0000AB030000}"/>
    <cellStyle name="20% - Accent6 4 6 2" xfId="6618" xr:uid="{00000000-0005-0000-0000-0000AC030000}"/>
    <cellStyle name="20% - Accent6 4 6 2 2" xfId="15057" xr:uid="{8658C92D-E6F0-414E-942A-26D5E502D266}"/>
    <cellStyle name="20% - Accent6 4 6 3" xfId="10839" xr:uid="{684515CC-5C3B-4048-A211-58FFE176D1CE}"/>
    <cellStyle name="20% - Accent6 4 7" xfId="4552" xr:uid="{00000000-0005-0000-0000-0000AD030000}"/>
    <cellStyle name="20% - Accent6 4 7 2" xfId="12991" xr:uid="{E88B8ADD-8951-491B-9C6D-37A282529348}"/>
    <cellStyle name="20% - Accent6 4 8" xfId="8773" xr:uid="{C2B55147-2C19-401E-AD09-3DB1EB49991A}"/>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677272F0-3368-4FCD-AA1E-0B4A458D3021}"/>
    <cellStyle name="20% - Accent6 5 2 3" xfId="11325" xr:uid="{4EC2F450-13E1-4427-8E73-C35598AED849}"/>
    <cellStyle name="20% - Accent6 5 3" xfId="4959" xr:uid="{00000000-0005-0000-0000-0000B1030000}"/>
    <cellStyle name="20% - Accent6 5 3 2" xfId="13398" xr:uid="{A04D4586-1681-4AC7-A9B5-390761455210}"/>
    <cellStyle name="20% - Accent6 5 4" xfId="9180" xr:uid="{41FC9E67-42C5-4A22-AB0F-127BCF0ECFB7}"/>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53E192A8-8478-4F41-BAF9-1E4891F8DA2E}"/>
    <cellStyle name="20% - Accent6 6 2 3" xfId="11738" xr:uid="{E88AE29A-0E93-4B43-B40F-73CE260C2959}"/>
    <cellStyle name="20% - Accent6 6 3" xfId="5372" xr:uid="{00000000-0005-0000-0000-0000B5030000}"/>
    <cellStyle name="20% - Accent6 6 3 2" xfId="13811" xr:uid="{3C2A43B2-F651-48B4-96B1-BFBF97C6647F}"/>
    <cellStyle name="20% - Accent6 6 4" xfId="9593" xr:uid="{6FB76DB1-4E96-4187-BEA0-3E57D3D5DDBD}"/>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8CA3CF93-6380-493F-A3CA-3615FF1D9521}"/>
    <cellStyle name="20% - Accent6 7 2 3" xfId="12151" xr:uid="{27ECC8A4-F454-41B4-990C-420C8E002D15}"/>
    <cellStyle name="20% - Accent6 7 3" xfId="5785" xr:uid="{00000000-0005-0000-0000-0000B9030000}"/>
    <cellStyle name="20% - Accent6 7 3 2" xfId="14224" xr:uid="{412C759D-0E7B-4C8B-BE6F-76AB0BF2A591}"/>
    <cellStyle name="20% - Accent6 7 4" xfId="10006" xr:uid="{43619C39-7566-48A4-A0A0-97C5A39560BB}"/>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F54F9466-79D4-454A-8934-E96A79460AE0}"/>
    <cellStyle name="20% - Accent6 8 2 3" xfId="12564" xr:uid="{83495AA9-6BD5-4C8C-9871-47654C1FE92A}"/>
    <cellStyle name="20% - Accent6 8 3" xfId="6198" xr:uid="{00000000-0005-0000-0000-0000BD030000}"/>
    <cellStyle name="20% - Accent6 8 3 2" xfId="14637" xr:uid="{6E45DF46-A63B-43BA-9264-0D1931B095B3}"/>
    <cellStyle name="20% - Accent6 8 4" xfId="10419" xr:uid="{0BE2F79C-45A9-40BA-AEAA-3692174B0481}"/>
    <cellStyle name="20% - Accent6 9" xfId="2304" xr:uid="{00000000-0005-0000-0000-0000BE030000}"/>
    <cellStyle name="20% - Accent6 9 2" xfId="6611" xr:uid="{00000000-0005-0000-0000-0000BF030000}"/>
    <cellStyle name="20% - Accent6 9 2 2" xfId="15050" xr:uid="{0F688ECD-F001-4D01-B3D6-E2885DE29501}"/>
    <cellStyle name="20% - Accent6 9 3" xfId="10832" xr:uid="{29388F17-2EE2-4482-A0D9-D7A0533ED6E8}"/>
    <cellStyle name="40% - Accent1" xfId="49" builtinId="31" customBuiltin="1"/>
    <cellStyle name="40% - Accent1 10" xfId="4553" xr:uid="{00000000-0005-0000-0000-0000C1030000}"/>
    <cellStyle name="40% - Accent1 10 2" xfId="12992" xr:uid="{DB7A7BE2-3617-46BC-B553-45E64F68B996}"/>
    <cellStyle name="40% - Accent1 11" xfId="8774" xr:uid="{B4340685-60E0-4E3B-9EBC-B0E8A7321671}"/>
    <cellStyle name="40% - Accent1 2" xfId="50" xr:uid="{00000000-0005-0000-0000-0000C2030000}"/>
    <cellStyle name="40% - Accent1 2 10" xfId="8775" xr:uid="{8C3F3627-A993-4BDA-87A1-58977899307B}"/>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36AA7EF2-2E2A-4D5A-80E2-06E7677CCD56}"/>
    <cellStyle name="40% - Accent1 2 2 2 2 2 3" xfId="11336" xr:uid="{7751CF02-EDF5-44A8-96A6-D10DD49CF5FA}"/>
    <cellStyle name="40% - Accent1 2 2 2 2 3" xfId="4970" xr:uid="{00000000-0005-0000-0000-0000C8030000}"/>
    <cellStyle name="40% - Accent1 2 2 2 2 3 2" xfId="13409" xr:uid="{10D7DC3B-D6B5-402C-91F9-4D4833C2526E}"/>
    <cellStyle name="40% - Accent1 2 2 2 2 4" xfId="9191" xr:uid="{7F252E87-537B-415F-A5BD-B38DD59D277B}"/>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5D4BD885-C016-46F7-919C-CC17A6B12732}"/>
    <cellStyle name="40% - Accent1 2 2 2 3 2 3" xfId="11749" xr:uid="{9C9B3ACD-5F32-4836-ADF2-2CB1178DBEE3}"/>
    <cellStyle name="40% - Accent1 2 2 2 3 3" xfId="5383" xr:uid="{00000000-0005-0000-0000-0000CC030000}"/>
    <cellStyle name="40% - Accent1 2 2 2 3 3 2" xfId="13822" xr:uid="{0222F027-EFC1-4EF2-A34E-58F3F6AF1F49}"/>
    <cellStyle name="40% - Accent1 2 2 2 3 4" xfId="9604" xr:uid="{E1DAA31E-8933-43BD-A6D7-5BEA258B5C9D}"/>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98562501-C596-46B1-BFF0-E0BFACCE8649}"/>
    <cellStyle name="40% - Accent1 2 2 2 4 2 3" xfId="12162" xr:uid="{ABC8A477-C685-4952-BE33-CB66ECE97AD8}"/>
    <cellStyle name="40% - Accent1 2 2 2 4 3" xfId="5796" xr:uid="{00000000-0005-0000-0000-0000D0030000}"/>
    <cellStyle name="40% - Accent1 2 2 2 4 3 2" xfId="14235" xr:uid="{FB158632-800B-41B6-8C14-78AA1056A42E}"/>
    <cellStyle name="40% - Accent1 2 2 2 4 4" xfId="10017" xr:uid="{9965E79F-FC6F-439F-872F-D29BA47A9CAF}"/>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1BD372C7-AA61-4607-971F-7F00775560B7}"/>
    <cellStyle name="40% - Accent1 2 2 2 5 2 3" xfId="12575" xr:uid="{2E731F8B-3C3A-4EB1-AD64-BBB105043E44}"/>
    <cellStyle name="40% - Accent1 2 2 2 5 3" xfId="6209" xr:uid="{00000000-0005-0000-0000-0000D4030000}"/>
    <cellStyle name="40% - Accent1 2 2 2 5 3 2" xfId="14648" xr:uid="{51CEB096-D18D-4B2E-8C0C-FF8A29BFFABE}"/>
    <cellStyle name="40% - Accent1 2 2 2 5 4" xfId="10430" xr:uid="{79E68EE2-7A80-4C12-BF58-9FEF6B380C32}"/>
    <cellStyle name="40% - Accent1 2 2 2 6" xfId="2315" xr:uid="{00000000-0005-0000-0000-0000D5030000}"/>
    <cellStyle name="40% - Accent1 2 2 2 6 2" xfId="6622" xr:uid="{00000000-0005-0000-0000-0000D6030000}"/>
    <cellStyle name="40% - Accent1 2 2 2 6 2 2" xfId="15061" xr:uid="{74F95CA9-7AC1-48ED-AB5D-DC4DC8607F60}"/>
    <cellStyle name="40% - Accent1 2 2 2 6 3" xfId="10843" xr:uid="{FD010844-D3DB-453D-989F-E5D17C0CE2A8}"/>
    <cellStyle name="40% - Accent1 2 2 2 7" xfId="4556" xr:uid="{00000000-0005-0000-0000-0000D7030000}"/>
    <cellStyle name="40% - Accent1 2 2 2 7 2" xfId="12995" xr:uid="{777DBCF8-E216-4E5C-8D81-E98B368515CC}"/>
    <cellStyle name="40% - Accent1 2 2 2 8" xfId="8777" xr:uid="{CB96C85B-57F6-43FB-AE64-04286EAE959E}"/>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B72EC98D-8E76-4D45-BC36-88EEF3F555FC}"/>
    <cellStyle name="40% - Accent1 2 2 3 2 3" xfId="11335" xr:uid="{43C73023-B5CE-42A4-B9DE-208170D62973}"/>
    <cellStyle name="40% - Accent1 2 2 3 3" xfId="4969" xr:uid="{00000000-0005-0000-0000-0000DB030000}"/>
    <cellStyle name="40% - Accent1 2 2 3 3 2" xfId="13408" xr:uid="{9A3D6E8C-F2D1-454B-A7DB-DB0ACF5CD755}"/>
    <cellStyle name="40% - Accent1 2 2 3 4" xfId="9190" xr:uid="{B1030C64-2C94-40E4-9714-662CD0BE5DEB}"/>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F3CCD6DA-1D8F-4461-ADC9-DD4E6AD5F6BC}"/>
    <cellStyle name="40% - Accent1 2 2 4 2 3" xfId="11748" xr:uid="{88F737FA-B7A2-477C-9068-972AF722212C}"/>
    <cellStyle name="40% - Accent1 2 2 4 3" xfId="5382" xr:uid="{00000000-0005-0000-0000-0000DF030000}"/>
    <cellStyle name="40% - Accent1 2 2 4 3 2" xfId="13821" xr:uid="{D5644056-0CCC-46CB-9E3F-478D1EA34B07}"/>
    <cellStyle name="40% - Accent1 2 2 4 4" xfId="9603" xr:uid="{A6F5E75A-E5BB-4FF2-8691-DC035975E76A}"/>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6B925E61-B26B-454D-9EA5-0C96E4434C86}"/>
    <cellStyle name="40% - Accent1 2 2 5 2 3" xfId="12161" xr:uid="{7E076B55-2BF1-4304-9152-3C4067159AF5}"/>
    <cellStyle name="40% - Accent1 2 2 5 3" xfId="5795" xr:uid="{00000000-0005-0000-0000-0000E3030000}"/>
    <cellStyle name="40% - Accent1 2 2 5 3 2" xfId="14234" xr:uid="{03206551-DA07-422F-8D32-B68E4686A137}"/>
    <cellStyle name="40% - Accent1 2 2 5 4" xfId="10016" xr:uid="{462D0D1A-69DB-4EA2-B81C-7D060AABD97C}"/>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17B24958-741C-4018-B2A5-B1A13DE6565E}"/>
    <cellStyle name="40% - Accent1 2 2 6 2 3" xfId="12574" xr:uid="{D739E7A5-F082-44BA-9666-BF8C3FD99D05}"/>
    <cellStyle name="40% - Accent1 2 2 6 3" xfId="6208" xr:uid="{00000000-0005-0000-0000-0000E7030000}"/>
    <cellStyle name="40% - Accent1 2 2 6 3 2" xfId="14647" xr:uid="{C8CE8218-C5F6-416E-81B9-616A559403E5}"/>
    <cellStyle name="40% - Accent1 2 2 6 4" xfId="10429" xr:uid="{4F54BBC8-0C2F-4091-B625-12524F7239F8}"/>
    <cellStyle name="40% - Accent1 2 2 7" xfId="2314" xr:uid="{00000000-0005-0000-0000-0000E8030000}"/>
    <cellStyle name="40% - Accent1 2 2 7 2" xfId="6621" xr:uid="{00000000-0005-0000-0000-0000E9030000}"/>
    <cellStyle name="40% - Accent1 2 2 7 2 2" xfId="15060" xr:uid="{700C20F1-1982-4A90-9F38-53FD9A000177}"/>
    <cellStyle name="40% - Accent1 2 2 7 3" xfId="10842" xr:uid="{78B64AC1-655D-4B30-BF65-EBCA02AAC0B5}"/>
    <cellStyle name="40% - Accent1 2 2 8" xfId="4555" xr:uid="{00000000-0005-0000-0000-0000EA030000}"/>
    <cellStyle name="40% - Accent1 2 2 8 2" xfId="12994" xr:uid="{2E74AAF6-885F-432E-9D79-64FD591B4F8D}"/>
    <cellStyle name="40% - Accent1 2 2 9" xfId="8776" xr:uid="{82ED40C8-FEF1-4AF4-9C02-78327E251AFA}"/>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4B6C0D49-7927-40E0-9FF7-DF41A86106F1}"/>
    <cellStyle name="40% - Accent1 2 3 2 2 3" xfId="11337" xr:uid="{7339784F-C56A-4CE1-973A-5A0BEEC7A840}"/>
    <cellStyle name="40% - Accent1 2 3 2 3" xfId="4971" xr:uid="{00000000-0005-0000-0000-0000EF030000}"/>
    <cellStyle name="40% - Accent1 2 3 2 3 2" xfId="13410" xr:uid="{DC94FD32-C45B-4EAC-AEFE-A41371D199ED}"/>
    <cellStyle name="40% - Accent1 2 3 2 4" xfId="9192" xr:uid="{43158988-215D-46BD-935E-E883A3AB4D65}"/>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A7A9EF59-A285-430D-8B83-D5992E2FD396}"/>
    <cellStyle name="40% - Accent1 2 3 3 2 3" xfId="11750" xr:uid="{4F8BD860-561F-4876-BB60-6B59389392F9}"/>
    <cellStyle name="40% - Accent1 2 3 3 3" xfId="5384" xr:uid="{00000000-0005-0000-0000-0000F3030000}"/>
    <cellStyle name="40% - Accent1 2 3 3 3 2" xfId="13823" xr:uid="{8F263AA1-9989-464B-B2A1-F3A02841360C}"/>
    <cellStyle name="40% - Accent1 2 3 3 4" xfId="9605" xr:uid="{64ABC480-B1D4-4A1B-A02C-A920E7EE1F03}"/>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084E9040-8731-40BE-8795-D90BCDC61C75}"/>
    <cellStyle name="40% - Accent1 2 3 4 2 3" xfId="12163" xr:uid="{12847482-41EC-435B-85A6-3BF048B6A3A1}"/>
    <cellStyle name="40% - Accent1 2 3 4 3" xfId="5797" xr:uid="{00000000-0005-0000-0000-0000F7030000}"/>
    <cellStyle name="40% - Accent1 2 3 4 3 2" xfId="14236" xr:uid="{C4B45FF4-7EE0-41C2-81BA-2FC75590CDDB}"/>
    <cellStyle name="40% - Accent1 2 3 4 4" xfId="10018" xr:uid="{A6A9BAA2-20B1-4ADF-A7DF-CBF25DD33DF0}"/>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A705AE11-C3CC-4B51-803B-757DDEEE609C}"/>
    <cellStyle name="40% - Accent1 2 3 5 2 3" xfId="12576" xr:uid="{2A40E7CB-A8FD-4C51-9409-432B5EBB36EC}"/>
    <cellStyle name="40% - Accent1 2 3 5 3" xfId="6210" xr:uid="{00000000-0005-0000-0000-0000FB030000}"/>
    <cellStyle name="40% - Accent1 2 3 5 3 2" xfId="14649" xr:uid="{9F6EC463-AD3D-48F5-BE70-5D4E24938A44}"/>
    <cellStyle name="40% - Accent1 2 3 5 4" xfId="10431" xr:uid="{598B7B62-3682-4B9A-B124-E361DA526DAE}"/>
    <cellStyle name="40% - Accent1 2 3 6" xfId="2316" xr:uid="{00000000-0005-0000-0000-0000FC030000}"/>
    <cellStyle name="40% - Accent1 2 3 6 2" xfId="6623" xr:uid="{00000000-0005-0000-0000-0000FD030000}"/>
    <cellStyle name="40% - Accent1 2 3 6 2 2" xfId="15062" xr:uid="{187CCFE8-CDE4-4381-A7B7-33D622C4F4C7}"/>
    <cellStyle name="40% - Accent1 2 3 6 3" xfId="10844" xr:uid="{DEB6A8CF-CD95-4DD8-B561-FE6758CCEA30}"/>
    <cellStyle name="40% - Accent1 2 3 7" xfId="4557" xr:uid="{00000000-0005-0000-0000-0000FE030000}"/>
    <cellStyle name="40% - Accent1 2 3 7 2" xfId="12996" xr:uid="{43D7276C-BC2B-4F90-8B7F-6E3C3F9C8EAF}"/>
    <cellStyle name="40% - Accent1 2 3 8" xfId="8778" xr:uid="{D08DD0F7-5442-4DD8-B280-29B92BC4AA6D}"/>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A2B54E7A-F9CF-476E-BF38-34AE648D855C}"/>
    <cellStyle name="40% - Accent1 2 4 2 3" xfId="11334" xr:uid="{70119B77-0B95-4C82-A09D-FEBE734B9CB2}"/>
    <cellStyle name="40% - Accent1 2 4 3" xfId="4968" xr:uid="{00000000-0005-0000-0000-000002040000}"/>
    <cellStyle name="40% - Accent1 2 4 3 2" xfId="13407" xr:uid="{106C95FF-F8FE-4137-B17B-8F0B538D9CFA}"/>
    <cellStyle name="40% - Accent1 2 4 4" xfId="9189" xr:uid="{C52E2DC9-2BB9-4315-A32B-AD576665AF63}"/>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1F00BFAF-AD01-46EC-AE65-E24F31AF2774}"/>
    <cellStyle name="40% - Accent1 2 5 2 3" xfId="11747" xr:uid="{F4BA3663-C586-469E-A9D5-9EAC19A809DC}"/>
    <cellStyle name="40% - Accent1 2 5 3" xfId="5381" xr:uid="{00000000-0005-0000-0000-000006040000}"/>
    <cellStyle name="40% - Accent1 2 5 3 2" xfId="13820" xr:uid="{3D7E385B-D8F7-4555-8FCF-10F2BD707AAF}"/>
    <cellStyle name="40% - Accent1 2 5 4" xfId="9602" xr:uid="{A1D7BDF1-CE22-4DA5-BC92-BA4C585648EC}"/>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235D1B7B-6DF1-4E7F-887B-A8B2B1EA5424}"/>
    <cellStyle name="40% - Accent1 2 6 2 3" xfId="12160" xr:uid="{A5156538-F2A2-436F-BFFB-FF1C3650AAD4}"/>
    <cellStyle name="40% - Accent1 2 6 3" xfId="5794" xr:uid="{00000000-0005-0000-0000-00000A040000}"/>
    <cellStyle name="40% - Accent1 2 6 3 2" xfId="14233" xr:uid="{C0899FE2-26D4-47F4-808C-262F8EDDD189}"/>
    <cellStyle name="40% - Accent1 2 6 4" xfId="10015" xr:uid="{40E5EB21-3042-41E4-914C-EBC0EB103EA5}"/>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9A776298-2F95-4685-9BC4-C78E8DB29A11}"/>
    <cellStyle name="40% - Accent1 2 7 2 3" xfId="12573" xr:uid="{90B19BB3-9BBE-4C30-8064-463AA2F64D2D}"/>
    <cellStyle name="40% - Accent1 2 7 3" xfId="6207" xr:uid="{00000000-0005-0000-0000-00000E040000}"/>
    <cellStyle name="40% - Accent1 2 7 3 2" xfId="14646" xr:uid="{C5BB49C3-51A6-452A-9F9E-D17415EC0D4D}"/>
    <cellStyle name="40% - Accent1 2 7 4" xfId="10428" xr:uid="{78D54170-330A-4AA4-961C-2813E261D1CF}"/>
    <cellStyle name="40% - Accent1 2 8" xfId="2313" xr:uid="{00000000-0005-0000-0000-00000F040000}"/>
    <cellStyle name="40% - Accent1 2 8 2" xfId="6620" xr:uid="{00000000-0005-0000-0000-000010040000}"/>
    <cellStyle name="40% - Accent1 2 8 2 2" xfId="15059" xr:uid="{AB94E180-77EB-4EBA-A57D-7CC6E595E049}"/>
    <cellStyle name="40% - Accent1 2 8 3" xfId="10841" xr:uid="{61911462-D09B-49A6-8D25-499B4F1DF723}"/>
    <cellStyle name="40% - Accent1 2 9" xfId="4554" xr:uid="{00000000-0005-0000-0000-000011040000}"/>
    <cellStyle name="40% - Accent1 2 9 2" xfId="12993" xr:uid="{23FE61D6-B86C-40A6-B8FD-1220E11ACC88}"/>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3F7D8464-BB35-4CC5-BAB6-7F57F7EA3EE6}"/>
    <cellStyle name="40% - Accent1 3 2 2 2 3" xfId="11339" xr:uid="{1041F1CD-0636-49F8-B2DC-69D17CE590E1}"/>
    <cellStyle name="40% - Accent1 3 2 2 3" xfId="4973" xr:uid="{00000000-0005-0000-0000-000017040000}"/>
    <cellStyle name="40% - Accent1 3 2 2 3 2" xfId="13412" xr:uid="{0EC577C9-32EB-48F9-87DE-4B52FE746B96}"/>
    <cellStyle name="40% - Accent1 3 2 2 4" xfId="9194" xr:uid="{FCBDD265-6E6E-4962-B095-D413D8EBB836}"/>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B52A4986-C45E-47EA-9FB2-91CBE0ADD46C}"/>
    <cellStyle name="40% - Accent1 3 2 3 2 3" xfId="11752" xr:uid="{E745D0AC-AD42-4CE6-AE13-123E96F733C4}"/>
    <cellStyle name="40% - Accent1 3 2 3 3" xfId="5386" xr:uid="{00000000-0005-0000-0000-00001B040000}"/>
    <cellStyle name="40% - Accent1 3 2 3 3 2" xfId="13825" xr:uid="{E0236A0E-2086-4EB4-8BCD-A83C0871BA75}"/>
    <cellStyle name="40% - Accent1 3 2 3 4" xfId="9607" xr:uid="{9E6414DF-9191-41FE-A7AE-35997E9D986E}"/>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9B227DAA-7727-4AC7-8524-A7B45484E388}"/>
    <cellStyle name="40% - Accent1 3 2 4 2 3" xfId="12165" xr:uid="{0FB4F46C-065E-4576-8410-5636203EC9AB}"/>
    <cellStyle name="40% - Accent1 3 2 4 3" xfId="5799" xr:uid="{00000000-0005-0000-0000-00001F040000}"/>
    <cellStyle name="40% - Accent1 3 2 4 3 2" xfId="14238" xr:uid="{28B6D8D7-A672-44D5-A861-D31B18F9953D}"/>
    <cellStyle name="40% - Accent1 3 2 4 4" xfId="10020" xr:uid="{07F000D0-DE0C-473A-AAC0-C499A4CF3B97}"/>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3C1CBAC4-5D8C-4C5E-B130-436029C8E875}"/>
    <cellStyle name="40% - Accent1 3 2 5 2 3" xfId="12578" xr:uid="{55069E42-ED0A-4197-8C0A-36FF306E1AC1}"/>
    <cellStyle name="40% - Accent1 3 2 5 3" xfId="6212" xr:uid="{00000000-0005-0000-0000-000023040000}"/>
    <cellStyle name="40% - Accent1 3 2 5 3 2" xfId="14651" xr:uid="{8383BB65-C1F4-4E57-A266-7096205274D3}"/>
    <cellStyle name="40% - Accent1 3 2 5 4" xfId="10433" xr:uid="{29618527-F05A-479C-9684-518DBEFDC648}"/>
    <cellStyle name="40% - Accent1 3 2 6" xfId="2318" xr:uid="{00000000-0005-0000-0000-000024040000}"/>
    <cellStyle name="40% - Accent1 3 2 6 2" xfId="6625" xr:uid="{00000000-0005-0000-0000-000025040000}"/>
    <cellStyle name="40% - Accent1 3 2 6 2 2" xfId="15064" xr:uid="{081FDF30-7BA0-4B5A-9081-E64996FF1BC1}"/>
    <cellStyle name="40% - Accent1 3 2 6 3" xfId="10846" xr:uid="{0754DDDD-7E40-45F9-A5B8-600D53C7E317}"/>
    <cellStyle name="40% - Accent1 3 2 7" xfId="4559" xr:uid="{00000000-0005-0000-0000-000026040000}"/>
    <cellStyle name="40% - Accent1 3 2 7 2" xfId="12998" xr:uid="{9611D9A5-5682-4B91-8DD8-C55D27F18B7C}"/>
    <cellStyle name="40% - Accent1 3 2 8" xfId="8780" xr:uid="{53F3C26C-BED6-4DC6-9E08-68BA9A0B97E5}"/>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9F9C103B-38C2-4723-8B83-EB8972278E77}"/>
    <cellStyle name="40% - Accent1 3 3 2 3" xfId="11338" xr:uid="{AFD05605-AFB4-4C99-83CE-DEAC31C459FB}"/>
    <cellStyle name="40% - Accent1 3 3 3" xfId="4972" xr:uid="{00000000-0005-0000-0000-00002A040000}"/>
    <cellStyle name="40% - Accent1 3 3 3 2" xfId="13411" xr:uid="{5BC1E725-3830-4F94-8279-151242C30404}"/>
    <cellStyle name="40% - Accent1 3 3 4" xfId="9193" xr:uid="{ECDEAAF5-5A51-48DA-80A4-163DAFC5990C}"/>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94F8A1B1-00BC-48EA-A757-34FBF6386942}"/>
    <cellStyle name="40% - Accent1 3 4 2 3" xfId="11751" xr:uid="{1E3F1386-B328-48E5-A96D-7F0F7B868829}"/>
    <cellStyle name="40% - Accent1 3 4 3" xfId="5385" xr:uid="{00000000-0005-0000-0000-00002E040000}"/>
    <cellStyle name="40% - Accent1 3 4 3 2" xfId="13824" xr:uid="{D5823153-EDCA-467D-A185-9A682C420A60}"/>
    <cellStyle name="40% - Accent1 3 4 4" xfId="9606" xr:uid="{90872734-5216-407C-B63A-A4C71C719287}"/>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3365827A-CBFA-4B8B-BF23-D8092AE4D818}"/>
    <cellStyle name="40% - Accent1 3 5 2 3" xfId="12164" xr:uid="{8CF9368E-0407-4ECD-AB51-08FAFD483E21}"/>
    <cellStyle name="40% - Accent1 3 5 3" xfId="5798" xr:uid="{00000000-0005-0000-0000-000032040000}"/>
    <cellStyle name="40% - Accent1 3 5 3 2" xfId="14237" xr:uid="{9661E421-3D83-444C-97B2-0747BA2CA992}"/>
    <cellStyle name="40% - Accent1 3 5 4" xfId="10019" xr:uid="{6E191CE7-995A-47E3-AFB9-33095EE1C781}"/>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6B729A0E-D431-411F-BCA8-2ABD05C2AAD9}"/>
    <cellStyle name="40% - Accent1 3 6 2 3" xfId="12577" xr:uid="{DDE7C5F9-3C8C-4C30-8647-4EE81442D977}"/>
    <cellStyle name="40% - Accent1 3 6 3" xfId="6211" xr:uid="{00000000-0005-0000-0000-000036040000}"/>
    <cellStyle name="40% - Accent1 3 6 3 2" xfId="14650" xr:uid="{260ABF90-C4DC-4139-95AF-3B1D9E707809}"/>
    <cellStyle name="40% - Accent1 3 6 4" xfId="10432" xr:uid="{AD77C847-1DD1-4DF2-80C4-926C7DEF47CC}"/>
    <cellStyle name="40% - Accent1 3 7" xfId="2317" xr:uid="{00000000-0005-0000-0000-000037040000}"/>
    <cellStyle name="40% - Accent1 3 7 2" xfId="6624" xr:uid="{00000000-0005-0000-0000-000038040000}"/>
    <cellStyle name="40% - Accent1 3 7 2 2" xfId="15063" xr:uid="{6CA4B7DB-4286-4ADC-8F80-B0B53016FA8D}"/>
    <cellStyle name="40% - Accent1 3 7 3" xfId="10845" xr:uid="{5B87FADB-0054-465D-B05E-D324D229D9F0}"/>
    <cellStyle name="40% - Accent1 3 8" xfId="4558" xr:uid="{00000000-0005-0000-0000-000039040000}"/>
    <cellStyle name="40% - Accent1 3 8 2" xfId="12997" xr:uid="{03D1707B-2AED-4777-A9A3-81E9D33172BB}"/>
    <cellStyle name="40% - Accent1 3 9" xfId="8779" xr:uid="{2AEBEE57-6D6A-4BCE-BDA0-53EFB8C579D9}"/>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58412EAF-915D-49B6-842F-B486B14FFE34}"/>
    <cellStyle name="40% - Accent1 4 2 2 3" xfId="11340" xr:uid="{D938E445-EE2D-490C-AC97-9336E38037EE}"/>
    <cellStyle name="40% - Accent1 4 2 3" xfId="4974" xr:uid="{00000000-0005-0000-0000-00003E040000}"/>
    <cellStyle name="40% - Accent1 4 2 3 2" xfId="13413" xr:uid="{CD72DADC-9C2D-435E-8635-81FE3368EAF3}"/>
    <cellStyle name="40% - Accent1 4 2 4" xfId="9195" xr:uid="{862DF97D-970C-4C4B-BCE9-CBF2E0C0CDA5}"/>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62BB1D9D-7273-44D2-9164-ED1E59BBA369}"/>
    <cellStyle name="40% - Accent1 4 3 2 3" xfId="11753" xr:uid="{BEA60080-FC43-4EBD-9970-B74F1055E6F6}"/>
    <cellStyle name="40% - Accent1 4 3 3" xfId="5387" xr:uid="{00000000-0005-0000-0000-000042040000}"/>
    <cellStyle name="40% - Accent1 4 3 3 2" xfId="13826" xr:uid="{7988A4F5-FD4C-4CA4-99DF-975BCD8D9090}"/>
    <cellStyle name="40% - Accent1 4 3 4" xfId="9608" xr:uid="{50152E23-0D38-4AB2-A118-81D323C8DBF2}"/>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D49490BD-6AC3-4092-B4BB-3BC608E4276A}"/>
    <cellStyle name="40% - Accent1 4 4 2 3" xfId="12166" xr:uid="{CCA1EA1E-83D6-4475-A96A-A028FEA14203}"/>
    <cellStyle name="40% - Accent1 4 4 3" xfId="5800" xr:uid="{00000000-0005-0000-0000-000046040000}"/>
    <cellStyle name="40% - Accent1 4 4 3 2" xfId="14239" xr:uid="{9ED35B52-8E57-4BEC-9DCF-6DC35AC1C313}"/>
    <cellStyle name="40% - Accent1 4 4 4" xfId="10021" xr:uid="{37521377-02FB-4B93-88DA-7FECCE62668E}"/>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1040ADDB-3FC3-4706-8E1A-0808818DDC41}"/>
    <cellStyle name="40% - Accent1 4 5 2 3" xfId="12579" xr:uid="{EEBCA08A-2309-47FB-8C30-F21D4AF5FA1D}"/>
    <cellStyle name="40% - Accent1 4 5 3" xfId="6213" xr:uid="{00000000-0005-0000-0000-00004A040000}"/>
    <cellStyle name="40% - Accent1 4 5 3 2" xfId="14652" xr:uid="{E14EFE72-168D-4389-A009-8D79BED40D44}"/>
    <cellStyle name="40% - Accent1 4 5 4" xfId="10434" xr:uid="{C44EB120-EBD9-4374-9F8B-75E7D9C8E634}"/>
    <cellStyle name="40% - Accent1 4 6" xfId="2319" xr:uid="{00000000-0005-0000-0000-00004B040000}"/>
    <cellStyle name="40% - Accent1 4 6 2" xfId="6626" xr:uid="{00000000-0005-0000-0000-00004C040000}"/>
    <cellStyle name="40% - Accent1 4 6 2 2" xfId="15065" xr:uid="{CF5D9F0A-8783-4C32-ACFA-7613F0504B3C}"/>
    <cellStyle name="40% - Accent1 4 6 3" xfId="10847" xr:uid="{A7366023-1C64-42AB-9C10-0975CD84D538}"/>
    <cellStyle name="40% - Accent1 4 7" xfId="4560" xr:uid="{00000000-0005-0000-0000-00004D040000}"/>
    <cellStyle name="40% - Accent1 4 7 2" xfId="12999" xr:uid="{C916F09C-D554-4B7B-8C0B-78520D623A76}"/>
    <cellStyle name="40% - Accent1 4 8" xfId="8781" xr:uid="{C87E262A-D882-46B4-9DB0-ADE88BD4DC37}"/>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EE298D5B-FC26-4E18-9ECC-0A18B003F6AE}"/>
    <cellStyle name="40% - Accent1 5 2 3" xfId="11333" xr:uid="{FBB43F91-096A-4A80-844C-CF7B8399CADD}"/>
    <cellStyle name="40% - Accent1 5 3" xfId="4967" xr:uid="{00000000-0005-0000-0000-000051040000}"/>
    <cellStyle name="40% - Accent1 5 3 2" xfId="13406" xr:uid="{D86C991E-790E-4452-9287-3B71BB7615A0}"/>
    <cellStyle name="40% - Accent1 5 4" xfId="9188" xr:uid="{71DCC1F4-911C-4357-B9B6-6653DDD927DF}"/>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37FD30C7-8552-49E9-A147-7B430E0A9479}"/>
    <cellStyle name="40% - Accent1 6 2 3" xfId="11746" xr:uid="{E4B21250-5860-4437-87E6-94B30C0D7FB7}"/>
    <cellStyle name="40% - Accent1 6 3" xfId="5380" xr:uid="{00000000-0005-0000-0000-000055040000}"/>
    <cellStyle name="40% - Accent1 6 3 2" xfId="13819" xr:uid="{1B2FDD76-8AC1-4BDE-B8FC-F66EE766F88D}"/>
    <cellStyle name="40% - Accent1 6 4" xfId="9601" xr:uid="{EC7C53DE-16F2-4637-8141-377842A3064C}"/>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704AA7CA-9A1E-4830-8E5A-B0A943E511EB}"/>
    <cellStyle name="40% - Accent1 7 2 3" xfId="12159" xr:uid="{3B173317-C434-4371-89B0-1A9B9B4659E3}"/>
    <cellStyle name="40% - Accent1 7 3" xfId="5793" xr:uid="{00000000-0005-0000-0000-000059040000}"/>
    <cellStyle name="40% - Accent1 7 3 2" xfId="14232" xr:uid="{AED13D64-D7AF-471A-A128-C421D5FB7D62}"/>
    <cellStyle name="40% - Accent1 7 4" xfId="10014" xr:uid="{AD9626B3-919D-44B4-A9D2-878F05DCD26D}"/>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71856211-0ED4-42D1-9EEC-4A93F918DA93}"/>
    <cellStyle name="40% - Accent1 8 2 3" xfId="12572" xr:uid="{4CF18C0A-7C76-4474-AAFA-7E75B7E77E02}"/>
    <cellStyle name="40% - Accent1 8 3" xfId="6206" xr:uid="{00000000-0005-0000-0000-00005D040000}"/>
    <cellStyle name="40% - Accent1 8 3 2" xfId="14645" xr:uid="{F5CDB092-1167-4FC9-8FB6-A2151B512BD2}"/>
    <cellStyle name="40% - Accent1 8 4" xfId="10427" xr:uid="{6644325C-0B41-49A2-BCFB-A2391B0178EA}"/>
    <cellStyle name="40% - Accent1 9" xfId="2312" xr:uid="{00000000-0005-0000-0000-00005E040000}"/>
    <cellStyle name="40% - Accent1 9 2" xfId="6619" xr:uid="{00000000-0005-0000-0000-00005F040000}"/>
    <cellStyle name="40% - Accent1 9 2 2" xfId="15058" xr:uid="{0C731667-8282-450D-AEBF-8D819682BD0B}"/>
    <cellStyle name="40% - Accent1 9 3" xfId="10840" xr:uid="{83E759EE-8582-4E02-996C-C8FAC4C4EE6B}"/>
    <cellStyle name="40% - Accent2" xfId="57" builtinId="35" customBuiltin="1"/>
    <cellStyle name="40% - Accent2 10" xfId="4561" xr:uid="{00000000-0005-0000-0000-000061040000}"/>
    <cellStyle name="40% - Accent2 10 2" xfId="13000" xr:uid="{4A8AE7C6-6DFC-4F32-BDC0-93989E98839A}"/>
    <cellStyle name="40% - Accent2 11" xfId="8782" xr:uid="{607DA481-B30E-4F57-82F3-7F7292558CE4}"/>
    <cellStyle name="40% - Accent2 2" xfId="58" xr:uid="{00000000-0005-0000-0000-000062040000}"/>
    <cellStyle name="40% - Accent2 2 10" xfId="8783" xr:uid="{27F90985-F8C5-48A9-A422-107DEE1D1764}"/>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FF0306D1-606F-418E-AB90-2FE3E8D1F085}"/>
    <cellStyle name="40% - Accent2 2 2 2 2 2 3" xfId="11344" xr:uid="{048E2A83-5C1A-45AF-BE0B-1B6562A17BEC}"/>
    <cellStyle name="40% - Accent2 2 2 2 2 3" xfId="4978" xr:uid="{00000000-0005-0000-0000-000068040000}"/>
    <cellStyle name="40% - Accent2 2 2 2 2 3 2" xfId="13417" xr:uid="{2495DDA0-6CD8-4F04-9F48-767E3E6949F8}"/>
    <cellStyle name="40% - Accent2 2 2 2 2 4" xfId="9199" xr:uid="{949B73A7-8FDF-422F-826A-51127BA0495E}"/>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6763ADEB-AFC6-446D-B215-8C72221DBAB8}"/>
    <cellStyle name="40% - Accent2 2 2 2 3 2 3" xfId="11757" xr:uid="{DF0A2104-FF0B-46B2-9735-ED422FA5B898}"/>
    <cellStyle name="40% - Accent2 2 2 2 3 3" xfId="5391" xr:uid="{00000000-0005-0000-0000-00006C040000}"/>
    <cellStyle name="40% - Accent2 2 2 2 3 3 2" xfId="13830" xr:uid="{DBBD1424-5F34-4BBF-AAA3-6B8E595842A0}"/>
    <cellStyle name="40% - Accent2 2 2 2 3 4" xfId="9612" xr:uid="{B2DADAC5-0515-40C2-A20D-C675D1EBA953}"/>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FAE341E1-EC83-4764-B893-6CCF443B4139}"/>
    <cellStyle name="40% - Accent2 2 2 2 4 2 3" xfId="12170" xr:uid="{5D6BCF8A-1AB1-4AFC-9D69-4776CA1A79DA}"/>
    <cellStyle name="40% - Accent2 2 2 2 4 3" xfId="5804" xr:uid="{00000000-0005-0000-0000-000070040000}"/>
    <cellStyle name="40% - Accent2 2 2 2 4 3 2" xfId="14243" xr:uid="{D0A6EFC6-F8F5-49F5-A683-7391444D6883}"/>
    <cellStyle name="40% - Accent2 2 2 2 4 4" xfId="10025" xr:uid="{C20BD719-72C9-40C9-B68E-F7E098FCEB1C}"/>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E98F9370-F3EE-4B2B-BCE0-D270E43EC7D5}"/>
    <cellStyle name="40% - Accent2 2 2 2 5 2 3" xfId="12583" xr:uid="{8505FE79-6A4E-4A63-9324-20A77CE57D81}"/>
    <cellStyle name="40% - Accent2 2 2 2 5 3" xfId="6217" xr:uid="{00000000-0005-0000-0000-000074040000}"/>
    <cellStyle name="40% - Accent2 2 2 2 5 3 2" xfId="14656" xr:uid="{1CD765D2-97B8-47D6-BCDD-834EF13BD311}"/>
    <cellStyle name="40% - Accent2 2 2 2 5 4" xfId="10438" xr:uid="{A27AEEFB-3D84-43AA-9AB1-166ED96F49C8}"/>
    <cellStyle name="40% - Accent2 2 2 2 6" xfId="2323" xr:uid="{00000000-0005-0000-0000-000075040000}"/>
    <cellStyle name="40% - Accent2 2 2 2 6 2" xfId="6630" xr:uid="{00000000-0005-0000-0000-000076040000}"/>
    <cellStyle name="40% - Accent2 2 2 2 6 2 2" xfId="15069" xr:uid="{1C5CBCA3-2CE1-44BE-8E5B-7BA281C020C6}"/>
    <cellStyle name="40% - Accent2 2 2 2 6 3" xfId="10851" xr:uid="{AA6C4757-184D-4AD8-845E-0E8AD35BA0EF}"/>
    <cellStyle name="40% - Accent2 2 2 2 7" xfId="4564" xr:uid="{00000000-0005-0000-0000-000077040000}"/>
    <cellStyle name="40% - Accent2 2 2 2 7 2" xfId="13003" xr:uid="{D0A5B882-62CA-4EEA-9DC8-09850FA7B1A4}"/>
    <cellStyle name="40% - Accent2 2 2 2 8" xfId="8785" xr:uid="{6F96C0A6-28AA-458B-9A0A-6DBDF1E8FDA8}"/>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2BE4A580-B739-4A9A-A916-18166BE9841E}"/>
    <cellStyle name="40% - Accent2 2 2 3 2 3" xfId="11343" xr:uid="{77F5C961-C39D-4003-893F-CB7C26C6CD67}"/>
    <cellStyle name="40% - Accent2 2 2 3 3" xfId="4977" xr:uid="{00000000-0005-0000-0000-00007B040000}"/>
    <cellStyle name="40% - Accent2 2 2 3 3 2" xfId="13416" xr:uid="{EEA2AC4E-B0F6-4162-89A7-9AA94A2ABB42}"/>
    <cellStyle name="40% - Accent2 2 2 3 4" xfId="9198" xr:uid="{9203A699-2601-4422-A640-913B64617B63}"/>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4D8FBFFF-1478-482B-8ECD-48026B0C2F41}"/>
    <cellStyle name="40% - Accent2 2 2 4 2 3" xfId="11756" xr:uid="{CDE11C41-00FD-48B8-B95B-58C3C7AF5509}"/>
    <cellStyle name="40% - Accent2 2 2 4 3" xfId="5390" xr:uid="{00000000-0005-0000-0000-00007F040000}"/>
    <cellStyle name="40% - Accent2 2 2 4 3 2" xfId="13829" xr:uid="{08C58A90-A4C0-4046-8AD6-66FF9E307312}"/>
    <cellStyle name="40% - Accent2 2 2 4 4" xfId="9611" xr:uid="{2BEB0FA4-EEDF-42DF-B28A-06FE4F4C8953}"/>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F5D4A8BC-D309-45D3-AEC3-B4709EB8674A}"/>
    <cellStyle name="40% - Accent2 2 2 5 2 3" xfId="12169" xr:uid="{C0F16333-C258-48EF-AF37-28F77C6B6392}"/>
    <cellStyle name="40% - Accent2 2 2 5 3" xfId="5803" xr:uid="{00000000-0005-0000-0000-000083040000}"/>
    <cellStyle name="40% - Accent2 2 2 5 3 2" xfId="14242" xr:uid="{7DF1F567-7730-4D7D-971D-5D640785C035}"/>
    <cellStyle name="40% - Accent2 2 2 5 4" xfId="10024" xr:uid="{7DA6A487-80DE-447C-9ECB-8CDCD0AFEAE2}"/>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C0EA34F1-AA6C-4DCC-B337-7B5F63C3267D}"/>
    <cellStyle name="40% - Accent2 2 2 6 2 3" xfId="12582" xr:uid="{BDA3FD8A-7794-44C3-8623-6E0CFEAE4D78}"/>
    <cellStyle name="40% - Accent2 2 2 6 3" xfId="6216" xr:uid="{00000000-0005-0000-0000-000087040000}"/>
    <cellStyle name="40% - Accent2 2 2 6 3 2" xfId="14655" xr:uid="{7A562E95-C268-4BD1-B49E-81A9B966F83C}"/>
    <cellStyle name="40% - Accent2 2 2 6 4" xfId="10437" xr:uid="{83C9B239-435A-4DAE-AEAF-DD911EB5A343}"/>
    <cellStyle name="40% - Accent2 2 2 7" xfId="2322" xr:uid="{00000000-0005-0000-0000-000088040000}"/>
    <cellStyle name="40% - Accent2 2 2 7 2" xfId="6629" xr:uid="{00000000-0005-0000-0000-000089040000}"/>
    <cellStyle name="40% - Accent2 2 2 7 2 2" xfId="15068" xr:uid="{EC1158D0-A93C-4876-9064-563624BCC28E}"/>
    <cellStyle name="40% - Accent2 2 2 7 3" xfId="10850" xr:uid="{3F3BC665-8232-45F2-9DC6-58B9EF860A99}"/>
    <cellStyle name="40% - Accent2 2 2 8" xfId="4563" xr:uid="{00000000-0005-0000-0000-00008A040000}"/>
    <cellStyle name="40% - Accent2 2 2 8 2" xfId="13002" xr:uid="{2536DE07-2448-4704-A8B6-7728231A999E}"/>
    <cellStyle name="40% - Accent2 2 2 9" xfId="8784" xr:uid="{AE0C1B36-6059-40BC-B3E8-ED994E098B48}"/>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04B6FAD2-B1A0-465C-ABCE-DEC528BD5C74}"/>
    <cellStyle name="40% - Accent2 2 3 2 2 3" xfId="11345" xr:uid="{F0B3305B-1F64-4F9D-BA42-392506C9BB60}"/>
    <cellStyle name="40% - Accent2 2 3 2 3" xfId="4979" xr:uid="{00000000-0005-0000-0000-00008F040000}"/>
    <cellStyle name="40% - Accent2 2 3 2 3 2" xfId="13418" xr:uid="{03C10106-DE84-4514-B7F4-036C7349F3C5}"/>
    <cellStyle name="40% - Accent2 2 3 2 4" xfId="9200" xr:uid="{E04637AA-0646-4C0C-8313-6DCB6121714A}"/>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03059671-3893-4B92-820A-37441F56AAA7}"/>
    <cellStyle name="40% - Accent2 2 3 3 2 3" xfId="11758" xr:uid="{3BD0968E-5ADF-4184-A996-917DA2F0E05B}"/>
    <cellStyle name="40% - Accent2 2 3 3 3" xfId="5392" xr:uid="{00000000-0005-0000-0000-000093040000}"/>
    <cellStyle name="40% - Accent2 2 3 3 3 2" xfId="13831" xr:uid="{6FCCB218-A631-4A89-9044-A4ACDE374D6C}"/>
    <cellStyle name="40% - Accent2 2 3 3 4" xfId="9613" xr:uid="{AABD23CF-1F52-42A4-BF2F-428D7D97ED13}"/>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1295A9B5-36AD-4FC4-9D6C-0B6672CC8133}"/>
    <cellStyle name="40% - Accent2 2 3 4 2 3" xfId="12171" xr:uid="{E51E4A4C-63FA-4AB4-9D17-8445FB5611A6}"/>
    <cellStyle name="40% - Accent2 2 3 4 3" xfId="5805" xr:uid="{00000000-0005-0000-0000-000097040000}"/>
    <cellStyle name="40% - Accent2 2 3 4 3 2" xfId="14244" xr:uid="{1C867C98-FF9C-4170-AF98-327F626C9E59}"/>
    <cellStyle name="40% - Accent2 2 3 4 4" xfId="10026" xr:uid="{008916D6-2A0D-4747-AEC4-93A2D14FC551}"/>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7D34787B-ACA4-4B0C-8D88-1226845DCE48}"/>
    <cellStyle name="40% - Accent2 2 3 5 2 3" xfId="12584" xr:uid="{BD3E75EB-B6BB-4ECE-8687-C5D8E2DB4DBC}"/>
    <cellStyle name="40% - Accent2 2 3 5 3" xfId="6218" xr:uid="{00000000-0005-0000-0000-00009B040000}"/>
    <cellStyle name="40% - Accent2 2 3 5 3 2" xfId="14657" xr:uid="{84AAC82A-FCAD-40C7-9964-1DBD987CA8F9}"/>
    <cellStyle name="40% - Accent2 2 3 5 4" xfId="10439" xr:uid="{5EFAE909-629D-4802-AE28-A6A9C3AFBF3F}"/>
    <cellStyle name="40% - Accent2 2 3 6" xfId="2324" xr:uid="{00000000-0005-0000-0000-00009C040000}"/>
    <cellStyle name="40% - Accent2 2 3 6 2" xfId="6631" xr:uid="{00000000-0005-0000-0000-00009D040000}"/>
    <cellStyle name="40% - Accent2 2 3 6 2 2" xfId="15070" xr:uid="{8A28D2AD-7B84-45BB-A9C4-274A1B01E9D6}"/>
    <cellStyle name="40% - Accent2 2 3 6 3" xfId="10852" xr:uid="{E451D75D-25A9-440C-B006-6158A54AB4DE}"/>
    <cellStyle name="40% - Accent2 2 3 7" xfId="4565" xr:uid="{00000000-0005-0000-0000-00009E040000}"/>
    <cellStyle name="40% - Accent2 2 3 7 2" xfId="13004" xr:uid="{EC77A90D-52F4-425C-8E0E-F40C3A9F2525}"/>
    <cellStyle name="40% - Accent2 2 3 8" xfId="8786" xr:uid="{D09EB6CB-038D-405E-8F58-A3D156BE1AD9}"/>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4EE5B657-9840-49CA-9427-735AC43E4E84}"/>
    <cellStyle name="40% - Accent2 2 4 2 3" xfId="11342" xr:uid="{F25AD811-F3F9-4A0F-86DD-D3ED6043BE5F}"/>
    <cellStyle name="40% - Accent2 2 4 3" xfId="4976" xr:uid="{00000000-0005-0000-0000-0000A2040000}"/>
    <cellStyle name="40% - Accent2 2 4 3 2" xfId="13415" xr:uid="{FB98439A-3CA4-46CD-AB3C-36A78651EC1A}"/>
    <cellStyle name="40% - Accent2 2 4 4" xfId="9197" xr:uid="{EE0D17CD-D93F-4805-96C1-0FADE5D14543}"/>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860976DB-3FA3-4519-9B1F-D17E4AF0BFE8}"/>
    <cellStyle name="40% - Accent2 2 5 2 3" xfId="11755" xr:uid="{FC59BA4B-9123-4B45-AE22-48C14ADE8694}"/>
    <cellStyle name="40% - Accent2 2 5 3" xfId="5389" xr:uid="{00000000-0005-0000-0000-0000A6040000}"/>
    <cellStyle name="40% - Accent2 2 5 3 2" xfId="13828" xr:uid="{10604572-C4D2-47F1-AC0F-4C1A9E275878}"/>
    <cellStyle name="40% - Accent2 2 5 4" xfId="9610" xr:uid="{902D2DC8-3DBB-4C67-A898-EA17814ABB7C}"/>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52E7427A-D799-46F4-8733-E42A356BA669}"/>
    <cellStyle name="40% - Accent2 2 6 2 3" xfId="12168" xr:uid="{101328C9-64DB-4EA9-806B-D767AE2DF2D5}"/>
    <cellStyle name="40% - Accent2 2 6 3" xfId="5802" xr:uid="{00000000-0005-0000-0000-0000AA040000}"/>
    <cellStyle name="40% - Accent2 2 6 3 2" xfId="14241" xr:uid="{61449B57-B2A9-4AEC-8ADB-21FE8667C235}"/>
    <cellStyle name="40% - Accent2 2 6 4" xfId="10023" xr:uid="{73AA73CD-3DF2-46BA-8C3C-FE9797FBEAF2}"/>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C06B1E7E-284A-48AB-8E1E-0ABABBC1C72E}"/>
    <cellStyle name="40% - Accent2 2 7 2 3" xfId="12581" xr:uid="{26F7CC5F-C7A3-4BB1-B7DE-F8C8285B3A35}"/>
    <cellStyle name="40% - Accent2 2 7 3" xfId="6215" xr:uid="{00000000-0005-0000-0000-0000AE040000}"/>
    <cellStyle name="40% - Accent2 2 7 3 2" xfId="14654" xr:uid="{65441CFA-E02A-4810-8905-DC33DDC53001}"/>
    <cellStyle name="40% - Accent2 2 7 4" xfId="10436" xr:uid="{0F47E68A-9988-49E0-A1B9-833EABCD04FF}"/>
    <cellStyle name="40% - Accent2 2 8" xfId="2321" xr:uid="{00000000-0005-0000-0000-0000AF040000}"/>
    <cellStyle name="40% - Accent2 2 8 2" xfId="6628" xr:uid="{00000000-0005-0000-0000-0000B0040000}"/>
    <cellStyle name="40% - Accent2 2 8 2 2" xfId="15067" xr:uid="{BABDBC00-AF88-4DB5-85C4-DA88FEAB2789}"/>
    <cellStyle name="40% - Accent2 2 8 3" xfId="10849" xr:uid="{C6862A55-4171-4485-A69E-248BF4C6A2D4}"/>
    <cellStyle name="40% - Accent2 2 9" xfId="4562" xr:uid="{00000000-0005-0000-0000-0000B1040000}"/>
    <cellStyle name="40% - Accent2 2 9 2" xfId="13001" xr:uid="{C6A4B7B4-8E44-4145-9743-2118EEE308C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4938FD50-0B22-48C7-BE2C-C005512D860D}"/>
    <cellStyle name="40% - Accent2 3 2 2 2 3" xfId="11347" xr:uid="{9BC0F247-1771-4FB2-9F4A-D0411C148E53}"/>
    <cellStyle name="40% - Accent2 3 2 2 3" xfId="4981" xr:uid="{00000000-0005-0000-0000-0000B7040000}"/>
    <cellStyle name="40% - Accent2 3 2 2 3 2" xfId="13420" xr:uid="{44502058-9F6D-48C1-BEE4-49DE9512C7ED}"/>
    <cellStyle name="40% - Accent2 3 2 2 4" xfId="9202" xr:uid="{405C912E-AC35-475E-8AAB-E6FB53C7C120}"/>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625B7363-6AD4-47D7-84F7-BFB1A1EDB91E}"/>
    <cellStyle name="40% - Accent2 3 2 3 2 3" xfId="11760" xr:uid="{FD5FAC4B-8826-47C1-842C-32ACD0ED15AC}"/>
    <cellStyle name="40% - Accent2 3 2 3 3" xfId="5394" xr:uid="{00000000-0005-0000-0000-0000BB040000}"/>
    <cellStyle name="40% - Accent2 3 2 3 3 2" xfId="13833" xr:uid="{B0CC0EB8-60F0-4F89-88E8-EEE89042958C}"/>
    <cellStyle name="40% - Accent2 3 2 3 4" xfId="9615" xr:uid="{69F5BA0F-2157-403E-9DC3-7C9E3897374E}"/>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4F58994C-FA6A-4684-B449-F182687A2A65}"/>
    <cellStyle name="40% - Accent2 3 2 4 2 3" xfId="12173" xr:uid="{219F68B5-A648-4FE9-B756-8CAC4B812043}"/>
    <cellStyle name="40% - Accent2 3 2 4 3" xfId="5807" xr:uid="{00000000-0005-0000-0000-0000BF040000}"/>
    <cellStyle name="40% - Accent2 3 2 4 3 2" xfId="14246" xr:uid="{03A869A6-A6AA-4B5E-AEE1-C31B237DA76B}"/>
    <cellStyle name="40% - Accent2 3 2 4 4" xfId="10028" xr:uid="{361733BA-E353-4635-ACD6-E387D6C478C4}"/>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796446EF-5046-4659-A742-BE87DB146B63}"/>
    <cellStyle name="40% - Accent2 3 2 5 2 3" xfId="12586" xr:uid="{F9E18F05-FEA7-4F0A-A0F5-7C8EC97A38DE}"/>
    <cellStyle name="40% - Accent2 3 2 5 3" xfId="6220" xr:uid="{00000000-0005-0000-0000-0000C3040000}"/>
    <cellStyle name="40% - Accent2 3 2 5 3 2" xfId="14659" xr:uid="{EBAC9F23-F404-4E48-9054-BF478B19CF7E}"/>
    <cellStyle name="40% - Accent2 3 2 5 4" xfId="10441" xr:uid="{8BA8D9E0-CE7D-49AC-BED4-92A650EDE7F0}"/>
    <cellStyle name="40% - Accent2 3 2 6" xfId="2326" xr:uid="{00000000-0005-0000-0000-0000C4040000}"/>
    <cellStyle name="40% - Accent2 3 2 6 2" xfId="6633" xr:uid="{00000000-0005-0000-0000-0000C5040000}"/>
    <cellStyle name="40% - Accent2 3 2 6 2 2" xfId="15072" xr:uid="{308CA968-6E67-46ED-96CC-CC3F27712641}"/>
    <cellStyle name="40% - Accent2 3 2 6 3" xfId="10854" xr:uid="{77B6120F-1C89-4289-9384-83A86D3F3889}"/>
    <cellStyle name="40% - Accent2 3 2 7" xfId="4567" xr:uid="{00000000-0005-0000-0000-0000C6040000}"/>
    <cellStyle name="40% - Accent2 3 2 7 2" xfId="13006" xr:uid="{BC89F0D8-2E5B-4CBA-BECD-3D73BABA0E11}"/>
    <cellStyle name="40% - Accent2 3 2 8" xfId="8788" xr:uid="{9EC8DB2F-5D77-48EB-9B23-28349F104522}"/>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DCD6E73E-FEDA-4273-955A-709C0E4069EC}"/>
    <cellStyle name="40% - Accent2 3 3 2 3" xfId="11346" xr:uid="{74C0CF45-FA73-4514-881D-AC1F7B767872}"/>
    <cellStyle name="40% - Accent2 3 3 3" xfId="4980" xr:uid="{00000000-0005-0000-0000-0000CA040000}"/>
    <cellStyle name="40% - Accent2 3 3 3 2" xfId="13419" xr:uid="{7B68E7A3-269B-4745-A1DE-A829A78549C3}"/>
    <cellStyle name="40% - Accent2 3 3 4" xfId="9201" xr:uid="{75041A8D-74F8-4221-BF95-0EF60AC74645}"/>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08885217-86CE-4658-83DD-1F57818087CB}"/>
    <cellStyle name="40% - Accent2 3 4 2 3" xfId="11759" xr:uid="{401D76DC-0C4F-4167-8C7D-33703774A7C9}"/>
    <cellStyle name="40% - Accent2 3 4 3" xfId="5393" xr:uid="{00000000-0005-0000-0000-0000CE040000}"/>
    <cellStyle name="40% - Accent2 3 4 3 2" xfId="13832" xr:uid="{0E97BACD-A31C-4E77-8779-F1F5E028B542}"/>
    <cellStyle name="40% - Accent2 3 4 4" xfId="9614" xr:uid="{24E71934-7F97-4A4A-A848-1647DA1D9AA1}"/>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0ECC9E35-0354-4411-AE24-9F962B8548C8}"/>
    <cellStyle name="40% - Accent2 3 5 2 3" xfId="12172" xr:uid="{BBB71C95-B652-4426-ACB1-C072CE11F9E6}"/>
    <cellStyle name="40% - Accent2 3 5 3" xfId="5806" xr:uid="{00000000-0005-0000-0000-0000D2040000}"/>
    <cellStyle name="40% - Accent2 3 5 3 2" xfId="14245" xr:uid="{24E41949-CE2F-4FBC-B01E-9EBAC105AB38}"/>
    <cellStyle name="40% - Accent2 3 5 4" xfId="10027" xr:uid="{3EE21D03-09C8-4F19-95F9-8492530008EA}"/>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09B1BF89-1617-45FB-8312-2450F17D31F6}"/>
    <cellStyle name="40% - Accent2 3 6 2 3" xfId="12585" xr:uid="{B7AD247F-8681-4BF4-811B-B36E54019084}"/>
    <cellStyle name="40% - Accent2 3 6 3" xfId="6219" xr:uid="{00000000-0005-0000-0000-0000D6040000}"/>
    <cellStyle name="40% - Accent2 3 6 3 2" xfId="14658" xr:uid="{62BDD0C3-AF52-431F-9D9E-7F26581CA5F2}"/>
    <cellStyle name="40% - Accent2 3 6 4" xfId="10440" xr:uid="{7504CC3F-B4B5-474F-B9EB-34DF3A92AA91}"/>
    <cellStyle name="40% - Accent2 3 7" xfId="2325" xr:uid="{00000000-0005-0000-0000-0000D7040000}"/>
    <cellStyle name="40% - Accent2 3 7 2" xfId="6632" xr:uid="{00000000-0005-0000-0000-0000D8040000}"/>
    <cellStyle name="40% - Accent2 3 7 2 2" xfId="15071" xr:uid="{AC070FE5-D792-4DF5-AA27-ED5C9558CCFE}"/>
    <cellStyle name="40% - Accent2 3 7 3" xfId="10853" xr:uid="{F53D74B0-EB01-4CBF-9E7C-DEE4F7CE7445}"/>
    <cellStyle name="40% - Accent2 3 8" xfId="4566" xr:uid="{00000000-0005-0000-0000-0000D9040000}"/>
    <cellStyle name="40% - Accent2 3 8 2" xfId="13005" xr:uid="{4C1ADE24-9466-4F8B-AA0B-B1F741B8ADF7}"/>
    <cellStyle name="40% - Accent2 3 9" xfId="8787" xr:uid="{4F9CFEAB-C56E-4F60-B4BF-2AD4B4D6716B}"/>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313FB0E0-CD63-4559-9BC5-26DD67029E49}"/>
    <cellStyle name="40% - Accent2 4 2 2 3" xfId="11348" xr:uid="{E70E3F1E-AA97-4FBF-9C52-0E61629B7283}"/>
    <cellStyle name="40% - Accent2 4 2 3" xfId="4982" xr:uid="{00000000-0005-0000-0000-0000DE040000}"/>
    <cellStyle name="40% - Accent2 4 2 3 2" xfId="13421" xr:uid="{036A2C09-D94C-4257-9FF4-35B5CCA72D20}"/>
    <cellStyle name="40% - Accent2 4 2 4" xfId="9203" xr:uid="{66F5853B-32A0-49D3-9949-02B7F8B1FC0B}"/>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C3A78E82-7336-4A30-918F-FD44DF2B9312}"/>
    <cellStyle name="40% - Accent2 4 3 2 3" xfId="11761" xr:uid="{53081A20-233F-43E4-BEC2-3D31E2B88768}"/>
    <cellStyle name="40% - Accent2 4 3 3" xfId="5395" xr:uid="{00000000-0005-0000-0000-0000E2040000}"/>
    <cellStyle name="40% - Accent2 4 3 3 2" xfId="13834" xr:uid="{17C46702-9FBB-4428-BD60-16037CE59723}"/>
    <cellStyle name="40% - Accent2 4 3 4" xfId="9616" xr:uid="{98A09472-4EE5-4679-8262-28B7774B49CF}"/>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CC96148A-A1FD-4AE7-84B5-6DF0B4AD3098}"/>
    <cellStyle name="40% - Accent2 4 4 2 3" xfId="12174" xr:uid="{E54FD958-7E3E-4BA8-A2D1-3B3B589A6F9B}"/>
    <cellStyle name="40% - Accent2 4 4 3" xfId="5808" xr:uid="{00000000-0005-0000-0000-0000E6040000}"/>
    <cellStyle name="40% - Accent2 4 4 3 2" xfId="14247" xr:uid="{BD1F6BFE-1B68-4A20-B9B1-AABEA32815D6}"/>
    <cellStyle name="40% - Accent2 4 4 4" xfId="10029" xr:uid="{ECCCBB0C-15E3-455B-B194-A9F5115FF0C6}"/>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6F801EAD-1C6B-4DB3-AC2D-885A40F92309}"/>
    <cellStyle name="40% - Accent2 4 5 2 3" xfId="12587" xr:uid="{2BBA2F41-C7AA-4321-AF5B-D8BA89FFB189}"/>
    <cellStyle name="40% - Accent2 4 5 3" xfId="6221" xr:uid="{00000000-0005-0000-0000-0000EA040000}"/>
    <cellStyle name="40% - Accent2 4 5 3 2" xfId="14660" xr:uid="{A3EDC9E2-8919-43BA-8760-8B41A1F30A7D}"/>
    <cellStyle name="40% - Accent2 4 5 4" xfId="10442" xr:uid="{E38BB6AE-C668-4C52-AEE3-B2F2D23E3356}"/>
    <cellStyle name="40% - Accent2 4 6" xfId="2327" xr:uid="{00000000-0005-0000-0000-0000EB040000}"/>
    <cellStyle name="40% - Accent2 4 6 2" xfId="6634" xr:uid="{00000000-0005-0000-0000-0000EC040000}"/>
    <cellStyle name="40% - Accent2 4 6 2 2" xfId="15073" xr:uid="{AE09D441-2466-47FF-976D-D6E2E46272F2}"/>
    <cellStyle name="40% - Accent2 4 6 3" xfId="10855" xr:uid="{2A41794A-0A33-4F57-A5D7-73A6C763EBB4}"/>
    <cellStyle name="40% - Accent2 4 7" xfId="4568" xr:uid="{00000000-0005-0000-0000-0000ED040000}"/>
    <cellStyle name="40% - Accent2 4 7 2" xfId="13007" xr:uid="{87AD07B2-08A8-457B-85C1-D39BD0D9EB23}"/>
    <cellStyle name="40% - Accent2 4 8" xfId="8789" xr:uid="{FCF76E12-9377-41F6-B463-01C92BCEA9BB}"/>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50864AF0-E709-43EC-B5FF-5AEB60C26939}"/>
    <cellStyle name="40% - Accent2 5 2 3" xfId="11341" xr:uid="{A3384618-A76D-4BE7-9504-B56100EC7213}"/>
    <cellStyle name="40% - Accent2 5 3" xfId="4975" xr:uid="{00000000-0005-0000-0000-0000F1040000}"/>
    <cellStyle name="40% - Accent2 5 3 2" xfId="13414" xr:uid="{9C0D6282-3575-4B5D-ACCF-D473BBF4D3D4}"/>
    <cellStyle name="40% - Accent2 5 4" xfId="9196" xr:uid="{215E314D-786C-41F5-8C41-097E1DF8E3B2}"/>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62A2698A-C6FD-4EE0-A57A-57CF155F95CB}"/>
    <cellStyle name="40% - Accent2 6 2 3" xfId="11754" xr:uid="{D12E3E5F-29E0-4DD3-84A6-C5E707D1FEB2}"/>
    <cellStyle name="40% - Accent2 6 3" xfId="5388" xr:uid="{00000000-0005-0000-0000-0000F5040000}"/>
    <cellStyle name="40% - Accent2 6 3 2" xfId="13827" xr:uid="{FEFAAB59-A445-4043-88CB-464C220D3CC8}"/>
    <cellStyle name="40% - Accent2 6 4" xfId="9609" xr:uid="{AF30BDB7-40DE-4367-8FA0-962F19C8F0D7}"/>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F67A61DC-6ACA-4AC2-8001-D0859516C165}"/>
    <cellStyle name="40% - Accent2 7 2 3" xfId="12167" xr:uid="{49B98841-13FE-4179-BF0A-8F215A11FF6C}"/>
    <cellStyle name="40% - Accent2 7 3" xfId="5801" xr:uid="{00000000-0005-0000-0000-0000F9040000}"/>
    <cellStyle name="40% - Accent2 7 3 2" xfId="14240" xr:uid="{12512BF9-C744-4CAE-8B80-C1D3468EF20E}"/>
    <cellStyle name="40% - Accent2 7 4" xfId="10022" xr:uid="{1226B799-2DB9-4EFC-8C0B-AAEEB39525AC}"/>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903D2940-0114-4801-9B18-F3779D6DEB4E}"/>
    <cellStyle name="40% - Accent2 8 2 3" xfId="12580" xr:uid="{F2010CD2-61F9-4513-96C8-102BE06E77B9}"/>
    <cellStyle name="40% - Accent2 8 3" xfId="6214" xr:uid="{00000000-0005-0000-0000-0000FD040000}"/>
    <cellStyle name="40% - Accent2 8 3 2" xfId="14653" xr:uid="{AE817BFB-844E-4210-B162-88ABC385FFA1}"/>
    <cellStyle name="40% - Accent2 8 4" xfId="10435" xr:uid="{3344EB4E-74A1-48F5-B072-3719D7588592}"/>
    <cellStyle name="40% - Accent2 9" xfId="2320" xr:uid="{00000000-0005-0000-0000-0000FE040000}"/>
    <cellStyle name="40% - Accent2 9 2" xfId="6627" xr:uid="{00000000-0005-0000-0000-0000FF040000}"/>
    <cellStyle name="40% - Accent2 9 2 2" xfId="15066" xr:uid="{1A6B57B9-9596-4007-A454-6EF8F225E03F}"/>
    <cellStyle name="40% - Accent2 9 3" xfId="10848" xr:uid="{3A1AD4D7-4406-45E1-AFCE-A9176158FAA8}"/>
    <cellStyle name="40% - Accent3" xfId="65" builtinId="39" customBuiltin="1"/>
    <cellStyle name="40% - Accent3 10" xfId="4569" xr:uid="{00000000-0005-0000-0000-000001050000}"/>
    <cellStyle name="40% - Accent3 10 2" xfId="13008" xr:uid="{8B082046-3A20-4249-9D7A-628925E91D06}"/>
    <cellStyle name="40% - Accent3 11" xfId="8790" xr:uid="{9F104723-05A6-4D18-8364-84819FAF5D97}"/>
    <cellStyle name="40% - Accent3 2" xfId="66" xr:uid="{00000000-0005-0000-0000-000002050000}"/>
    <cellStyle name="40% - Accent3 2 10" xfId="8791" xr:uid="{0478CB00-719F-44A6-B4C8-09DE2E583083}"/>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9878B41D-E9BB-4073-B480-42816BC80242}"/>
    <cellStyle name="40% - Accent3 2 2 2 2 2 3" xfId="11352" xr:uid="{6B4512DE-BF87-4EA8-84BE-616C00E79B12}"/>
    <cellStyle name="40% - Accent3 2 2 2 2 3" xfId="4986" xr:uid="{00000000-0005-0000-0000-000008050000}"/>
    <cellStyle name="40% - Accent3 2 2 2 2 3 2" xfId="13425" xr:uid="{942D86CD-D14B-4B3D-A5C8-9A555E0A03BF}"/>
    <cellStyle name="40% - Accent3 2 2 2 2 4" xfId="9207" xr:uid="{D4061682-EE64-42B2-B84D-29977CA4FF6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2BA6B895-1410-4C7E-AD8D-640A354D5236}"/>
    <cellStyle name="40% - Accent3 2 2 2 3 2 3" xfId="11765" xr:uid="{E8E50650-B25B-49EB-8BD1-B8903AFCA78D}"/>
    <cellStyle name="40% - Accent3 2 2 2 3 3" xfId="5399" xr:uid="{00000000-0005-0000-0000-00000C050000}"/>
    <cellStyle name="40% - Accent3 2 2 2 3 3 2" xfId="13838" xr:uid="{3574713C-4595-4FC8-BBC5-10BFA487B56F}"/>
    <cellStyle name="40% - Accent3 2 2 2 3 4" xfId="9620" xr:uid="{A67CC830-FD02-4096-9DFC-C043CBE9BEFF}"/>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13B6E64B-2C10-42DE-BC3A-57614DCF996D}"/>
    <cellStyle name="40% - Accent3 2 2 2 4 2 3" xfId="12178" xr:uid="{0D483E0E-00D6-443A-B3C0-587A15F2CA64}"/>
    <cellStyle name="40% - Accent3 2 2 2 4 3" xfId="5812" xr:uid="{00000000-0005-0000-0000-000010050000}"/>
    <cellStyle name="40% - Accent3 2 2 2 4 3 2" xfId="14251" xr:uid="{353D6972-E9AF-4A06-BA39-5B6CAF11D569}"/>
    <cellStyle name="40% - Accent3 2 2 2 4 4" xfId="10033" xr:uid="{C2B7448C-00EC-4A38-B60D-77918DC81D64}"/>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164EBB05-AFF5-461F-A39E-DA5C2075476E}"/>
    <cellStyle name="40% - Accent3 2 2 2 5 2 3" xfId="12591" xr:uid="{0A858274-364C-4750-8F53-B36E4EF98F60}"/>
    <cellStyle name="40% - Accent3 2 2 2 5 3" xfId="6225" xr:uid="{00000000-0005-0000-0000-000014050000}"/>
    <cellStyle name="40% - Accent3 2 2 2 5 3 2" xfId="14664" xr:uid="{FD36D9DF-F815-48BF-8788-4C7F0A080E60}"/>
    <cellStyle name="40% - Accent3 2 2 2 5 4" xfId="10446" xr:uid="{6FE27591-315F-4B38-97CF-5F07C9240A6E}"/>
    <cellStyle name="40% - Accent3 2 2 2 6" xfId="2331" xr:uid="{00000000-0005-0000-0000-000015050000}"/>
    <cellStyle name="40% - Accent3 2 2 2 6 2" xfId="6638" xr:uid="{00000000-0005-0000-0000-000016050000}"/>
    <cellStyle name="40% - Accent3 2 2 2 6 2 2" xfId="15077" xr:uid="{9D429A43-C28D-4B04-B1C5-028BFD53D298}"/>
    <cellStyle name="40% - Accent3 2 2 2 6 3" xfId="10859" xr:uid="{08FE28F0-0224-4252-9470-A660904C1EE5}"/>
    <cellStyle name="40% - Accent3 2 2 2 7" xfId="4572" xr:uid="{00000000-0005-0000-0000-000017050000}"/>
    <cellStyle name="40% - Accent3 2 2 2 7 2" xfId="13011" xr:uid="{AFC30359-E8DC-414E-9163-77E5AEBA8CBF}"/>
    <cellStyle name="40% - Accent3 2 2 2 8" xfId="8793" xr:uid="{BC3A8155-1C27-445B-9AE1-5EC1D4BD3B56}"/>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B955774A-B652-44C8-90D5-E101E80F0BA2}"/>
    <cellStyle name="40% - Accent3 2 2 3 2 3" xfId="11351" xr:uid="{5CD132E3-3D00-4A3A-9AD8-18D7663956C3}"/>
    <cellStyle name="40% - Accent3 2 2 3 3" xfId="4985" xr:uid="{00000000-0005-0000-0000-00001B050000}"/>
    <cellStyle name="40% - Accent3 2 2 3 3 2" xfId="13424" xr:uid="{6FFE4458-1706-437B-BB0D-769D6054533A}"/>
    <cellStyle name="40% - Accent3 2 2 3 4" xfId="9206" xr:uid="{8238ADC7-9D09-41F5-A213-958A8E69A595}"/>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4FD14A47-C884-4A47-BF6D-C9DEEEC14A42}"/>
    <cellStyle name="40% - Accent3 2 2 4 2 3" xfId="11764" xr:uid="{6532F62C-C542-45EF-A7DC-FE09AC0BE8B8}"/>
    <cellStyle name="40% - Accent3 2 2 4 3" xfId="5398" xr:uid="{00000000-0005-0000-0000-00001F050000}"/>
    <cellStyle name="40% - Accent3 2 2 4 3 2" xfId="13837" xr:uid="{060AC137-C693-48ED-B197-9F70536D963F}"/>
    <cellStyle name="40% - Accent3 2 2 4 4" xfId="9619" xr:uid="{CEBDEE07-6C59-4B71-B681-F89A4A5E5945}"/>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05C5D886-8B9C-4489-8BD0-78A995431DE4}"/>
    <cellStyle name="40% - Accent3 2 2 5 2 3" xfId="12177" xr:uid="{173A2560-9D64-4C20-B70A-94D1B7BE8A26}"/>
    <cellStyle name="40% - Accent3 2 2 5 3" xfId="5811" xr:uid="{00000000-0005-0000-0000-000023050000}"/>
    <cellStyle name="40% - Accent3 2 2 5 3 2" xfId="14250" xr:uid="{5F5402F2-14AD-41B7-8D22-DC1334345CC7}"/>
    <cellStyle name="40% - Accent3 2 2 5 4" xfId="10032" xr:uid="{DC14EAF3-DCF7-444C-92D5-AF108562B759}"/>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A2812CAA-EBDE-421E-B6ED-7D37475A291E}"/>
    <cellStyle name="40% - Accent3 2 2 6 2 3" xfId="12590" xr:uid="{771A790B-5C83-4073-95BC-FED69109EF1C}"/>
    <cellStyle name="40% - Accent3 2 2 6 3" xfId="6224" xr:uid="{00000000-0005-0000-0000-000027050000}"/>
    <cellStyle name="40% - Accent3 2 2 6 3 2" xfId="14663" xr:uid="{10258133-C030-4ACC-AE32-D97C38508AA4}"/>
    <cellStyle name="40% - Accent3 2 2 6 4" xfId="10445" xr:uid="{CBFB5399-7410-4EF4-BF85-08E01CD26537}"/>
    <cellStyle name="40% - Accent3 2 2 7" xfId="2330" xr:uid="{00000000-0005-0000-0000-000028050000}"/>
    <cellStyle name="40% - Accent3 2 2 7 2" xfId="6637" xr:uid="{00000000-0005-0000-0000-000029050000}"/>
    <cellStyle name="40% - Accent3 2 2 7 2 2" xfId="15076" xr:uid="{322FAB75-F3BF-46AB-8D03-E83908E36417}"/>
    <cellStyle name="40% - Accent3 2 2 7 3" xfId="10858" xr:uid="{A20D6023-B711-4F53-9E31-654CFA010CBF}"/>
    <cellStyle name="40% - Accent3 2 2 8" xfId="4571" xr:uid="{00000000-0005-0000-0000-00002A050000}"/>
    <cellStyle name="40% - Accent3 2 2 8 2" xfId="13010" xr:uid="{CA2CBE8B-B5B3-4539-8F81-6192529EC0E6}"/>
    <cellStyle name="40% - Accent3 2 2 9" xfId="8792" xr:uid="{AE9087E1-67AD-4FA8-9AF4-48873C0FAC37}"/>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9D02CF2E-42E1-4ABB-9518-38CC059F3A9C}"/>
    <cellStyle name="40% - Accent3 2 3 2 2 3" xfId="11353" xr:uid="{8A89D784-C04A-4DD4-A747-22062F544290}"/>
    <cellStyle name="40% - Accent3 2 3 2 3" xfId="4987" xr:uid="{00000000-0005-0000-0000-00002F050000}"/>
    <cellStyle name="40% - Accent3 2 3 2 3 2" xfId="13426" xr:uid="{125AD29E-61E9-405C-8A4E-85FFECCDFBC1}"/>
    <cellStyle name="40% - Accent3 2 3 2 4" xfId="9208" xr:uid="{19C137D9-AA14-4A54-A179-5F6B28862803}"/>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F2A24023-1853-4BF2-8A39-0CA886BD52CE}"/>
    <cellStyle name="40% - Accent3 2 3 3 2 3" xfId="11766" xr:uid="{931C1DF2-4947-4A92-AFB9-93B53186FE73}"/>
    <cellStyle name="40% - Accent3 2 3 3 3" xfId="5400" xr:uid="{00000000-0005-0000-0000-000033050000}"/>
    <cellStyle name="40% - Accent3 2 3 3 3 2" xfId="13839" xr:uid="{50502425-1032-4FCB-BFD2-D97555B970DF}"/>
    <cellStyle name="40% - Accent3 2 3 3 4" xfId="9621" xr:uid="{F4EF528F-F135-4BAB-8EFF-AC1FF3001FFF}"/>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D4EAFBDE-3801-49D9-94AC-4F97F89BA7C9}"/>
    <cellStyle name="40% - Accent3 2 3 4 2 3" xfId="12179" xr:uid="{341200DF-601C-435B-B50B-E7E92E12E9C9}"/>
    <cellStyle name="40% - Accent3 2 3 4 3" xfId="5813" xr:uid="{00000000-0005-0000-0000-000037050000}"/>
    <cellStyle name="40% - Accent3 2 3 4 3 2" xfId="14252" xr:uid="{B6005907-61B1-47BD-9D65-1F4928E1FAE6}"/>
    <cellStyle name="40% - Accent3 2 3 4 4" xfId="10034" xr:uid="{8FF968B8-187D-4779-BC22-DF02501EC387}"/>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102B1DE1-EEE5-42E3-8B9F-1BBE4BCE4F9A}"/>
    <cellStyle name="40% - Accent3 2 3 5 2 3" xfId="12592" xr:uid="{4FB51FC3-44C5-4986-A5FD-C0BCA6C95FAE}"/>
    <cellStyle name="40% - Accent3 2 3 5 3" xfId="6226" xr:uid="{00000000-0005-0000-0000-00003B050000}"/>
    <cellStyle name="40% - Accent3 2 3 5 3 2" xfId="14665" xr:uid="{98A27147-8AD9-4B1B-91E1-58B37ED64BF9}"/>
    <cellStyle name="40% - Accent3 2 3 5 4" xfId="10447" xr:uid="{6AC4CD32-3875-41B8-B343-B86F0F11CB7A}"/>
    <cellStyle name="40% - Accent3 2 3 6" xfId="2332" xr:uid="{00000000-0005-0000-0000-00003C050000}"/>
    <cellStyle name="40% - Accent3 2 3 6 2" xfId="6639" xr:uid="{00000000-0005-0000-0000-00003D050000}"/>
    <cellStyle name="40% - Accent3 2 3 6 2 2" xfId="15078" xr:uid="{138DFED8-6CA2-498A-AA05-361B91A1D5A3}"/>
    <cellStyle name="40% - Accent3 2 3 6 3" xfId="10860" xr:uid="{B6D0A502-D491-4F2B-94EE-C513CE318264}"/>
    <cellStyle name="40% - Accent3 2 3 7" xfId="4573" xr:uid="{00000000-0005-0000-0000-00003E050000}"/>
    <cellStyle name="40% - Accent3 2 3 7 2" xfId="13012" xr:uid="{E777A044-2B50-48B4-99C2-CF68D4CD63E2}"/>
    <cellStyle name="40% - Accent3 2 3 8" xfId="8794" xr:uid="{20C27B9E-B0FE-4CF2-A262-481EC40EE457}"/>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912BB765-E2EE-44B1-805A-F8B81B37DC04}"/>
    <cellStyle name="40% - Accent3 2 4 2 3" xfId="11350" xr:uid="{B5D99968-DD17-44E6-8A24-BA2DC98BC9F6}"/>
    <cellStyle name="40% - Accent3 2 4 3" xfId="4984" xr:uid="{00000000-0005-0000-0000-000042050000}"/>
    <cellStyle name="40% - Accent3 2 4 3 2" xfId="13423" xr:uid="{418B09DF-34ED-4CE8-836D-EEAA8F22D006}"/>
    <cellStyle name="40% - Accent3 2 4 4" xfId="9205" xr:uid="{EB81D08A-AD15-4B57-AF8C-F3696A13D7BE}"/>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C1F5694A-99EF-4AF5-8D7D-0A88E5D72206}"/>
    <cellStyle name="40% - Accent3 2 5 2 3" xfId="11763" xr:uid="{23FA648A-08A5-49AC-8F4E-24D301F2F895}"/>
    <cellStyle name="40% - Accent3 2 5 3" xfId="5397" xr:uid="{00000000-0005-0000-0000-000046050000}"/>
    <cellStyle name="40% - Accent3 2 5 3 2" xfId="13836" xr:uid="{529406DA-C14C-4B9D-A256-75191B82DCFF}"/>
    <cellStyle name="40% - Accent3 2 5 4" xfId="9618" xr:uid="{882FD29A-5EC9-4787-83A8-DBA82FB68DD0}"/>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BD169D55-BEEC-48CD-A607-86AE2CC325DC}"/>
    <cellStyle name="40% - Accent3 2 6 2 3" xfId="12176" xr:uid="{2DC3A484-EF7D-4B27-AA39-0110E6E13932}"/>
    <cellStyle name="40% - Accent3 2 6 3" xfId="5810" xr:uid="{00000000-0005-0000-0000-00004A050000}"/>
    <cellStyle name="40% - Accent3 2 6 3 2" xfId="14249" xr:uid="{C4B0AB63-C8A8-41C6-9C9A-F0E5A4C1CC4E}"/>
    <cellStyle name="40% - Accent3 2 6 4" xfId="10031" xr:uid="{E5CA312A-F292-41C1-BD5D-E9A8968CF1A8}"/>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3D2E495C-5BF2-4A11-8F99-F0403AA69489}"/>
    <cellStyle name="40% - Accent3 2 7 2 3" xfId="12589" xr:uid="{DB24AFE9-5774-4686-9F90-36628EE56F9A}"/>
    <cellStyle name="40% - Accent3 2 7 3" xfId="6223" xr:uid="{00000000-0005-0000-0000-00004E050000}"/>
    <cellStyle name="40% - Accent3 2 7 3 2" xfId="14662" xr:uid="{F564C207-812D-4055-8296-BB440343B14F}"/>
    <cellStyle name="40% - Accent3 2 7 4" xfId="10444" xr:uid="{5B2ACA6B-6E5E-4378-92C8-C36C173401AA}"/>
    <cellStyle name="40% - Accent3 2 8" xfId="2329" xr:uid="{00000000-0005-0000-0000-00004F050000}"/>
    <cellStyle name="40% - Accent3 2 8 2" xfId="6636" xr:uid="{00000000-0005-0000-0000-000050050000}"/>
    <cellStyle name="40% - Accent3 2 8 2 2" xfId="15075" xr:uid="{07CBAA91-B14E-452B-987B-8AC571CDF7A5}"/>
    <cellStyle name="40% - Accent3 2 8 3" xfId="10857" xr:uid="{5C42A98E-1E55-4FBA-B2D0-B7F0AE72A360}"/>
    <cellStyle name="40% - Accent3 2 9" xfId="4570" xr:uid="{00000000-0005-0000-0000-000051050000}"/>
    <cellStyle name="40% - Accent3 2 9 2" xfId="13009" xr:uid="{21EC03FA-3CA2-42ED-9669-03455045ACBD}"/>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CB19573A-99E1-4E18-AE5B-9C425D719515}"/>
    <cellStyle name="40% - Accent3 3 2 2 2 3" xfId="11355" xr:uid="{6AF22F99-B59B-44E3-B84B-A51371088F54}"/>
    <cellStyle name="40% - Accent3 3 2 2 3" xfId="4989" xr:uid="{00000000-0005-0000-0000-000057050000}"/>
    <cellStyle name="40% - Accent3 3 2 2 3 2" xfId="13428" xr:uid="{80B2F318-DCBF-48E4-8327-017036C80BCB}"/>
    <cellStyle name="40% - Accent3 3 2 2 4" xfId="9210" xr:uid="{52B4B271-D980-428F-B19C-6B9C432D1F98}"/>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48F9B32B-40E8-4B55-9BFF-7426DB93FA3B}"/>
    <cellStyle name="40% - Accent3 3 2 3 2 3" xfId="11768" xr:uid="{F4D71486-8730-424D-A911-8EF961FD4C7F}"/>
    <cellStyle name="40% - Accent3 3 2 3 3" xfId="5402" xr:uid="{00000000-0005-0000-0000-00005B050000}"/>
    <cellStyle name="40% - Accent3 3 2 3 3 2" xfId="13841" xr:uid="{80247588-16A6-4112-A573-388E635FA0DC}"/>
    <cellStyle name="40% - Accent3 3 2 3 4" xfId="9623" xr:uid="{AFFB9040-E4C3-40D4-9868-427C2F56CA72}"/>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8AF8C1DE-4CF6-4263-B996-52F925CAB421}"/>
    <cellStyle name="40% - Accent3 3 2 4 2 3" xfId="12181" xr:uid="{1CB1EFF7-D9E4-4284-B245-37E1EA3CC1B9}"/>
    <cellStyle name="40% - Accent3 3 2 4 3" xfId="5815" xr:uid="{00000000-0005-0000-0000-00005F050000}"/>
    <cellStyle name="40% - Accent3 3 2 4 3 2" xfId="14254" xr:uid="{A186CB4C-2E08-4B75-84C9-1A3259736FA4}"/>
    <cellStyle name="40% - Accent3 3 2 4 4" xfId="10036" xr:uid="{DF3BF49D-9BE7-4F00-9ADF-8F47DE9A7921}"/>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4A0859DD-BFF0-4EFA-83B0-D06F2566531B}"/>
    <cellStyle name="40% - Accent3 3 2 5 2 3" xfId="12594" xr:uid="{F5A943F2-C129-4D2B-8B63-458A60BFD358}"/>
    <cellStyle name="40% - Accent3 3 2 5 3" xfId="6228" xr:uid="{00000000-0005-0000-0000-000063050000}"/>
    <cellStyle name="40% - Accent3 3 2 5 3 2" xfId="14667" xr:uid="{3FA2BB82-C8EA-4554-95F9-F03868A11B82}"/>
    <cellStyle name="40% - Accent3 3 2 5 4" xfId="10449" xr:uid="{1908B300-1E00-4119-9735-FBF2B611FB89}"/>
    <cellStyle name="40% - Accent3 3 2 6" xfId="2334" xr:uid="{00000000-0005-0000-0000-000064050000}"/>
    <cellStyle name="40% - Accent3 3 2 6 2" xfId="6641" xr:uid="{00000000-0005-0000-0000-000065050000}"/>
    <cellStyle name="40% - Accent3 3 2 6 2 2" xfId="15080" xr:uid="{182F1F72-C6F8-46D4-B276-F5D95AD42F9D}"/>
    <cellStyle name="40% - Accent3 3 2 6 3" xfId="10862" xr:uid="{931DF090-E30C-4B99-97ED-B1936D0EB1AE}"/>
    <cellStyle name="40% - Accent3 3 2 7" xfId="4575" xr:uid="{00000000-0005-0000-0000-000066050000}"/>
    <cellStyle name="40% - Accent3 3 2 7 2" xfId="13014" xr:uid="{61F48A7C-6BA9-4A57-ABE3-C118C1C76DAB}"/>
    <cellStyle name="40% - Accent3 3 2 8" xfId="8796" xr:uid="{931A5EE9-686A-4B4D-8AB5-03946C1FD7AB}"/>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9D7FB8B1-F581-4EC3-A9C2-97AB596FB977}"/>
    <cellStyle name="40% - Accent3 3 3 2 3" xfId="11354" xr:uid="{D87F6E9C-4807-438B-AC6B-97EF58C53283}"/>
    <cellStyle name="40% - Accent3 3 3 3" xfId="4988" xr:uid="{00000000-0005-0000-0000-00006A050000}"/>
    <cellStyle name="40% - Accent3 3 3 3 2" xfId="13427" xr:uid="{F238070D-FC47-456A-86C5-C182C2346400}"/>
    <cellStyle name="40% - Accent3 3 3 4" xfId="9209" xr:uid="{B57D813C-6474-434A-9B99-FAFAD9FF1A3F}"/>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A06836E5-FB92-4A47-8018-8BA8986CFDAA}"/>
    <cellStyle name="40% - Accent3 3 4 2 3" xfId="11767" xr:uid="{A44D214F-399B-4E06-99D4-053803B0BEA9}"/>
    <cellStyle name="40% - Accent3 3 4 3" xfId="5401" xr:uid="{00000000-0005-0000-0000-00006E050000}"/>
    <cellStyle name="40% - Accent3 3 4 3 2" xfId="13840" xr:uid="{093BAA2B-E521-46A9-B6B4-FF86A95EFAA4}"/>
    <cellStyle name="40% - Accent3 3 4 4" xfId="9622" xr:uid="{17CAFEA0-2512-41EA-9DF1-411FB1CAA849}"/>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92B43FB7-4865-4290-992B-86442270404A}"/>
    <cellStyle name="40% - Accent3 3 5 2 3" xfId="12180" xr:uid="{2AFC78A6-05D5-4EE4-ABC7-8C2478AA251E}"/>
    <cellStyle name="40% - Accent3 3 5 3" xfId="5814" xr:uid="{00000000-0005-0000-0000-000072050000}"/>
    <cellStyle name="40% - Accent3 3 5 3 2" xfId="14253" xr:uid="{EB5B1D45-4920-4272-BA19-2AA95847BA09}"/>
    <cellStyle name="40% - Accent3 3 5 4" xfId="10035" xr:uid="{7AA298A0-2A9C-48F4-AC14-2316858FA8F7}"/>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26BBFA7A-72DD-4854-BEF0-4EC94FFE7D8E}"/>
    <cellStyle name="40% - Accent3 3 6 2 3" xfId="12593" xr:uid="{96AAE732-141F-4C4D-BD0C-61B5BE6A0B34}"/>
    <cellStyle name="40% - Accent3 3 6 3" xfId="6227" xr:uid="{00000000-0005-0000-0000-000076050000}"/>
    <cellStyle name="40% - Accent3 3 6 3 2" xfId="14666" xr:uid="{D78A4F2F-BD74-481E-BC23-D502A8A8F736}"/>
    <cellStyle name="40% - Accent3 3 6 4" xfId="10448" xr:uid="{58E4B515-876D-4B88-9C49-5C74EEB6AEEA}"/>
    <cellStyle name="40% - Accent3 3 7" xfId="2333" xr:uid="{00000000-0005-0000-0000-000077050000}"/>
    <cellStyle name="40% - Accent3 3 7 2" xfId="6640" xr:uid="{00000000-0005-0000-0000-000078050000}"/>
    <cellStyle name="40% - Accent3 3 7 2 2" xfId="15079" xr:uid="{8067B558-0A9A-41F4-928B-ECE1590EB8BC}"/>
    <cellStyle name="40% - Accent3 3 7 3" xfId="10861" xr:uid="{696C02C9-38F0-4F58-B186-475E791788F8}"/>
    <cellStyle name="40% - Accent3 3 8" xfId="4574" xr:uid="{00000000-0005-0000-0000-000079050000}"/>
    <cellStyle name="40% - Accent3 3 8 2" xfId="13013" xr:uid="{7AA0D409-97C7-4524-B5F8-7109F19A493A}"/>
    <cellStyle name="40% - Accent3 3 9" xfId="8795" xr:uid="{6BC0B8F1-B7C5-4C7C-81D6-DBE7BF2410D4}"/>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BA9CBD4A-247F-4CC8-AA37-FE473B41559B}"/>
    <cellStyle name="40% - Accent3 4 2 2 3" xfId="11356" xr:uid="{08778230-8874-456E-9E39-F86E93034A58}"/>
    <cellStyle name="40% - Accent3 4 2 3" xfId="4990" xr:uid="{00000000-0005-0000-0000-00007E050000}"/>
    <cellStyle name="40% - Accent3 4 2 3 2" xfId="13429" xr:uid="{06A90842-D592-449F-8BB9-AB07E5333D30}"/>
    <cellStyle name="40% - Accent3 4 2 4" xfId="9211" xr:uid="{4157FB3F-B7BD-4B98-8867-7B35AE1F37DF}"/>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34B29AEB-1190-478E-B2CF-F810D5F44A79}"/>
    <cellStyle name="40% - Accent3 4 3 2 3" xfId="11769" xr:uid="{39EB9A4C-8B90-4316-9374-B6CC8459B915}"/>
    <cellStyle name="40% - Accent3 4 3 3" xfId="5403" xr:uid="{00000000-0005-0000-0000-000082050000}"/>
    <cellStyle name="40% - Accent3 4 3 3 2" xfId="13842" xr:uid="{0F03CE26-7EBD-4A31-AA92-81C7D89BA483}"/>
    <cellStyle name="40% - Accent3 4 3 4" xfId="9624" xr:uid="{B64601A8-3695-4B77-B318-D5DB731410D5}"/>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5D0E0542-876F-4231-A69D-351A7F336885}"/>
    <cellStyle name="40% - Accent3 4 4 2 3" xfId="12182" xr:uid="{A2318023-1565-4400-9218-D5DF7D253850}"/>
    <cellStyle name="40% - Accent3 4 4 3" xfId="5816" xr:uid="{00000000-0005-0000-0000-000086050000}"/>
    <cellStyle name="40% - Accent3 4 4 3 2" xfId="14255" xr:uid="{445898BE-9F04-46DA-B526-7F2449A2CF5A}"/>
    <cellStyle name="40% - Accent3 4 4 4" xfId="10037" xr:uid="{9E01694D-1922-4CA9-83B0-D0EF600CC3CE}"/>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7C4F1753-682C-4E1F-9943-819FD196B91A}"/>
    <cellStyle name="40% - Accent3 4 5 2 3" xfId="12595" xr:uid="{0C459DEA-49C3-40B4-A9AD-8DA689859A23}"/>
    <cellStyle name="40% - Accent3 4 5 3" xfId="6229" xr:uid="{00000000-0005-0000-0000-00008A050000}"/>
    <cellStyle name="40% - Accent3 4 5 3 2" xfId="14668" xr:uid="{EF87E187-8F86-41CC-B278-2E396D89A461}"/>
    <cellStyle name="40% - Accent3 4 5 4" xfId="10450" xr:uid="{5F2FCBB7-FAEE-4545-ABAC-E9066C2E8F6B}"/>
    <cellStyle name="40% - Accent3 4 6" xfId="2335" xr:uid="{00000000-0005-0000-0000-00008B050000}"/>
    <cellStyle name="40% - Accent3 4 6 2" xfId="6642" xr:uid="{00000000-0005-0000-0000-00008C050000}"/>
    <cellStyle name="40% - Accent3 4 6 2 2" xfId="15081" xr:uid="{E3DCA1EE-CEFC-4788-B67E-36F02BDE710D}"/>
    <cellStyle name="40% - Accent3 4 6 3" xfId="10863" xr:uid="{E30AEFE4-340C-4A8E-A56C-57DBF6A334D0}"/>
    <cellStyle name="40% - Accent3 4 7" xfId="4576" xr:uid="{00000000-0005-0000-0000-00008D050000}"/>
    <cellStyle name="40% - Accent3 4 7 2" xfId="13015" xr:uid="{C77EC7CB-78C8-454B-8E23-1D0CB32059A6}"/>
    <cellStyle name="40% - Accent3 4 8" xfId="8797" xr:uid="{067B4F69-0E8B-41A9-9859-F09DB85E8BAA}"/>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3584DD56-1907-4337-A254-F05FA0349D70}"/>
    <cellStyle name="40% - Accent3 5 2 3" xfId="11349" xr:uid="{D00E82EC-AB90-4318-900E-DEE86A0802A0}"/>
    <cellStyle name="40% - Accent3 5 3" xfId="4983" xr:uid="{00000000-0005-0000-0000-000091050000}"/>
    <cellStyle name="40% - Accent3 5 3 2" xfId="13422" xr:uid="{E4497941-26B8-4CCB-965A-9C699A8F894F}"/>
    <cellStyle name="40% - Accent3 5 4" xfId="9204" xr:uid="{89AA154C-C9DB-4500-AF38-7DEC5E609BF0}"/>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B7225B54-6A48-4ACF-A1C6-6283B8A28402}"/>
    <cellStyle name="40% - Accent3 6 2 3" xfId="11762" xr:uid="{3869E1A4-A650-42EA-9912-CF87CE72C58D}"/>
    <cellStyle name="40% - Accent3 6 3" xfId="5396" xr:uid="{00000000-0005-0000-0000-000095050000}"/>
    <cellStyle name="40% - Accent3 6 3 2" xfId="13835" xr:uid="{257DC69D-4066-4048-AC7F-C79AB5FC0885}"/>
    <cellStyle name="40% - Accent3 6 4" xfId="9617" xr:uid="{FEBA38D1-704E-4695-8E43-85C275BC03A7}"/>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C3358D71-6D9C-4BFD-BA70-320B87DD0D17}"/>
    <cellStyle name="40% - Accent3 7 2 3" xfId="12175" xr:uid="{ED8A4C03-6EE5-49A8-8E36-4C2A2C81D57E}"/>
    <cellStyle name="40% - Accent3 7 3" xfId="5809" xr:uid="{00000000-0005-0000-0000-000099050000}"/>
    <cellStyle name="40% - Accent3 7 3 2" xfId="14248" xr:uid="{46A8472D-8FCD-4183-A3F7-8200CC98A60C}"/>
    <cellStyle name="40% - Accent3 7 4" xfId="10030" xr:uid="{769ADA1F-F14A-47A2-A7C9-0C5AD8C13AA7}"/>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8F737AF1-CF22-4C91-A16C-6A602BCCAAAF}"/>
    <cellStyle name="40% - Accent3 8 2 3" xfId="12588" xr:uid="{0DD87119-56F3-4FD9-B69D-200AC4179F70}"/>
    <cellStyle name="40% - Accent3 8 3" xfId="6222" xr:uid="{00000000-0005-0000-0000-00009D050000}"/>
    <cellStyle name="40% - Accent3 8 3 2" xfId="14661" xr:uid="{38F13778-086B-4F31-97D2-11A0749DA6C6}"/>
    <cellStyle name="40% - Accent3 8 4" xfId="10443" xr:uid="{758B7A31-A05E-465A-90A8-577610B82BA0}"/>
    <cellStyle name="40% - Accent3 9" xfId="2328" xr:uid="{00000000-0005-0000-0000-00009E050000}"/>
    <cellStyle name="40% - Accent3 9 2" xfId="6635" xr:uid="{00000000-0005-0000-0000-00009F050000}"/>
    <cellStyle name="40% - Accent3 9 2 2" xfId="15074" xr:uid="{0C627A8D-CC5F-40D7-BB1B-916A59AAC258}"/>
    <cellStyle name="40% - Accent3 9 3" xfId="10856" xr:uid="{96DE7603-ED37-4B07-A8C6-6D73AB93BBDD}"/>
    <cellStyle name="40% - Accent4" xfId="73" builtinId="43" customBuiltin="1"/>
    <cellStyle name="40% - Accent4 10" xfId="4577" xr:uid="{00000000-0005-0000-0000-0000A1050000}"/>
    <cellStyle name="40% - Accent4 10 2" xfId="13016" xr:uid="{3227FA93-0B9E-47EC-955B-D423522EFC90}"/>
    <cellStyle name="40% - Accent4 11" xfId="8798" xr:uid="{EB03D28F-BBCD-4939-9D38-EB434187E8D8}"/>
    <cellStyle name="40% - Accent4 2" xfId="74" xr:uid="{00000000-0005-0000-0000-0000A2050000}"/>
    <cellStyle name="40% - Accent4 2 10" xfId="8799" xr:uid="{E5812F83-6D27-499F-8C2A-9CF85AF98729}"/>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CB17682D-AF6A-4D52-A201-BF157577C210}"/>
    <cellStyle name="40% - Accent4 2 2 2 2 2 3" xfId="11360" xr:uid="{86E42805-3407-4036-9764-40DCEC318278}"/>
    <cellStyle name="40% - Accent4 2 2 2 2 3" xfId="4994" xr:uid="{00000000-0005-0000-0000-0000A8050000}"/>
    <cellStyle name="40% - Accent4 2 2 2 2 3 2" xfId="13433" xr:uid="{904F573E-DF34-4CB9-AE3A-4822FAD68485}"/>
    <cellStyle name="40% - Accent4 2 2 2 2 4" xfId="9215" xr:uid="{451F7361-610B-4571-B546-EC521E0A7B44}"/>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FA62A226-A2B2-494C-B210-8CF6B150BBB5}"/>
    <cellStyle name="40% - Accent4 2 2 2 3 2 3" xfId="11773" xr:uid="{90959A1B-AE00-4768-876D-D16BDE0A9F1C}"/>
    <cellStyle name="40% - Accent4 2 2 2 3 3" xfId="5407" xr:uid="{00000000-0005-0000-0000-0000AC050000}"/>
    <cellStyle name="40% - Accent4 2 2 2 3 3 2" xfId="13846" xr:uid="{DE906DEC-0ED9-48FE-A106-771A386363AF}"/>
    <cellStyle name="40% - Accent4 2 2 2 3 4" xfId="9628" xr:uid="{5289D547-320F-4617-8018-43D0AFBE1986}"/>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22CA6E35-0002-46D2-8239-6066EE04A6AB}"/>
    <cellStyle name="40% - Accent4 2 2 2 4 2 3" xfId="12186" xr:uid="{1233A485-9D35-423B-9A76-0C961FD4E765}"/>
    <cellStyle name="40% - Accent4 2 2 2 4 3" xfId="5820" xr:uid="{00000000-0005-0000-0000-0000B0050000}"/>
    <cellStyle name="40% - Accent4 2 2 2 4 3 2" xfId="14259" xr:uid="{BC22C15D-3F00-4D18-99C0-3D9F1608A674}"/>
    <cellStyle name="40% - Accent4 2 2 2 4 4" xfId="10041" xr:uid="{C195462F-5F2E-4D70-A437-6FB873684E72}"/>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4EF6A9EF-5F69-46DE-B0E4-2D27C2824BBB}"/>
    <cellStyle name="40% - Accent4 2 2 2 5 2 3" xfId="12599" xr:uid="{5557C47D-C22D-445D-AA3E-F74A8914EEDB}"/>
    <cellStyle name="40% - Accent4 2 2 2 5 3" xfId="6233" xr:uid="{00000000-0005-0000-0000-0000B4050000}"/>
    <cellStyle name="40% - Accent4 2 2 2 5 3 2" xfId="14672" xr:uid="{F86C2C49-BCDB-47E5-BDC6-E0452368CE7C}"/>
    <cellStyle name="40% - Accent4 2 2 2 5 4" xfId="10454" xr:uid="{D3282BB2-335D-4BC3-8822-9D5902BFB65E}"/>
    <cellStyle name="40% - Accent4 2 2 2 6" xfId="2339" xr:uid="{00000000-0005-0000-0000-0000B5050000}"/>
    <cellStyle name="40% - Accent4 2 2 2 6 2" xfId="6646" xr:uid="{00000000-0005-0000-0000-0000B6050000}"/>
    <cellStyle name="40% - Accent4 2 2 2 6 2 2" xfId="15085" xr:uid="{BE584A92-4750-469C-92DF-F8BA02BE97F8}"/>
    <cellStyle name="40% - Accent4 2 2 2 6 3" xfId="10867" xr:uid="{5E87CFA1-C4A3-422E-A6E2-310E869C7F01}"/>
    <cellStyle name="40% - Accent4 2 2 2 7" xfId="4580" xr:uid="{00000000-0005-0000-0000-0000B7050000}"/>
    <cellStyle name="40% - Accent4 2 2 2 7 2" xfId="13019" xr:uid="{9B438D20-E87D-48FD-A282-F5FD3B5079DB}"/>
    <cellStyle name="40% - Accent4 2 2 2 8" xfId="8801" xr:uid="{9284BF61-BFEB-4136-ADF8-0B372D93C6AE}"/>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D35CB847-6AC0-447A-808B-1003B6207961}"/>
    <cellStyle name="40% - Accent4 2 2 3 2 3" xfId="11359" xr:uid="{0BB54928-C2B6-4806-B4C8-CEFF70D8C0AB}"/>
    <cellStyle name="40% - Accent4 2 2 3 3" xfId="4993" xr:uid="{00000000-0005-0000-0000-0000BB050000}"/>
    <cellStyle name="40% - Accent4 2 2 3 3 2" xfId="13432" xr:uid="{497766C8-49B2-4C56-AB0E-19DD50CFCBE0}"/>
    <cellStyle name="40% - Accent4 2 2 3 4" xfId="9214" xr:uid="{403A4292-7305-4215-829F-9C770227EB3C}"/>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06F214B3-8158-4B2E-8592-BADD2329DB50}"/>
    <cellStyle name="40% - Accent4 2 2 4 2 3" xfId="11772" xr:uid="{C64BD948-D8AC-4483-A06A-D1197A9C8745}"/>
    <cellStyle name="40% - Accent4 2 2 4 3" xfId="5406" xr:uid="{00000000-0005-0000-0000-0000BF050000}"/>
    <cellStyle name="40% - Accent4 2 2 4 3 2" xfId="13845" xr:uid="{AD5038CC-D137-4B9C-A5AD-E95C28D85B34}"/>
    <cellStyle name="40% - Accent4 2 2 4 4" xfId="9627" xr:uid="{0AA92DFF-B0C1-42B8-A8DB-70D1C4205288}"/>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A0DA6E57-FD64-4242-8E59-DFD0C015AE46}"/>
    <cellStyle name="40% - Accent4 2 2 5 2 3" xfId="12185" xr:uid="{1DA035D3-6379-4F55-92C0-0E286F95944D}"/>
    <cellStyle name="40% - Accent4 2 2 5 3" xfId="5819" xr:uid="{00000000-0005-0000-0000-0000C3050000}"/>
    <cellStyle name="40% - Accent4 2 2 5 3 2" xfId="14258" xr:uid="{095B6814-63D8-45AD-9D6C-E332F32739CA}"/>
    <cellStyle name="40% - Accent4 2 2 5 4" xfId="10040" xr:uid="{BCA2054E-F88D-4658-806A-65CD9880B700}"/>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EC2ADC2C-79DA-403B-9700-EA66C1CC6ECF}"/>
    <cellStyle name="40% - Accent4 2 2 6 2 3" xfId="12598" xr:uid="{35177D41-29C9-42D0-B73F-D67EF499A939}"/>
    <cellStyle name="40% - Accent4 2 2 6 3" xfId="6232" xr:uid="{00000000-0005-0000-0000-0000C7050000}"/>
    <cellStyle name="40% - Accent4 2 2 6 3 2" xfId="14671" xr:uid="{F9B1D4DB-37EE-4181-BC7A-27DB9F6500F4}"/>
    <cellStyle name="40% - Accent4 2 2 6 4" xfId="10453" xr:uid="{1B3D4031-BF32-423C-B961-390B9D45FAF9}"/>
    <cellStyle name="40% - Accent4 2 2 7" xfId="2338" xr:uid="{00000000-0005-0000-0000-0000C8050000}"/>
    <cellStyle name="40% - Accent4 2 2 7 2" xfId="6645" xr:uid="{00000000-0005-0000-0000-0000C9050000}"/>
    <cellStyle name="40% - Accent4 2 2 7 2 2" xfId="15084" xr:uid="{B27D6BC7-6A68-44AC-844C-1AC47364C2F1}"/>
    <cellStyle name="40% - Accent4 2 2 7 3" xfId="10866" xr:uid="{2F8468E9-F1BF-496B-96B6-45BD2BA4F63C}"/>
    <cellStyle name="40% - Accent4 2 2 8" xfId="4579" xr:uid="{00000000-0005-0000-0000-0000CA050000}"/>
    <cellStyle name="40% - Accent4 2 2 8 2" xfId="13018" xr:uid="{2D608206-FCED-4C64-9C46-08BBD5E48E2A}"/>
    <cellStyle name="40% - Accent4 2 2 9" xfId="8800" xr:uid="{0C22129C-0746-4CA4-9DAE-51FDBDB6955B}"/>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199F5CEF-98C1-4373-B547-52A905E83349}"/>
    <cellStyle name="40% - Accent4 2 3 2 2 3" xfId="11361" xr:uid="{F3015EBE-07E1-44FB-A74B-C443BF256896}"/>
    <cellStyle name="40% - Accent4 2 3 2 3" xfId="4995" xr:uid="{00000000-0005-0000-0000-0000CF050000}"/>
    <cellStyle name="40% - Accent4 2 3 2 3 2" xfId="13434" xr:uid="{24D0AB94-69F4-43FD-A338-5F17D8EAE2BA}"/>
    <cellStyle name="40% - Accent4 2 3 2 4" xfId="9216" xr:uid="{E64B7EE9-38F1-44EB-807D-67A8700E6903}"/>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3D78DE78-60FF-4EB6-B8FA-5F5DE2784A8C}"/>
    <cellStyle name="40% - Accent4 2 3 3 2 3" xfId="11774" xr:uid="{1FC6D02D-D7F0-4754-BAFE-A3019143D1D9}"/>
    <cellStyle name="40% - Accent4 2 3 3 3" xfId="5408" xr:uid="{00000000-0005-0000-0000-0000D3050000}"/>
    <cellStyle name="40% - Accent4 2 3 3 3 2" xfId="13847" xr:uid="{F14BACBA-B9E5-4FB8-B392-AC7D6A97A8AA}"/>
    <cellStyle name="40% - Accent4 2 3 3 4" xfId="9629" xr:uid="{320DB875-4C45-4CEC-83F9-F8F949463784}"/>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23F3B287-D3EA-410B-AE80-AC20D311FB92}"/>
    <cellStyle name="40% - Accent4 2 3 4 2 3" xfId="12187" xr:uid="{7DA7D047-4272-4D80-A53B-A8603EA96EF0}"/>
    <cellStyle name="40% - Accent4 2 3 4 3" xfId="5821" xr:uid="{00000000-0005-0000-0000-0000D7050000}"/>
    <cellStyle name="40% - Accent4 2 3 4 3 2" xfId="14260" xr:uid="{CD5F5DBF-B949-446B-853F-479C361F1A2D}"/>
    <cellStyle name="40% - Accent4 2 3 4 4" xfId="10042" xr:uid="{4A43498C-A4D3-4596-8E07-956DBC164042}"/>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1D4AAB83-5DBF-4078-BE4A-DA0324BBC7D3}"/>
    <cellStyle name="40% - Accent4 2 3 5 2 3" xfId="12600" xr:uid="{2ED473DB-32BE-4D23-B61A-6675126423A2}"/>
    <cellStyle name="40% - Accent4 2 3 5 3" xfId="6234" xr:uid="{00000000-0005-0000-0000-0000DB050000}"/>
    <cellStyle name="40% - Accent4 2 3 5 3 2" xfId="14673" xr:uid="{AF16DAF9-F9CE-405F-AE56-BEDFAB083594}"/>
    <cellStyle name="40% - Accent4 2 3 5 4" xfId="10455" xr:uid="{11641359-618D-4EBE-B2B7-8803040C039A}"/>
    <cellStyle name="40% - Accent4 2 3 6" xfId="2340" xr:uid="{00000000-0005-0000-0000-0000DC050000}"/>
    <cellStyle name="40% - Accent4 2 3 6 2" xfId="6647" xr:uid="{00000000-0005-0000-0000-0000DD050000}"/>
    <cellStyle name="40% - Accent4 2 3 6 2 2" xfId="15086" xr:uid="{70D8AA1A-6717-40CD-96E5-2EFF1348EC40}"/>
    <cellStyle name="40% - Accent4 2 3 6 3" xfId="10868" xr:uid="{1F6CD138-0353-4BEB-8894-1703BDE684A0}"/>
    <cellStyle name="40% - Accent4 2 3 7" xfId="4581" xr:uid="{00000000-0005-0000-0000-0000DE050000}"/>
    <cellStyle name="40% - Accent4 2 3 7 2" xfId="13020" xr:uid="{E56EFB05-526A-443B-9EDD-38A47464F7E9}"/>
    <cellStyle name="40% - Accent4 2 3 8" xfId="8802" xr:uid="{1F376CAE-9D18-4B88-ABA3-92CBDB4E92AD}"/>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3384B0DA-8FA0-4869-B97D-830B893F6BCF}"/>
    <cellStyle name="40% - Accent4 2 4 2 3" xfId="11358" xr:uid="{99DEC435-C224-4729-B1F7-05E2D73138D1}"/>
    <cellStyle name="40% - Accent4 2 4 3" xfId="4992" xr:uid="{00000000-0005-0000-0000-0000E2050000}"/>
    <cellStyle name="40% - Accent4 2 4 3 2" xfId="13431" xr:uid="{C0539C19-1E8E-490B-A8C2-28AD17C25CB9}"/>
    <cellStyle name="40% - Accent4 2 4 4" xfId="9213" xr:uid="{B69E36C6-F978-4D6E-A300-0E4DEC19E590}"/>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FAA333ED-A145-4F51-8D05-ABEAD707928C}"/>
    <cellStyle name="40% - Accent4 2 5 2 3" xfId="11771" xr:uid="{5BDE6836-D07A-40F6-9AB2-A9C155789ABE}"/>
    <cellStyle name="40% - Accent4 2 5 3" xfId="5405" xr:uid="{00000000-0005-0000-0000-0000E6050000}"/>
    <cellStyle name="40% - Accent4 2 5 3 2" xfId="13844" xr:uid="{160D3202-8E1D-4FEF-8D3F-DB23B72AFD1C}"/>
    <cellStyle name="40% - Accent4 2 5 4" xfId="9626" xr:uid="{E9F6778F-1933-499A-A4D9-CD44B2499031}"/>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2BC0429E-C888-4F44-8FFC-ACCA6CB6A170}"/>
    <cellStyle name="40% - Accent4 2 6 2 3" xfId="12184" xr:uid="{EE100115-767A-4D6A-A9E2-56CAA1E3080C}"/>
    <cellStyle name="40% - Accent4 2 6 3" xfId="5818" xr:uid="{00000000-0005-0000-0000-0000EA050000}"/>
    <cellStyle name="40% - Accent4 2 6 3 2" xfId="14257" xr:uid="{EE46F85B-9341-4F58-8448-2C93147A8CF1}"/>
    <cellStyle name="40% - Accent4 2 6 4" xfId="10039" xr:uid="{C0C0BBEA-FC8B-4611-965C-63AAF83B0E60}"/>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F47CA8D3-1B7A-4FFA-9C3B-D1C1BD804C52}"/>
    <cellStyle name="40% - Accent4 2 7 2 3" xfId="12597" xr:uid="{C3134950-4CC5-49C5-BDD5-0BD26A67AA3A}"/>
    <cellStyle name="40% - Accent4 2 7 3" xfId="6231" xr:uid="{00000000-0005-0000-0000-0000EE050000}"/>
    <cellStyle name="40% - Accent4 2 7 3 2" xfId="14670" xr:uid="{46B06AB4-3BD3-4D88-9CCC-A955549A2847}"/>
    <cellStyle name="40% - Accent4 2 7 4" xfId="10452" xr:uid="{96620BB3-BBA1-4E55-B6D2-963B7A3D0842}"/>
    <cellStyle name="40% - Accent4 2 8" xfId="2337" xr:uid="{00000000-0005-0000-0000-0000EF050000}"/>
    <cellStyle name="40% - Accent4 2 8 2" xfId="6644" xr:uid="{00000000-0005-0000-0000-0000F0050000}"/>
    <cellStyle name="40% - Accent4 2 8 2 2" xfId="15083" xr:uid="{AA4CF64B-18A9-48DD-8643-15A6C2C93F85}"/>
    <cellStyle name="40% - Accent4 2 8 3" xfId="10865" xr:uid="{480FF471-AA13-4358-B622-9A68F32A409E}"/>
    <cellStyle name="40% - Accent4 2 9" xfId="4578" xr:uid="{00000000-0005-0000-0000-0000F1050000}"/>
    <cellStyle name="40% - Accent4 2 9 2" xfId="13017" xr:uid="{78BBFAA1-0205-4F2F-8A5D-1A293D30FFFE}"/>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BE0FE168-A4FD-4485-B567-B4591EF1B8BB}"/>
    <cellStyle name="40% - Accent4 3 2 2 2 3" xfId="11363" xr:uid="{85990DE2-A35D-4F26-B667-6C17CA67AA88}"/>
    <cellStyle name="40% - Accent4 3 2 2 3" xfId="4997" xr:uid="{00000000-0005-0000-0000-0000F7050000}"/>
    <cellStyle name="40% - Accent4 3 2 2 3 2" xfId="13436" xr:uid="{9BA86AA5-F221-4884-AC91-6E210D0624CE}"/>
    <cellStyle name="40% - Accent4 3 2 2 4" xfId="9218" xr:uid="{C6A5DDD9-B005-4A64-A21B-74D52D2EE957}"/>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961FC3A7-579C-4BF5-BD8E-8FE6FA3659ED}"/>
    <cellStyle name="40% - Accent4 3 2 3 2 3" xfId="11776" xr:uid="{9C066E1C-857D-4D1E-93C4-DF00E9083335}"/>
    <cellStyle name="40% - Accent4 3 2 3 3" xfId="5410" xr:uid="{00000000-0005-0000-0000-0000FB050000}"/>
    <cellStyle name="40% - Accent4 3 2 3 3 2" xfId="13849" xr:uid="{E0629476-B945-41FB-8F86-8AB1FFAB607B}"/>
    <cellStyle name="40% - Accent4 3 2 3 4" xfId="9631" xr:uid="{22828D43-3F9C-416D-B828-DB0E97C65858}"/>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847BF036-A120-4301-A70C-5F7C9077A192}"/>
    <cellStyle name="40% - Accent4 3 2 4 2 3" xfId="12189" xr:uid="{74D3F3D0-D35F-45FD-936C-2C81D56862BB}"/>
    <cellStyle name="40% - Accent4 3 2 4 3" xfId="5823" xr:uid="{00000000-0005-0000-0000-0000FF050000}"/>
    <cellStyle name="40% - Accent4 3 2 4 3 2" xfId="14262" xr:uid="{E315DB0D-F41E-4E20-8807-C2A69D0BDDE2}"/>
    <cellStyle name="40% - Accent4 3 2 4 4" xfId="10044" xr:uid="{323B42C2-0454-44D3-846B-5C5DBE03D6FD}"/>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BA1AA40A-1771-4943-98BF-CCE5A50814EE}"/>
    <cellStyle name="40% - Accent4 3 2 5 2 3" xfId="12602" xr:uid="{EF9E87FA-CCB3-4A83-AF4F-72080EFA2013}"/>
    <cellStyle name="40% - Accent4 3 2 5 3" xfId="6236" xr:uid="{00000000-0005-0000-0000-000003060000}"/>
    <cellStyle name="40% - Accent4 3 2 5 3 2" xfId="14675" xr:uid="{D7E92F32-40D9-4F99-BCAD-9F14ED9D63D0}"/>
    <cellStyle name="40% - Accent4 3 2 5 4" xfId="10457" xr:uid="{4ED69F21-352B-4D7D-872C-0744B1001D4D}"/>
    <cellStyle name="40% - Accent4 3 2 6" xfId="2342" xr:uid="{00000000-0005-0000-0000-000004060000}"/>
    <cellStyle name="40% - Accent4 3 2 6 2" xfId="6649" xr:uid="{00000000-0005-0000-0000-000005060000}"/>
    <cellStyle name="40% - Accent4 3 2 6 2 2" xfId="15088" xr:uid="{4BEAB43A-B760-4194-8F8E-749BED0D25EA}"/>
    <cellStyle name="40% - Accent4 3 2 6 3" xfId="10870" xr:uid="{13606A49-A29C-4133-B2CF-33E8DA42CE16}"/>
    <cellStyle name="40% - Accent4 3 2 7" xfId="4583" xr:uid="{00000000-0005-0000-0000-000006060000}"/>
    <cellStyle name="40% - Accent4 3 2 7 2" xfId="13022" xr:uid="{BA491592-00D2-4EF9-A7FB-7360BC22612A}"/>
    <cellStyle name="40% - Accent4 3 2 8" xfId="8804" xr:uid="{9FC96DF8-FE72-4E0E-9B7D-4E69FC5834A6}"/>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E18DF1D9-2030-4D52-98FC-43F9C2975825}"/>
    <cellStyle name="40% - Accent4 3 3 2 3" xfId="11362" xr:uid="{23B69B0C-4A82-48F5-B20B-D9DED6DE6FD9}"/>
    <cellStyle name="40% - Accent4 3 3 3" xfId="4996" xr:uid="{00000000-0005-0000-0000-00000A060000}"/>
    <cellStyle name="40% - Accent4 3 3 3 2" xfId="13435" xr:uid="{475708E7-0405-43F2-A00C-A971C6460D8A}"/>
    <cellStyle name="40% - Accent4 3 3 4" xfId="9217" xr:uid="{6F49B0DB-7498-4BB9-88ED-D9B33DF24B4D}"/>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63E7DE69-FFA4-4129-A736-3C75FD7B0219}"/>
    <cellStyle name="40% - Accent4 3 4 2 3" xfId="11775" xr:uid="{2729965D-ACCD-4FC8-B3D6-3B35E736B287}"/>
    <cellStyle name="40% - Accent4 3 4 3" xfId="5409" xr:uid="{00000000-0005-0000-0000-00000E060000}"/>
    <cellStyle name="40% - Accent4 3 4 3 2" xfId="13848" xr:uid="{2F53380C-B256-4052-9456-15B9F3911FF7}"/>
    <cellStyle name="40% - Accent4 3 4 4" xfId="9630" xr:uid="{6680EBCC-ED15-4C64-9687-9B625963B546}"/>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6F971A58-7D9B-4B7C-9F05-E3E915836F64}"/>
    <cellStyle name="40% - Accent4 3 5 2 3" xfId="12188" xr:uid="{C6C6AE8B-A329-49E3-9E93-057B6D9D3EE6}"/>
    <cellStyle name="40% - Accent4 3 5 3" xfId="5822" xr:uid="{00000000-0005-0000-0000-000012060000}"/>
    <cellStyle name="40% - Accent4 3 5 3 2" xfId="14261" xr:uid="{8F2C02B3-318B-487C-8281-8420653719C3}"/>
    <cellStyle name="40% - Accent4 3 5 4" xfId="10043" xr:uid="{90AA24FD-4CA9-48D2-8466-676B08ACDF14}"/>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37937DC1-1953-49F7-9B2B-BEF250A74E3E}"/>
    <cellStyle name="40% - Accent4 3 6 2 3" xfId="12601" xr:uid="{1AE87A5F-48FA-449F-9CEA-0205906775A5}"/>
    <cellStyle name="40% - Accent4 3 6 3" xfId="6235" xr:uid="{00000000-0005-0000-0000-000016060000}"/>
    <cellStyle name="40% - Accent4 3 6 3 2" xfId="14674" xr:uid="{E9FECC19-35BA-4EB9-87F7-F4203BC62934}"/>
    <cellStyle name="40% - Accent4 3 6 4" xfId="10456" xr:uid="{ADF306D8-55B8-4954-A1BD-FA17E44E531F}"/>
    <cellStyle name="40% - Accent4 3 7" xfId="2341" xr:uid="{00000000-0005-0000-0000-000017060000}"/>
    <cellStyle name="40% - Accent4 3 7 2" xfId="6648" xr:uid="{00000000-0005-0000-0000-000018060000}"/>
    <cellStyle name="40% - Accent4 3 7 2 2" xfId="15087" xr:uid="{41B5123D-28CC-4301-B229-D38167C874CF}"/>
    <cellStyle name="40% - Accent4 3 7 3" xfId="10869" xr:uid="{9CE87BB3-4BCC-45AF-B749-98CF177E8340}"/>
    <cellStyle name="40% - Accent4 3 8" xfId="4582" xr:uid="{00000000-0005-0000-0000-000019060000}"/>
    <cellStyle name="40% - Accent4 3 8 2" xfId="13021" xr:uid="{6065D4E4-E3B6-40F0-AADA-6033AC19BBC0}"/>
    <cellStyle name="40% - Accent4 3 9" xfId="8803" xr:uid="{A3184D9C-8715-4207-9BD1-B4CF631B7095}"/>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4281067A-F454-4D02-AC9B-65C99EAE6077}"/>
    <cellStyle name="40% - Accent4 4 2 2 3" xfId="11364" xr:uid="{C71FA8FE-CA35-43CD-9BB7-D46CAD825F59}"/>
    <cellStyle name="40% - Accent4 4 2 3" xfId="4998" xr:uid="{00000000-0005-0000-0000-00001E060000}"/>
    <cellStyle name="40% - Accent4 4 2 3 2" xfId="13437" xr:uid="{30BD0DA7-7756-42AD-B5BB-B349A64C79CF}"/>
    <cellStyle name="40% - Accent4 4 2 4" xfId="9219" xr:uid="{A0DC6CCC-53AC-4072-8257-6EAAE1482009}"/>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653DC53F-AF5F-4C2D-B9DC-BE71D0789909}"/>
    <cellStyle name="40% - Accent4 4 3 2 3" xfId="11777" xr:uid="{D5349884-8F27-4199-8A39-176C9E06BE73}"/>
    <cellStyle name="40% - Accent4 4 3 3" xfId="5411" xr:uid="{00000000-0005-0000-0000-000022060000}"/>
    <cellStyle name="40% - Accent4 4 3 3 2" xfId="13850" xr:uid="{80872516-9F0B-44AC-A9E6-221A476FF4A6}"/>
    <cellStyle name="40% - Accent4 4 3 4" xfId="9632" xr:uid="{A7B0D9F6-4ABA-4BB9-B74B-145D5699B2D8}"/>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89BD6C2D-A262-4C5F-9351-AB2BF91CA909}"/>
    <cellStyle name="40% - Accent4 4 4 2 3" xfId="12190" xr:uid="{20F0C41B-47B0-49A8-BAAA-B74C76919EE4}"/>
    <cellStyle name="40% - Accent4 4 4 3" xfId="5824" xr:uid="{00000000-0005-0000-0000-000026060000}"/>
    <cellStyle name="40% - Accent4 4 4 3 2" xfId="14263" xr:uid="{722BABEF-1371-4139-AC45-EBBEB50E2ABF}"/>
    <cellStyle name="40% - Accent4 4 4 4" xfId="10045" xr:uid="{39E51BCE-91D5-4C8D-A0A2-8437E3F8B9AC}"/>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806BD08A-7176-4045-B7F9-37CAD11B78CC}"/>
    <cellStyle name="40% - Accent4 4 5 2 3" xfId="12603" xr:uid="{F8AD46C9-B505-4057-AC3F-ABC0BA0C3574}"/>
    <cellStyle name="40% - Accent4 4 5 3" xfId="6237" xr:uid="{00000000-0005-0000-0000-00002A060000}"/>
    <cellStyle name="40% - Accent4 4 5 3 2" xfId="14676" xr:uid="{6D00461F-6F4A-4BB3-8831-99FE2E34152A}"/>
    <cellStyle name="40% - Accent4 4 5 4" xfId="10458" xr:uid="{F40D9A2B-D7E8-4768-B871-849A5A74C36E}"/>
    <cellStyle name="40% - Accent4 4 6" xfId="2343" xr:uid="{00000000-0005-0000-0000-00002B060000}"/>
    <cellStyle name="40% - Accent4 4 6 2" xfId="6650" xr:uid="{00000000-0005-0000-0000-00002C060000}"/>
    <cellStyle name="40% - Accent4 4 6 2 2" xfId="15089" xr:uid="{79204946-3BBA-4096-B8F2-64CCF9A65EAB}"/>
    <cellStyle name="40% - Accent4 4 6 3" xfId="10871" xr:uid="{83C2E3C5-124D-4150-9B74-7E7114222BFA}"/>
    <cellStyle name="40% - Accent4 4 7" xfId="4584" xr:uid="{00000000-0005-0000-0000-00002D060000}"/>
    <cellStyle name="40% - Accent4 4 7 2" xfId="13023" xr:uid="{E52C05AF-FB19-4481-AA00-7DA06D2970F9}"/>
    <cellStyle name="40% - Accent4 4 8" xfId="8805" xr:uid="{F906FC01-86E9-4EE1-AA4F-CCA977AC1142}"/>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E499BFD2-C88A-4AA4-8CC3-14FC1DDC2464}"/>
    <cellStyle name="40% - Accent4 5 2 3" xfId="11357" xr:uid="{24B2FF5C-FEF0-44A6-8586-2FD8506510D6}"/>
    <cellStyle name="40% - Accent4 5 3" xfId="4991" xr:uid="{00000000-0005-0000-0000-000031060000}"/>
    <cellStyle name="40% - Accent4 5 3 2" xfId="13430" xr:uid="{2E6FFA54-8A30-4446-BB11-B539900C4897}"/>
    <cellStyle name="40% - Accent4 5 4" xfId="9212" xr:uid="{2768254C-CF6C-400D-8831-1D9DC48D0E68}"/>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5AFF9D13-762A-41D1-AE38-5C1764F9870A}"/>
    <cellStyle name="40% - Accent4 6 2 3" xfId="11770" xr:uid="{F9372225-602B-439A-A8B8-3795F45C748D}"/>
    <cellStyle name="40% - Accent4 6 3" xfId="5404" xr:uid="{00000000-0005-0000-0000-000035060000}"/>
    <cellStyle name="40% - Accent4 6 3 2" xfId="13843" xr:uid="{B29E0454-C585-4E54-A06B-4F1A82FE057E}"/>
    <cellStyle name="40% - Accent4 6 4" xfId="9625" xr:uid="{EF0B20BC-D744-4FF6-9312-5D1880D75228}"/>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DD9E186C-4C8C-4F03-8B5D-ED0826A0BCCB}"/>
    <cellStyle name="40% - Accent4 7 2 3" xfId="12183" xr:uid="{CDFD0AA5-523D-44DE-B85E-0225F4C5554C}"/>
    <cellStyle name="40% - Accent4 7 3" xfId="5817" xr:uid="{00000000-0005-0000-0000-000039060000}"/>
    <cellStyle name="40% - Accent4 7 3 2" xfId="14256" xr:uid="{0318C89A-658B-40CA-9B8A-350B8C211593}"/>
    <cellStyle name="40% - Accent4 7 4" xfId="10038" xr:uid="{30DCFAFA-1DB9-473E-AC6E-B48E38B442FC}"/>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020B0596-4F57-4FD8-B253-920511993D07}"/>
    <cellStyle name="40% - Accent4 8 2 3" xfId="12596" xr:uid="{2E583242-D1C5-43DB-AF39-0B233ACBCFE2}"/>
    <cellStyle name="40% - Accent4 8 3" xfId="6230" xr:uid="{00000000-0005-0000-0000-00003D060000}"/>
    <cellStyle name="40% - Accent4 8 3 2" xfId="14669" xr:uid="{AF706597-A5AF-4BB3-A654-C3D081611E4D}"/>
    <cellStyle name="40% - Accent4 8 4" xfId="10451" xr:uid="{D55DFD88-0F66-46C3-B413-554C35A12AFC}"/>
    <cellStyle name="40% - Accent4 9" xfId="2336" xr:uid="{00000000-0005-0000-0000-00003E060000}"/>
    <cellStyle name="40% - Accent4 9 2" xfId="6643" xr:uid="{00000000-0005-0000-0000-00003F060000}"/>
    <cellStyle name="40% - Accent4 9 2 2" xfId="15082" xr:uid="{DB6C6533-07C6-4E7A-87DA-1E7412B6C82C}"/>
    <cellStyle name="40% - Accent4 9 3" xfId="10864" xr:uid="{A5772046-497F-4343-A906-8098F2127D16}"/>
    <cellStyle name="40% - Accent5" xfId="81" builtinId="47" customBuiltin="1"/>
    <cellStyle name="40% - Accent5 10" xfId="4585" xr:uid="{00000000-0005-0000-0000-000041060000}"/>
    <cellStyle name="40% - Accent5 10 2" xfId="13024" xr:uid="{437FEBB1-46BA-4718-A521-3C80AC065A88}"/>
    <cellStyle name="40% - Accent5 11" xfId="8806" xr:uid="{CF8BB1B7-E8FE-46BA-A388-E95083C20C6B}"/>
    <cellStyle name="40% - Accent5 2" xfId="82" xr:uid="{00000000-0005-0000-0000-000042060000}"/>
    <cellStyle name="40% - Accent5 2 10" xfId="8807" xr:uid="{80FA76F4-FA04-4BA2-AAFE-38E3D79F8A5F}"/>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7FDD6F30-5917-4546-B61E-D6F9B6363015}"/>
    <cellStyle name="40% - Accent5 2 2 2 2 2 3" xfId="11368" xr:uid="{875A1F6B-A5A7-4AD4-B6E5-B52A7458C336}"/>
    <cellStyle name="40% - Accent5 2 2 2 2 3" xfId="5002" xr:uid="{00000000-0005-0000-0000-000048060000}"/>
    <cellStyle name="40% - Accent5 2 2 2 2 3 2" xfId="13441" xr:uid="{370425B6-8D01-441E-9756-969D688ACF21}"/>
    <cellStyle name="40% - Accent5 2 2 2 2 4" xfId="9223" xr:uid="{3E36E1DA-9AA3-4D69-9BED-E12185B3DD73}"/>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BEFBD1C8-5943-4D24-93ED-1DB415EC9F2C}"/>
    <cellStyle name="40% - Accent5 2 2 2 3 2 3" xfId="11781" xr:uid="{B280CA45-2DCF-4A81-A09E-0A774D530803}"/>
    <cellStyle name="40% - Accent5 2 2 2 3 3" xfId="5415" xr:uid="{00000000-0005-0000-0000-00004C060000}"/>
    <cellStyle name="40% - Accent5 2 2 2 3 3 2" xfId="13854" xr:uid="{41EA903C-8BFB-4349-AED0-9620B96559A8}"/>
    <cellStyle name="40% - Accent5 2 2 2 3 4" xfId="9636" xr:uid="{07623D03-CDBC-4824-A549-4A2C8823FA82}"/>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8F02002A-D88C-4F41-8B97-6EC3B16F2931}"/>
    <cellStyle name="40% - Accent5 2 2 2 4 2 3" xfId="12194" xr:uid="{F3FF8C3D-F7C8-40A4-8256-82AE9C3BEE2B}"/>
    <cellStyle name="40% - Accent5 2 2 2 4 3" xfId="5828" xr:uid="{00000000-0005-0000-0000-000050060000}"/>
    <cellStyle name="40% - Accent5 2 2 2 4 3 2" xfId="14267" xr:uid="{CD9FACBB-19DC-439A-A7B5-45D80AB34055}"/>
    <cellStyle name="40% - Accent5 2 2 2 4 4" xfId="10049" xr:uid="{3DB196F3-6D59-46E2-BF0C-5C35D992394A}"/>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FCECCDFB-3560-4134-B854-A64258DA6912}"/>
    <cellStyle name="40% - Accent5 2 2 2 5 2 3" xfId="12607" xr:uid="{3D00C0DA-5718-4A58-9525-E734912CF65B}"/>
    <cellStyle name="40% - Accent5 2 2 2 5 3" xfId="6241" xr:uid="{00000000-0005-0000-0000-000054060000}"/>
    <cellStyle name="40% - Accent5 2 2 2 5 3 2" xfId="14680" xr:uid="{D3E52AED-1C65-4A37-99AB-B3877E26D464}"/>
    <cellStyle name="40% - Accent5 2 2 2 5 4" xfId="10462" xr:uid="{AE16E32F-4EA7-4626-8293-C7D10FCEA8C8}"/>
    <cellStyle name="40% - Accent5 2 2 2 6" xfId="2347" xr:uid="{00000000-0005-0000-0000-000055060000}"/>
    <cellStyle name="40% - Accent5 2 2 2 6 2" xfId="6654" xr:uid="{00000000-0005-0000-0000-000056060000}"/>
    <cellStyle name="40% - Accent5 2 2 2 6 2 2" xfId="15093" xr:uid="{8CFCC4AE-42C1-43EA-9FAE-1FD6D7C9CDA8}"/>
    <cellStyle name="40% - Accent5 2 2 2 6 3" xfId="10875" xr:uid="{CC5DE7CF-A401-4148-87EA-D68D922144B3}"/>
    <cellStyle name="40% - Accent5 2 2 2 7" xfId="4588" xr:uid="{00000000-0005-0000-0000-000057060000}"/>
    <cellStyle name="40% - Accent5 2 2 2 7 2" xfId="13027" xr:uid="{632F6989-BB3A-4093-9452-E68A075C2A5B}"/>
    <cellStyle name="40% - Accent5 2 2 2 8" xfId="8809" xr:uid="{1BF12E4B-D434-4F28-A91B-2FAA32725472}"/>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8DB2699C-9317-4CBE-A329-9BBEA2DF4547}"/>
    <cellStyle name="40% - Accent5 2 2 3 2 3" xfId="11367" xr:uid="{D4CE1AED-FAF9-4FE1-A944-C7264B0B04AC}"/>
    <cellStyle name="40% - Accent5 2 2 3 3" xfId="5001" xr:uid="{00000000-0005-0000-0000-00005B060000}"/>
    <cellStyle name="40% - Accent5 2 2 3 3 2" xfId="13440" xr:uid="{D7D7B81C-444D-4ED4-9D4C-418B7E1F7CF5}"/>
    <cellStyle name="40% - Accent5 2 2 3 4" xfId="9222" xr:uid="{BB3C60CE-81D1-49DB-9E2D-A31A9E20D3C0}"/>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63D16B45-2D81-4D66-BBFB-0D293E698D6F}"/>
    <cellStyle name="40% - Accent5 2 2 4 2 3" xfId="11780" xr:uid="{078644D4-2616-4B2A-8CEC-CAEC3A2F5C6D}"/>
    <cellStyle name="40% - Accent5 2 2 4 3" xfId="5414" xr:uid="{00000000-0005-0000-0000-00005F060000}"/>
    <cellStyle name="40% - Accent5 2 2 4 3 2" xfId="13853" xr:uid="{6D919968-9FFD-4EA8-A1D6-E19A4E88EC7C}"/>
    <cellStyle name="40% - Accent5 2 2 4 4" xfId="9635" xr:uid="{4714D275-C237-40BE-8461-F1ED2AE5AC23}"/>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17DE9804-3940-45F8-B986-080E8BD51ED0}"/>
    <cellStyle name="40% - Accent5 2 2 5 2 3" xfId="12193" xr:uid="{89D41329-D6BA-457E-8F9F-C701BF1995F2}"/>
    <cellStyle name="40% - Accent5 2 2 5 3" xfId="5827" xr:uid="{00000000-0005-0000-0000-000063060000}"/>
    <cellStyle name="40% - Accent5 2 2 5 3 2" xfId="14266" xr:uid="{9431DD2D-E0F4-4E4F-BCE5-5BAFF69ED507}"/>
    <cellStyle name="40% - Accent5 2 2 5 4" xfId="10048" xr:uid="{E9C80FF0-390E-4E1C-998C-DEC07F6E0273}"/>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2338A4CF-8FB9-4556-9314-DCF17E5B0413}"/>
    <cellStyle name="40% - Accent5 2 2 6 2 3" xfId="12606" xr:uid="{70ED0983-2142-4C64-A9E2-E390347329B8}"/>
    <cellStyle name="40% - Accent5 2 2 6 3" xfId="6240" xr:uid="{00000000-0005-0000-0000-000067060000}"/>
    <cellStyle name="40% - Accent5 2 2 6 3 2" xfId="14679" xr:uid="{AC9C951C-2929-4656-AD56-E7A53CC9DA42}"/>
    <cellStyle name="40% - Accent5 2 2 6 4" xfId="10461" xr:uid="{1C87202E-BFF1-4EB1-9961-2D864017E494}"/>
    <cellStyle name="40% - Accent5 2 2 7" xfId="2346" xr:uid="{00000000-0005-0000-0000-000068060000}"/>
    <cellStyle name="40% - Accent5 2 2 7 2" xfId="6653" xr:uid="{00000000-0005-0000-0000-000069060000}"/>
    <cellStyle name="40% - Accent5 2 2 7 2 2" xfId="15092" xr:uid="{C11D38D5-9ED9-4875-B637-C3961C17D673}"/>
    <cellStyle name="40% - Accent5 2 2 7 3" xfId="10874" xr:uid="{A2E2C9D1-DD7B-4FAD-8C2B-02AE0FBE22D0}"/>
    <cellStyle name="40% - Accent5 2 2 8" xfId="4587" xr:uid="{00000000-0005-0000-0000-00006A060000}"/>
    <cellStyle name="40% - Accent5 2 2 8 2" xfId="13026" xr:uid="{65ECCFBC-4D85-4D84-93FD-0F1EE743AF28}"/>
    <cellStyle name="40% - Accent5 2 2 9" xfId="8808" xr:uid="{693D20DB-E711-4D38-B035-94B15A825B62}"/>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C5498414-54E3-4E70-B156-B9F77C68257E}"/>
    <cellStyle name="40% - Accent5 2 3 2 2 3" xfId="11369" xr:uid="{CBF127D7-079E-4C7C-8239-04FA48379824}"/>
    <cellStyle name="40% - Accent5 2 3 2 3" xfId="5003" xr:uid="{00000000-0005-0000-0000-00006F060000}"/>
    <cellStyle name="40% - Accent5 2 3 2 3 2" xfId="13442" xr:uid="{9ACAA813-64AE-43BC-A9C4-FAEA10E3DC55}"/>
    <cellStyle name="40% - Accent5 2 3 2 4" xfId="9224" xr:uid="{77A99960-AF98-4488-BD8A-08C0881572F3}"/>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81B114BE-64DF-4665-8A75-78B7194A458C}"/>
    <cellStyle name="40% - Accent5 2 3 3 2 3" xfId="11782" xr:uid="{48BD773C-BBD3-47F3-B44A-CBC342271D36}"/>
    <cellStyle name="40% - Accent5 2 3 3 3" xfId="5416" xr:uid="{00000000-0005-0000-0000-000073060000}"/>
    <cellStyle name="40% - Accent5 2 3 3 3 2" xfId="13855" xr:uid="{5F986427-C617-4140-AACB-710600E5D77B}"/>
    <cellStyle name="40% - Accent5 2 3 3 4" xfId="9637" xr:uid="{5192DC19-F29B-48D1-A912-7E6C4DDB7655}"/>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69033D60-B69A-4D5F-A3A0-59610C20CE08}"/>
    <cellStyle name="40% - Accent5 2 3 4 2 3" xfId="12195" xr:uid="{8E0D15AF-9F34-4097-89EB-61089F146520}"/>
    <cellStyle name="40% - Accent5 2 3 4 3" xfId="5829" xr:uid="{00000000-0005-0000-0000-000077060000}"/>
    <cellStyle name="40% - Accent5 2 3 4 3 2" xfId="14268" xr:uid="{68A68074-93F6-4086-BCB8-ACB8D0656FC4}"/>
    <cellStyle name="40% - Accent5 2 3 4 4" xfId="10050" xr:uid="{29334A7E-0C09-4EB8-8729-7F4417EE1AB8}"/>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7B78BB00-A004-42C4-8DBA-481C800DE8F4}"/>
    <cellStyle name="40% - Accent5 2 3 5 2 3" xfId="12608" xr:uid="{EE88A52D-2FEA-4481-A18F-0490B46F2626}"/>
    <cellStyle name="40% - Accent5 2 3 5 3" xfId="6242" xr:uid="{00000000-0005-0000-0000-00007B060000}"/>
    <cellStyle name="40% - Accent5 2 3 5 3 2" xfId="14681" xr:uid="{18AF9CD0-E5D5-4B9D-A816-C2B0486694ED}"/>
    <cellStyle name="40% - Accent5 2 3 5 4" xfId="10463" xr:uid="{65CE801B-8DCD-4F6E-9C30-408545AC51BE}"/>
    <cellStyle name="40% - Accent5 2 3 6" xfId="2348" xr:uid="{00000000-0005-0000-0000-00007C060000}"/>
    <cellStyle name="40% - Accent5 2 3 6 2" xfId="6655" xr:uid="{00000000-0005-0000-0000-00007D060000}"/>
    <cellStyle name="40% - Accent5 2 3 6 2 2" xfId="15094" xr:uid="{1A10DDC6-D51E-44F9-B857-8D6C51A90404}"/>
    <cellStyle name="40% - Accent5 2 3 6 3" xfId="10876" xr:uid="{B5E586C3-DBFC-4C6C-B6EF-568C23C80A7C}"/>
    <cellStyle name="40% - Accent5 2 3 7" xfId="4589" xr:uid="{00000000-0005-0000-0000-00007E060000}"/>
    <cellStyle name="40% - Accent5 2 3 7 2" xfId="13028" xr:uid="{CEC2388A-82F4-4017-B819-9B6043A1A9B0}"/>
    <cellStyle name="40% - Accent5 2 3 8" xfId="8810" xr:uid="{7326691C-738B-43EC-98C7-CBBEFF8E7994}"/>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E356EB1A-9311-468E-8601-1FCE84C1A4BB}"/>
    <cellStyle name="40% - Accent5 2 4 2 3" xfId="11366" xr:uid="{5FE4B8BC-D02D-4AA0-9ABC-0F8E3857900E}"/>
    <cellStyle name="40% - Accent5 2 4 3" xfId="5000" xr:uid="{00000000-0005-0000-0000-000082060000}"/>
    <cellStyle name="40% - Accent5 2 4 3 2" xfId="13439" xr:uid="{93AD7B22-30A3-4EC4-91D1-D16293A41A91}"/>
    <cellStyle name="40% - Accent5 2 4 4" xfId="9221" xr:uid="{245B0DC4-5831-4B7B-9C6F-57FE1B13B748}"/>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359D7884-D2CB-4198-9D40-557AE98A6175}"/>
    <cellStyle name="40% - Accent5 2 5 2 3" xfId="11779" xr:uid="{0A96A00B-502D-4469-8CE1-CF75E8E2F5C8}"/>
    <cellStyle name="40% - Accent5 2 5 3" xfId="5413" xr:uid="{00000000-0005-0000-0000-000086060000}"/>
    <cellStyle name="40% - Accent5 2 5 3 2" xfId="13852" xr:uid="{F1954B5D-0084-4243-AD53-D79F8D60A4E6}"/>
    <cellStyle name="40% - Accent5 2 5 4" xfId="9634" xr:uid="{7558C3AC-4B88-4F2D-8D75-933F9F2C9790}"/>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603E7D4F-7E24-4461-9391-8BDC6753DB7A}"/>
    <cellStyle name="40% - Accent5 2 6 2 3" xfId="12192" xr:uid="{ED00B3F7-4F6E-49BD-B75C-6F71329D6F17}"/>
    <cellStyle name="40% - Accent5 2 6 3" xfId="5826" xr:uid="{00000000-0005-0000-0000-00008A060000}"/>
    <cellStyle name="40% - Accent5 2 6 3 2" xfId="14265" xr:uid="{9C30A197-2A39-47D8-B364-972660A33D38}"/>
    <cellStyle name="40% - Accent5 2 6 4" xfId="10047" xr:uid="{B1462966-5A94-48D9-86DB-52CAF604EB2C}"/>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A49148D7-B9FB-4535-A4F5-89E0C0BB55FA}"/>
    <cellStyle name="40% - Accent5 2 7 2 3" xfId="12605" xr:uid="{A569EE8B-E9E7-489C-B40A-C43BF3E150FC}"/>
    <cellStyle name="40% - Accent5 2 7 3" xfId="6239" xr:uid="{00000000-0005-0000-0000-00008E060000}"/>
    <cellStyle name="40% - Accent5 2 7 3 2" xfId="14678" xr:uid="{1059246B-3DED-40F5-A1C9-57CD17886D33}"/>
    <cellStyle name="40% - Accent5 2 7 4" xfId="10460" xr:uid="{40149BD5-D018-44E7-A730-AD53F9E327A1}"/>
    <cellStyle name="40% - Accent5 2 8" xfId="2345" xr:uid="{00000000-0005-0000-0000-00008F060000}"/>
    <cellStyle name="40% - Accent5 2 8 2" xfId="6652" xr:uid="{00000000-0005-0000-0000-000090060000}"/>
    <cellStyle name="40% - Accent5 2 8 2 2" xfId="15091" xr:uid="{E42CDA8F-48ED-4E69-AE2E-03B36F5A57CD}"/>
    <cellStyle name="40% - Accent5 2 8 3" xfId="10873" xr:uid="{15599D03-AA0B-439A-A2A2-6FFCA8954EF1}"/>
    <cellStyle name="40% - Accent5 2 9" xfId="4586" xr:uid="{00000000-0005-0000-0000-000091060000}"/>
    <cellStyle name="40% - Accent5 2 9 2" xfId="13025" xr:uid="{FE887E9C-7B69-4007-BDEA-7DC602FB6A04}"/>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4A4F140E-9D53-4605-91FF-AA597FF2C285}"/>
    <cellStyle name="40% - Accent5 3 2 2 2 3" xfId="11371" xr:uid="{4D0709E8-34C4-42C5-A504-91D9FD06C2D3}"/>
    <cellStyle name="40% - Accent5 3 2 2 3" xfId="5005" xr:uid="{00000000-0005-0000-0000-000097060000}"/>
    <cellStyle name="40% - Accent5 3 2 2 3 2" xfId="13444" xr:uid="{7BCB06E9-6407-43A5-BEED-EB83087B0B4C}"/>
    <cellStyle name="40% - Accent5 3 2 2 4" xfId="9226" xr:uid="{C39D9EA9-8B1C-4851-A182-5308512EF76E}"/>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21990FED-E610-4C5D-BDDC-01B95C22EF5D}"/>
    <cellStyle name="40% - Accent5 3 2 3 2 3" xfId="11784" xr:uid="{04AECCDE-3F2B-4128-96F5-638E2F241FBA}"/>
    <cellStyle name="40% - Accent5 3 2 3 3" xfId="5418" xr:uid="{00000000-0005-0000-0000-00009B060000}"/>
    <cellStyle name="40% - Accent5 3 2 3 3 2" xfId="13857" xr:uid="{342875D6-4690-47B3-B8E1-BC436D18F2AF}"/>
    <cellStyle name="40% - Accent5 3 2 3 4" xfId="9639" xr:uid="{A45B5A75-AE13-4E62-B762-170741AF8DA8}"/>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AF8C161F-97E5-40B0-ACB1-EE9655FC46C2}"/>
    <cellStyle name="40% - Accent5 3 2 4 2 3" xfId="12197" xr:uid="{30D91303-CCCF-429D-A552-85C72D99CE9F}"/>
    <cellStyle name="40% - Accent5 3 2 4 3" xfId="5831" xr:uid="{00000000-0005-0000-0000-00009F060000}"/>
    <cellStyle name="40% - Accent5 3 2 4 3 2" xfId="14270" xr:uid="{FC876F44-7898-4390-AEBF-21223934BFA7}"/>
    <cellStyle name="40% - Accent5 3 2 4 4" xfId="10052" xr:uid="{F493BDD6-4B77-42DC-A945-B348A6CFF43E}"/>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4B9E56DF-56CE-4524-A169-968EF1A118D6}"/>
    <cellStyle name="40% - Accent5 3 2 5 2 3" xfId="12610" xr:uid="{A170463B-C544-47A5-9DB5-255E4D57D813}"/>
    <cellStyle name="40% - Accent5 3 2 5 3" xfId="6244" xr:uid="{00000000-0005-0000-0000-0000A3060000}"/>
    <cellStyle name="40% - Accent5 3 2 5 3 2" xfId="14683" xr:uid="{485D9810-0360-48F6-B49A-C49F994E5A7B}"/>
    <cellStyle name="40% - Accent5 3 2 5 4" xfId="10465" xr:uid="{7E59E8A1-57CD-4D0B-8CA8-0B1ECF29CBE3}"/>
    <cellStyle name="40% - Accent5 3 2 6" xfId="2350" xr:uid="{00000000-0005-0000-0000-0000A4060000}"/>
    <cellStyle name="40% - Accent5 3 2 6 2" xfId="6657" xr:uid="{00000000-0005-0000-0000-0000A5060000}"/>
    <cellStyle name="40% - Accent5 3 2 6 2 2" xfId="15096" xr:uid="{B2287C38-C4EC-41CB-8C6D-28BD493A703E}"/>
    <cellStyle name="40% - Accent5 3 2 6 3" xfId="10878" xr:uid="{907C78AB-B6B1-4531-A9D2-1121BC152AD7}"/>
    <cellStyle name="40% - Accent5 3 2 7" xfId="4591" xr:uid="{00000000-0005-0000-0000-0000A6060000}"/>
    <cellStyle name="40% - Accent5 3 2 7 2" xfId="13030" xr:uid="{776573D2-8027-484D-8400-76278A71C8A3}"/>
    <cellStyle name="40% - Accent5 3 2 8" xfId="8812" xr:uid="{89504D4F-FE6D-4482-B7D5-F40FC9CED869}"/>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83EEBDF4-3637-45A6-8AED-6FF98B9FE2EE}"/>
    <cellStyle name="40% - Accent5 3 3 2 3" xfId="11370" xr:uid="{D80EC8D3-74DC-4605-8C2C-A815CBC85534}"/>
    <cellStyle name="40% - Accent5 3 3 3" xfId="5004" xr:uid="{00000000-0005-0000-0000-0000AA060000}"/>
    <cellStyle name="40% - Accent5 3 3 3 2" xfId="13443" xr:uid="{E45EBCB4-EA8F-4097-A599-6A80E5B24B3F}"/>
    <cellStyle name="40% - Accent5 3 3 4" xfId="9225" xr:uid="{6A30FBFF-34CE-4ED4-9584-8C58F2294CC7}"/>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7BD4B388-CB05-4A93-ADC3-8F6D10F45912}"/>
    <cellStyle name="40% - Accent5 3 4 2 3" xfId="11783" xr:uid="{55B01F5F-7379-4D56-A1C1-20B0A6E2A853}"/>
    <cellStyle name="40% - Accent5 3 4 3" xfId="5417" xr:uid="{00000000-0005-0000-0000-0000AE060000}"/>
    <cellStyle name="40% - Accent5 3 4 3 2" xfId="13856" xr:uid="{DF627F54-5F15-4AA2-86CB-4326036D02AE}"/>
    <cellStyle name="40% - Accent5 3 4 4" xfId="9638" xr:uid="{5C7CA3E0-CD68-4299-9908-7650737ACDA3}"/>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A4BDFC65-C847-483C-8AE1-DC5EB03C0D05}"/>
    <cellStyle name="40% - Accent5 3 5 2 3" xfId="12196" xr:uid="{D8F91C88-17F8-4764-95C0-8DAA4A300291}"/>
    <cellStyle name="40% - Accent5 3 5 3" xfId="5830" xr:uid="{00000000-0005-0000-0000-0000B2060000}"/>
    <cellStyle name="40% - Accent5 3 5 3 2" xfId="14269" xr:uid="{7A91E32A-4CBC-489A-B151-F6230DECCA65}"/>
    <cellStyle name="40% - Accent5 3 5 4" xfId="10051" xr:uid="{A8537B30-2CD3-4F99-85E6-B848D814534E}"/>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5382D39F-40B1-4A8A-8D47-9704E55577BC}"/>
    <cellStyle name="40% - Accent5 3 6 2 3" xfId="12609" xr:uid="{6C6FEA0C-2D75-4B8A-A630-80201694255D}"/>
    <cellStyle name="40% - Accent5 3 6 3" xfId="6243" xr:uid="{00000000-0005-0000-0000-0000B6060000}"/>
    <cellStyle name="40% - Accent5 3 6 3 2" xfId="14682" xr:uid="{26B333D1-19A6-4BF1-B7B8-42A4A1E080AB}"/>
    <cellStyle name="40% - Accent5 3 6 4" xfId="10464" xr:uid="{4AAF1331-B227-49A3-A0D6-8CC1DEE828C8}"/>
    <cellStyle name="40% - Accent5 3 7" xfId="2349" xr:uid="{00000000-0005-0000-0000-0000B7060000}"/>
    <cellStyle name="40% - Accent5 3 7 2" xfId="6656" xr:uid="{00000000-0005-0000-0000-0000B8060000}"/>
    <cellStyle name="40% - Accent5 3 7 2 2" xfId="15095" xr:uid="{43DE8F99-7E4E-44E1-8DCC-01440F18D938}"/>
    <cellStyle name="40% - Accent5 3 7 3" xfId="10877" xr:uid="{A99A5652-565D-4A3E-9B23-AC2FCA90EB6C}"/>
    <cellStyle name="40% - Accent5 3 8" xfId="4590" xr:uid="{00000000-0005-0000-0000-0000B9060000}"/>
    <cellStyle name="40% - Accent5 3 8 2" xfId="13029" xr:uid="{F0F2D48F-15BA-4992-948F-CF9930472E2E}"/>
    <cellStyle name="40% - Accent5 3 9" xfId="8811" xr:uid="{EA3AB083-E8D5-454C-A3D5-786B495B993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FAA19E2A-5CDB-4487-96F9-DB49F7DBBAF1}"/>
    <cellStyle name="40% - Accent5 4 2 2 3" xfId="11372" xr:uid="{9824F0D1-C09B-4D4C-8EE1-368A09087C51}"/>
    <cellStyle name="40% - Accent5 4 2 3" xfId="5006" xr:uid="{00000000-0005-0000-0000-0000BE060000}"/>
    <cellStyle name="40% - Accent5 4 2 3 2" xfId="13445" xr:uid="{81FC0406-122B-4949-8D43-E62C90292B4C}"/>
    <cellStyle name="40% - Accent5 4 2 4" xfId="9227" xr:uid="{69E374DA-8F2B-40D5-8DF1-338790F95BD0}"/>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6CCA076E-15C8-48A0-AEFE-5A90056F46CC}"/>
    <cellStyle name="40% - Accent5 4 3 2 3" xfId="11785" xr:uid="{7E7A01AA-D241-4BB9-9E08-0D5097693272}"/>
    <cellStyle name="40% - Accent5 4 3 3" xfId="5419" xr:uid="{00000000-0005-0000-0000-0000C2060000}"/>
    <cellStyle name="40% - Accent5 4 3 3 2" xfId="13858" xr:uid="{928551FC-D0DB-49A8-97DF-394050400FB2}"/>
    <cellStyle name="40% - Accent5 4 3 4" xfId="9640" xr:uid="{03E9D563-0928-4348-B824-5616FA888CC8}"/>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1E98DFE7-CBD5-4881-859D-7B184BDE4C91}"/>
    <cellStyle name="40% - Accent5 4 4 2 3" xfId="12198" xr:uid="{DDC38B6B-3FFF-473B-AB8C-7EB18ABDAA9B}"/>
    <cellStyle name="40% - Accent5 4 4 3" xfId="5832" xr:uid="{00000000-0005-0000-0000-0000C6060000}"/>
    <cellStyle name="40% - Accent5 4 4 3 2" xfId="14271" xr:uid="{343D567C-BB53-4F86-835F-C86E264CB6F2}"/>
    <cellStyle name="40% - Accent5 4 4 4" xfId="10053" xr:uid="{5263CB63-AAB5-4E60-B483-4AB9E6A918EB}"/>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BFD52845-D083-414D-8B36-48084C5ED789}"/>
    <cellStyle name="40% - Accent5 4 5 2 3" xfId="12611" xr:uid="{FFCE7F6C-1FFF-4DE6-BDEF-4B9BEDD44B11}"/>
    <cellStyle name="40% - Accent5 4 5 3" xfId="6245" xr:uid="{00000000-0005-0000-0000-0000CA060000}"/>
    <cellStyle name="40% - Accent5 4 5 3 2" xfId="14684" xr:uid="{F334B7D4-DB39-480D-B822-97893F82E5B1}"/>
    <cellStyle name="40% - Accent5 4 5 4" xfId="10466" xr:uid="{C8C59F8D-AA1D-44C8-A8B8-EFDC8D2D54AD}"/>
    <cellStyle name="40% - Accent5 4 6" xfId="2351" xr:uid="{00000000-0005-0000-0000-0000CB060000}"/>
    <cellStyle name="40% - Accent5 4 6 2" xfId="6658" xr:uid="{00000000-0005-0000-0000-0000CC060000}"/>
    <cellStyle name="40% - Accent5 4 6 2 2" xfId="15097" xr:uid="{902C6777-4B13-413B-A0CE-C083382872EB}"/>
    <cellStyle name="40% - Accent5 4 6 3" xfId="10879" xr:uid="{1C67DA93-5A74-46F9-B7BF-3960B184BD9D}"/>
    <cellStyle name="40% - Accent5 4 7" xfId="4592" xr:uid="{00000000-0005-0000-0000-0000CD060000}"/>
    <cellStyle name="40% - Accent5 4 7 2" xfId="13031" xr:uid="{03F7F841-8171-4683-981A-C09023AB8C21}"/>
    <cellStyle name="40% - Accent5 4 8" xfId="8813" xr:uid="{48FA00BE-F025-4800-8BAC-0B64CF21121D}"/>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CBF8688C-67D4-4075-89F3-49EA4706F168}"/>
    <cellStyle name="40% - Accent5 5 2 3" xfId="11365" xr:uid="{DC064F75-4C71-4B89-848B-0B8EDAA5F4F9}"/>
    <cellStyle name="40% - Accent5 5 3" xfId="4999" xr:uid="{00000000-0005-0000-0000-0000D1060000}"/>
    <cellStyle name="40% - Accent5 5 3 2" xfId="13438" xr:uid="{F95CC10D-88B2-4965-82A9-EE3864A5C441}"/>
    <cellStyle name="40% - Accent5 5 4" xfId="9220" xr:uid="{136D30E2-E14E-4E30-AD47-3413196E24B5}"/>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582C4F81-E770-4D8B-99C9-12E3DB154AC8}"/>
    <cellStyle name="40% - Accent5 6 2 3" xfId="11778" xr:uid="{302E30DB-506C-4374-8FDD-74D821714996}"/>
    <cellStyle name="40% - Accent5 6 3" xfId="5412" xr:uid="{00000000-0005-0000-0000-0000D5060000}"/>
    <cellStyle name="40% - Accent5 6 3 2" xfId="13851" xr:uid="{F5C5D4F9-4EB0-4911-8639-1384053CDE83}"/>
    <cellStyle name="40% - Accent5 6 4" xfId="9633" xr:uid="{54F2C430-4D2F-422F-9B36-A75562A83373}"/>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4405AEB7-8F7E-4F0C-AEA0-6FAD1690410E}"/>
    <cellStyle name="40% - Accent5 7 2 3" xfId="12191" xr:uid="{FF406F21-B61D-4D85-8F94-6FBA035F660C}"/>
    <cellStyle name="40% - Accent5 7 3" xfId="5825" xr:uid="{00000000-0005-0000-0000-0000D9060000}"/>
    <cellStyle name="40% - Accent5 7 3 2" xfId="14264" xr:uid="{FC6759DD-1B0F-41EA-B114-FF14D7438AB0}"/>
    <cellStyle name="40% - Accent5 7 4" xfId="10046" xr:uid="{698C052B-ED7E-4989-B2D5-792B5A76772C}"/>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41817058-1699-4203-9C67-4BD6C93517AF}"/>
    <cellStyle name="40% - Accent5 8 2 3" xfId="12604" xr:uid="{7ECA3351-C080-4466-8C9D-C7035A6CC419}"/>
    <cellStyle name="40% - Accent5 8 3" xfId="6238" xr:uid="{00000000-0005-0000-0000-0000DD060000}"/>
    <cellStyle name="40% - Accent5 8 3 2" xfId="14677" xr:uid="{8D4BD31D-3D10-4972-96DE-6C15A930066A}"/>
    <cellStyle name="40% - Accent5 8 4" xfId="10459" xr:uid="{B5A0E618-5DB0-4D8F-B5BE-AF23B3253D4A}"/>
    <cellStyle name="40% - Accent5 9" xfId="2344" xr:uid="{00000000-0005-0000-0000-0000DE060000}"/>
    <cellStyle name="40% - Accent5 9 2" xfId="6651" xr:uid="{00000000-0005-0000-0000-0000DF060000}"/>
    <cellStyle name="40% - Accent5 9 2 2" xfId="15090" xr:uid="{391284EB-CD3E-4D4E-85AD-D103A79A73D7}"/>
    <cellStyle name="40% - Accent5 9 3" xfId="10872" xr:uid="{BC855075-7245-49B2-9044-DACD99E29D16}"/>
    <cellStyle name="40% - Accent6" xfId="89" builtinId="51" customBuiltin="1"/>
    <cellStyle name="40% - Accent6 10" xfId="4593" xr:uid="{00000000-0005-0000-0000-0000E1060000}"/>
    <cellStyle name="40% - Accent6 10 2" xfId="13032" xr:uid="{41901B99-BEAF-4B8A-B3B6-42AA898C4852}"/>
    <cellStyle name="40% - Accent6 11" xfId="8814" xr:uid="{AB57FDC3-CE91-46B0-BC35-32AB5313773F}"/>
    <cellStyle name="40% - Accent6 2" xfId="90" xr:uid="{00000000-0005-0000-0000-0000E2060000}"/>
    <cellStyle name="40% - Accent6 2 10" xfId="8815" xr:uid="{ABF2D3F1-9885-4E01-9EBB-A125F441070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DD70654B-C57C-49CC-9584-6090E50198B6}"/>
    <cellStyle name="40% - Accent6 2 2 2 2 2 3" xfId="11376" xr:uid="{A5A21C32-5687-4D22-9458-065C4A694342}"/>
    <cellStyle name="40% - Accent6 2 2 2 2 3" xfId="5010" xr:uid="{00000000-0005-0000-0000-0000E8060000}"/>
    <cellStyle name="40% - Accent6 2 2 2 2 3 2" xfId="13449" xr:uid="{F7EA6BB9-3352-4F30-B3F2-5B206180D699}"/>
    <cellStyle name="40% - Accent6 2 2 2 2 4" xfId="9231" xr:uid="{32AA4D91-6F45-4A35-B4CC-5A88A215DC53}"/>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40F526C8-851B-4E67-BDFF-893056D6DF2D}"/>
    <cellStyle name="40% - Accent6 2 2 2 3 2 3" xfId="11789" xr:uid="{E99DDEE3-DD61-4A29-95A9-992115081361}"/>
    <cellStyle name="40% - Accent6 2 2 2 3 3" xfId="5423" xr:uid="{00000000-0005-0000-0000-0000EC060000}"/>
    <cellStyle name="40% - Accent6 2 2 2 3 3 2" xfId="13862" xr:uid="{7C0F8587-45CF-4A39-86E9-90250C847332}"/>
    <cellStyle name="40% - Accent6 2 2 2 3 4" xfId="9644" xr:uid="{4E0CAAF5-7951-462D-83B2-D24795C3B42F}"/>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2B0F3CD8-5189-44CF-8861-64072A98ABD5}"/>
    <cellStyle name="40% - Accent6 2 2 2 4 2 3" xfId="12202" xr:uid="{0B1D0E71-3021-46A0-82F4-10EE34E42145}"/>
    <cellStyle name="40% - Accent6 2 2 2 4 3" xfId="5836" xr:uid="{00000000-0005-0000-0000-0000F0060000}"/>
    <cellStyle name="40% - Accent6 2 2 2 4 3 2" xfId="14275" xr:uid="{BDD72521-7AED-4FD6-BBA8-F9F9D0B2F2EF}"/>
    <cellStyle name="40% - Accent6 2 2 2 4 4" xfId="10057" xr:uid="{4F918522-E19D-4505-A93F-9DF6CF75730C}"/>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6C61AEE5-E4F4-428D-B04B-A9386DEC1B7C}"/>
    <cellStyle name="40% - Accent6 2 2 2 5 2 3" xfId="12615" xr:uid="{C6F45E50-DBF0-4427-946A-8E1F9BD7DD62}"/>
    <cellStyle name="40% - Accent6 2 2 2 5 3" xfId="6249" xr:uid="{00000000-0005-0000-0000-0000F4060000}"/>
    <cellStyle name="40% - Accent6 2 2 2 5 3 2" xfId="14688" xr:uid="{A1FE15F9-F879-4EEB-B759-47DA76370836}"/>
    <cellStyle name="40% - Accent6 2 2 2 5 4" xfId="10470" xr:uid="{A9951112-611D-40AC-AFD3-4AD80049727D}"/>
    <cellStyle name="40% - Accent6 2 2 2 6" xfId="2355" xr:uid="{00000000-0005-0000-0000-0000F5060000}"/>
    <cellStyle name="40% - Accent6 2 2 2 6 2" xfId="6662" xr:uid="{00000000-0005-0000-0000-0000F6060000}"/>
    <cellStyle name="40% - Accent6 2 2 2 6 2 2" xfId="15101" xr:uid="{99A873DB-B77F-40BF-A5E9-C74CE92B6883}"/>
    <cellStyle name="40% - Accent6 2 2 2 6 3" xfId="10883" xr:uid="{63AAB9E8-E045-4D3B-98B8-8B75A6A13505}"/>
    <cellStyle name="40% - Accent6 2 2 2 7" xfId="4596" xr:uid="{00000000-0005-0000-0000-0000F7060000}"/>
    <cellStyle name="40% - Accent6 2 2 2 7 2" xfId="13035" xr:uid="{5F97D0B8-45EC-415D-BB4E-861506B27C6C}"/>
    <cellStyle name="40% - Accent6 2 2 2 8" xfId="8817" xr:uid="{5A5A313B-58C6-4A11-BD72-52F24DB5609E}"/>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85E3CBB7-C43D-485C-BF7B-4179ABBB51F8}"/>
    <cellStyle name="40% - Accent6 2 2 3 2 3" xfId="11375" xr:uid="{0146A11E-F86A-44D4-9876-026A529B2A92}"/>
    <cellStyle name="40% - Accent6 2 2 3 3" xfId="5009" xr:uid="{00000000-0005-0000-0000-0000FB060000}"/>
    <cellStyle name="40% - Accent6 2 2 3 3 2" xfId="13448" xr:uid="{3B3A7A3B-07EE-4086-8403-5EA93A8D8888}"/>
    <cellStyle name="40% - Accent6 2 2 3 4" xfId="9230" xr:uid="{17339B05-7E17-4CAB-8AA9-3EF83D184DEB}"/>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F7AA047D-CE8A-4D0E-9B9E-077AE9286D78}"/>
    <cellStyle name="40% - Accent6 2 2 4 2 3" xfId="11788" xr:uid="{49881CAC-2EB5-4805-B36D-B163AEAA55F5}"/>
    <cellStyle name="40% - Accent6 2 2 4 3" xfId="5422" xr:uid="{00000000-0005-0000-0000-0000FF060000}"/>
    <cellStyle name="40% - Accent6 2 2 4 3 2" xfId="13861" xr:uid="{ACF4736E-57E8-416E-A85D-DF93359E488A}"/>
    <cellStyle name="40% - Accent6 2 2 4 4" xfId="9643" xr:uid="{856308BC-58DE-4A10-99BA-F2982769029F}"/>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DC91D6C4-9DBE-404E-AE5E-A6B1FDB03DEA}"/>
    <cellStyle name="40% - Accent6 2 2 5 2 3" xfId="12201" xr:uid="{1888B55F-E6FD-4B4D-8812-C4513FF14A26}"/>
    <cellStyle name="40% - Accent6 2 2 5 3" xfId="5835" xr:uid="{00000000-0005-0000-0000-000003070000}"/>
    <cellStyle name="40% - Accent6 2 2 5 3 2" xfId="14274" xr:uid="{4AA00F7B-6A6E-4C67-BB5F-B0005966253A}"/>
    <cellStyle name="40% - Accent6 2 2 5 4" xfId="10056" xr:uid="{76A87F43-4296-4F07-AAE5-F02789396260}"/>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DAD8F65E-B6BD-4EF9-A96D-45435831D200}"/>
    <cellStyle name="40% - Accent6 2 2 6 2 3" xfId="12614" xr:uid="{2BAD1E62-44D9-41B7-937F-AE62E3C56D95}"/>
    <cellStyle name="40% - Accent6 2 2 6 3" xfId="6248" xr:uid="{00000000-0005-0000-0000-000007070000}"/>
    <cellStyle name="40% - Accent6 2 2 6 3 2" xfId="14687" xr:uid="{474DD71C-6A39-4431-9692-FB973AAD9363}"/>
    <cellStyle name="40% - Accent6 2 2 6 4" xfId="10469" xr:uid="{544BC42A-977C-446F-8DC5-B00FD492C8C7}"/>
    <cellStyle name="40% - Accent6 2 2 7" xfId="2354" xr:uid="{00000000-0005-0000-0000-000008070000}"/>
    <cellStyle name="40% - Accent6 2 2 7 2" xfId="6661" xr:uid="{00000000-0005-0000-0000-000009070000}"/>
    <cellStyle name="40% - Accent6 2 2 7 2 2" xfId="15100" xr:uid="{C66C3B54-62AC-4CF7-96ED-AEDE73FCE6DD}"/>
    <cellStyle name="40% - Accent6 2 2 7 3" xfId="10882" xr:uid="{3DB0FD54-3160-477F-956A-F89EA5E5E90D}"/>
    <cellStyle name="40% - Accent6 2 2 8" xfId="4595" xr:uid="{00000000-0005-0000-0000-00000A070000}"/>
    <cellStyle name="40% - Accent6 2 2 8 2" xfId="13034" xr:uid="{E5C60CE9-3D8A-4C2C-A4FD-A304C178F51A}"/>
    <cellStyle name="40% - Accent6 2 2 9" xfId="8816" xr:uid="{23D9CA68-7A9B-41A4-A0A8-502ED8D9ECC6}"/>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10D7AA3D-690F-40D0-B8C6-9A1D8F631B29}"/>
    <cellStyle name="40% - Accent6 2 3 2 2 3" xfId="11377" xr:uid="{3FF9AEB2-7163-415A-94CD-22CE3544988A}"/>
    <cellStyle name="40% - Accent6 2 3 2 3" xfId="5011" xr:uid="{00000000-0005-0000-0000-00000F070000}"/>
    <cellStyle name="40% - Accent6 2 3 2 3 2" xfId="13450" xr:uid="{8BBED7E1-8049-4E4B-89BB-57AFAEA39C53}"/>
    <cellStyle name="40% - Accent6 2 3 2 4" xfId="9232" xr:uid="{9CD3462F-8F72-421A-8A12-003936AC096A}"/>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5F78A463-1C99-49AF-B58A-4E9B3208B912}"/>
    <cellStyle name="40% - Accent6 2 3 3 2 3" xfId="11790" xr:uid="{6775B4C5-F3DC-4D95-92CA-4698446773FA}"/>
    <cellStyle name="40% - Accent6 2 3 3 3" xfId="5424" xr:uid="{00000000-0005-0000-0000-000013070000}"/>
    <cellStyle name="40% - Accent6 2 3 3 3 2" xfId="13863" xr:uid="{6219EE2A-B1D6-4FA5-BF27-6D1435A19F7D}"/>
    <cellStyle name="40% - Accent6 2 3 3 4" xfId="9645" xr:uid="{AC7EED07-6EC3-4F65-85A4-7C63404726C8}"/>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33DB2B5D-1C3E-4ACD-9331-470FF8718096}"/>
    <cellStyle name="40% - Accent6 2 3 4 2 3" xfId="12203" xr:uid="{49EB97AF-6057-49CA-BD4E-8341A6093B82}"/>
    <cellStyle name="40% - Accent6 2 3 4 3" xfId="5837" xr:uid="{00000000-0005-0000-0000-000017070000}"/>
    <cellStyle name="40% - Accent6 2 3 4 3 2" xfId="14276" xr:uid="{04EE7E96-2AA0-44A2-82A7-3E3057638FC4}"/>
    <cellStyle name="40% - Accent6 2 3 4 4" xfId="10058" xr:uid="{03BF5175-B67F-498F-A986-26C82A919F0F}"/>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D46B6360-B28A-4B1C-B61B-759984B0395C}"/>
    <cellStyle name="40% - Accent6 2 3 5 2 3" xfId="12616" xr:uid="{33D5AB38-69BA-4A37-9F8D-2997B2F76FD3}"/>
    <cellStyle name="40% - Accent6 2 3 5 3" xfId="6250" xr:uid="{00000000-0005-0000-0000-00001B070000}"/>
    <cellStyle name="40% - Accent6 2 3 5 3 2" xfId="14689" xr:uid="{16094914-2A13-4E49-B4D8-38EC0DE878C2}"/>
    <cellStyle name="40% - Accent6 2 3 5 4" xfId="10471" xr:uid="{613EA424-DA87-4984-A9FA-E0F6D4194592}"/>
    <cellStyle name="40% - Accent6 2 3 6" xfId="2356" xr:uid="{00000000-0005-0000-0000-00001C070000}"/>
    <cellStyle name="40% - Accent6 2 3 6 2" xfId="6663" xr:uid="{00000000-0005-0000-0000-00001D070000}"/>
    <cellStyle name="40% - Accent6 2 3 6 2 2" xfId="15102" xr:uid="{47D81842-7D04-4FDC-AF44-BF779BCBBE32}"/>
    <cellStyle name="40% - Accent6 2 3 6 3" xfId="10884" xr:uid="{047CC489-F7B0-4386-BB75-EDCE7FF5990F}"/>
    <cellStyle name="40% - Accent6 2 3 7" xfId="4597" xr:uid="{00000000-0005-0000-0000-00001E070000}"/>
    <cellStyle name="40% - Accent6 2 3 7 2" xfId="13036" xr:uid="{858D1924-ED0E-44E7-B386-C301AA2F9BC7}"/>
    <cellStyle name="40% - Accent6 2 3 8" xfId="8818" xr:uid="{72E0DB39-236D-4943-8745-A6FF6731E06F}"/>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1956296A-3764-4781-BF77-83C1EC1A424E}"/>
    <cellStyle name="40% - Accent6 2 4 2 3" xfId="11374" xr:uid="{4B1F078A-C889-494F-AA29-503A9A61F428}"/>
    <cellStyle name="40% - Accent6 2 4 3" xfId="5008" xr:uid="{00000000-0005-0000-0000-000022070000}"/>
    <cellStyle name="40% - Accent6 2 4 3 2" xfId="13447" xr:uid="{9B23286F-1D15-4342-AB58-D1E4A5577D1E}"/>
    <cellStyle name="40% - Accent6 2 4 4" xfId="9229" xr:uid="{168B0602-9644-46E5-BCCA-E7F87E6FEE77}"/>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72E26BBA-3585-4DFC-B6BD-9CFBC59904DE}"/>
    <cellStyle name="40% - Accent6 2 5 2 3" xfId="11787" xr:uid="{B8A558CB-97FA-4655-9E82-DDB13824D045}"/>
    <cellStyle name="40% - Accent6 2 5 3" xfId="5421" xr:uid="{00000000-0005-0000-0000-000026070000}"/>
    <cellStyle name="40% - Accent6 2 5 3 2" xfId="13860" xr:uid="{7752D750-59FF-49BD-B3A7-D3A6710EB3AC}"/>
    <cellStyle name="40% - Accent6 2 5 4" xfId="9642" xr:uid="{4FE2E831-E4BE-483A-971A-56D826A5C8ED}"/>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5E79E0DE-54A9-4B79-A3B3-B364D7685E74}"/>
    <cellStyle name="40% - Accent6 2 6 2 3" xfId="12200" xr:uid="{BC62731B-A073-47A5-9941-3524499020B7}"/>
    <cellStyle name="40% - Accent6 2 6 3" xfId="5834" xr:uid="{00000000-0005-0000-0000-00002A070000}"/>
    <cellStyle name="40% - Accent6 2 6 3 2" xfId="14273" xr:uid="{B5C7F974-F37E-449D-A5CF-D7EE0FBC31A2}"/>
    <cellStyle name="40% - Accent6 2 6 4" xfId="10055" xr:uid="{19A29C87-523B-4787-8EF3-494A016A5A7F}"/>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394FD085-3C37-4A62-AD9A-DDFF8CCDCA06}"/>
    <cellStyle name="40% - Accent6 2 7 2 3" xfId="12613" xr:uid="{D4E18030-B9FF-4356-B602-E07A54D1EC7F}"/>
    <cellStyle name="40% - Accent6 2 7 3" xfId="6247" xr:uid="{00000000-0005-0000-0000-00002E070000}"/>
    <cellStyle name="40% - Accent6 2 7 3 2" xfId="14686" xr:uid="{7F49A455-9A2F-41AA-9A09-50E85A0DA2BB}"/>
    <cellStyle name="40% - Accent6 2 7 4" xfId="10468" xr:uid="{94719ECB-EF79-4C1B-B9EA-EED20CC66ABA}"/>
    <cellStyle name="40% - Accent6 2 8" xfId="2353" xr:uid="{00000000-0005-0000-0000-00002F070000}"/>
    <cellStyle name="40% - Accent6 2 8 2" xfId="6660" xr:uid="{00000000-0005-0000-0000-000030070000}"/>
    <cellStyle name="40% - Accent6 2 8 2 2" xfId="15099" xr:uid="{9E476871-0703-4A7A-890B-4A511AC1A6C6}"/>
    <cellStyle name="40% - Accent6 2 8 3" xfId="10881" xr:uid="{8E4F5BFD-8B5F-4372-AF18-1D75B1618EAF}"/>
    <cellStyle name="40% - Accent6 2 9" xfId="4594" xr:uid="{00000000-0005-0000-0000-000031070000}"/>
    <cellStyle name="40% - Accent6 2 9 2" xfId="13033" xr:uid="{ED870180-4160-4C3B-A9D1-DD318555F56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2A855A45-6C7A-4DBA-A6B3-9C2AC64998D8}"/>
    <cellStyle name="40% - Accent6 3 2 2 2 3" xfId="11379" xr:uid="{D4D32E0A-07E3-4E9C-956B-382F97F4C0C2}"/>
    <cellStyle name="40% - Accent6 3 2 2 3" xfId="5013" xr:uid="{00000000-0005-0000-0000-000037070000}"/>
    <cellStyle name="40% - Accent6 3 2 2 3 2" xfId="13452" xr:uid="{C6A628B5-624C-4333-8134-4B5F5EF74C88}"/>
    <cellStyle name="40% - Accent6 3 2 2 4" xfId="9234" xr:uid="{0C1B0011-DFF9-42A6-BFE6-9835C2C09188}"/>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1A792C81-DD54-4F34-87F8-433A6CE46336}"/>
    <cellStyle name="40% - Accent6 3 2 3 2 3" xfId="11792" xr:uid="{5EADAC10-00EC-4B84-BE67-27A8FB94E927}"/>
    <cellStyle name="40% - Accent6 3 2 3 3" xfId="5426" xr:uid="{00000000-0005-0000-0000-00003B070000}"/>
    <cellStyle name="40% - Accent6 3 2 3 3 2" xfId="13865" xr:uid="{69E0F63F-0434-4DCA-80C0-646F7CAF1087}"/>
    <cellStyle name="40% - Accent6 3 2 3 4" xfId="9647" xr:uid="{C039D44A-818A-461A-8943-D5EA006E5B71}"/>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2C7626B1-8DAF-49B4-AD5A-B61FFF35C68A}"/>
    <cellStyle name="40% - Accent6 3 2 4 2 3" xfId="12205" xr:uid="{0F4029AA-717B-4DBB-A15E-29EAF17FB15D}"/>
    <cellStyle name="40% - Accent6 3 2 4 3" xfId="5839" xr:uid="{00000000-0005-0000-0000-00003F070000}"/>
    <cellStyle name="40% - Accent6 3 2 4 3 2" xfId="14278" xr:uid="{6F9BEAD2-4A00-488C-916B-77DD403DA930}"/>
    <cellStyle name="40% - Accent6 3 2 4 4" xfId="10060" xr:uid="{3FEEF9FC-457C-4AD2-A7FC-2C05970A5B25}"/>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41FB12D2-4216-4502-822E-7014A620F71F}"/>
    <cellStyle name="40% - Accent6 3 2 5 2 3" xfId="12618" xr:uid="{20C206E4-F915-470F-B545-33CA18376232}"/>
    <cellStyle name="40% - Accent6 3 2 5 3" xfId="6252" xr:uid="{00000000-0005-0000-0000-000043070000}"/>
    <cellStyle name="40% - Accent6 3 2 5 3 2" xfId="14691" xr:uid="{D82664B7-C0E2-4BCF-909D-8278D61C0562}"/>
    <cellStyle name="40% - Accent6 3 2 5 4" xfId="10473" xr:uid="{33BE96EA-D568-4685-8B01-B7789D44EA78}"/>
    <cellStyle name="40% - Accent6 3 2 6" xfId="2358" xr:uid="{00000000-0005-0000-0000-000044070000}"/>
    <cellStyle name="40% - Accent6 3 2 6 2" xfId="6665" xr:uid="{00000000-0005-0000-0000-000045070000}"/>
    <cellStyle name="40% - Accent6 3 2 6 2 2" xfId="15104" xr:uid="{0690D4B6-74B3-4083-9FCC-43E59782260F}"/>
    <cellStyle name="40% - Accent6 3 2 6 3" xfId="10886" xr:uid="{BD17CA0F-D439-4095-B2FD-B0FDE14E3136}"/>
    <cellStyle name="40% - Accent6 3 2 7" xfId="4599" xr:uid="{00000000-0005-0000-0000-000046070000}"/>
    <cellStyle name="40% - Accent6 3 2 7 2" xfId="13038" xr:uid="{8F78CF18-B216-4E21-BC66-F7DB4AF77D2F}"/>
    <cellStyle name="40% - Accent6 3 2 8" xfId="8820" xr:uid="{B8E171D9-A25D-421F-A092-15E9E20759BD}"/>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E67F85FB-DBB3-41D9-9F36-7ACE991044DC}"/>
    <cellStyle name="40% - Accent6 3 3 2 3" xfId="11378" xr:uid="{AF598250-4CBD-4981-B670-3004E2FD8DCD}"/>
    <cellStyle name="40% - Accent6 3 3 3" xfId="5012" xr:uid="{00000000-0005-0000-0000-00004A070000}"/>
    <cellStyle name="40% - Accent6 3 3 3 2" xfId="13451" xr:uid="{2ECED2FF-9880-4340-BB2B-5ADA508FB0C8}"/>
    <cellStyle name="40% - Accent6 3 3 4" xfId="9233" xr:uid="{D58AEFF9-C811-4D73-AB93-71A6D9D07EEC}"/>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E34EDC41-4398-4BB9-AD34-F3974645A6FA}"/>
    <cellStyle name="40% - Accent6 3 4 2 3" xfId="11791" xr:uid="{C43D9F28-0E19-48BC-A5F1-75D0128DB3FD}"/>
    <cellStyle name="40% - Accent6 3 4 3" xfId="5425" xr:uid="{00000000-0005-0000-0000-00004E070000}"/>
    <cellStyle name="40% - Accent6 3 4 3 2" xfId="13864" xr:uid="{DB1F7EA6-4F5A-46F3-9C42-BED51887C764}"/>
    <cellStyle name="40% - Accent6 3 4 4" xfId="9646" xr:uid="{4747FE5C-6731-47A7-BCF0-B1F15AAEC845}"/>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7C1F04E5-5827-4B5F-B2AE-FBB5531AE198}"/>
    <cellStyle name="40% - Accent6 3 5 2 3" xfId="12204" xr:uid="{46B3B8B5-0612-47D9-AB83-871A50F14B73}"/>
    <cellStyle name="40% - Accent6 3 5 3" xfId="5838" xr:uid="{00000000-0005-0000-0000-000052070000}"/>
    <cellStyle name="40% - Accent6 3 5 3 2" xfId="14277" xr:uid="{973F6CAF-DB92-4C0D-857C-C8C320B446E5}"/>
    <cellStyle name="40% - Accent6 3 5 4" xfId="10059" xr:uid="{370BA92F-B5E9-483A-80B7-F3CB06D8AE4F}"/>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F0F64F20-24AD-420F-9438-47C118432C82}"/>
    <cellStyle name="40% - Accent6 3 6 2 3" xfId="12617" xr:uid="{4942B594-5021-4266-9B17-2CE861E88ECD}"/>
    <cellStyle name="40% - Accent6 3 6 3" xfId="6251" xr:uid="{00000000-0005-0000-0000-000056070000}"/>
    <cellStyle name="40% - Accent6 3 6 3 2" xfId="14690" xr:uid="{EF0CADB0-F5E8-470C-AF5C-9ECEDFCA689F}"/>
    <cellStyle name="40% - Accent6 3 6 4" xfId="10472" xr:uid="{7BD0634E-7DA7-4BCB-8E3F-727BC7090E01}"/>
    <cellStyle name="40% - Accent6 3 7" xfId="2357" xr:uid="{00000000-0005-0000-0000-000057070000}"/>
    <cellStyle name="40% - Accent6 3 7 2" xfId="6664" xr:uid="{00000000-0005-0000-0000-000058070000}"/>
    <cellStyle name="40% - Accent6 3 7 2 2" xfId="15103" xr:uid="{3B16909E-ECB0-423D-B8F0-DA6E3E3EA80A}"/>
    <cellStyle name="40% - Accent6 3 7 3" xfId="10885" xr:uid="{C7438C06-4206-41A1-8DA3-C469505E9603}"/>
    <cellStyle name="40% - Accent6 3 8" xfId="4598" xr:uid="{00000000-0005-0000-0000-000059070000}"/>
    <cellStyle name="40% - Accent6 3 8 2" xfId="13037" xr:uid="{FD81EFF0-8845-4E2F-8709-4E44C5BECF3E}"/>
    <cellStyle name="40% - Accent6 3 9" xfId="8819" xr:uid="{755871D7-1D2D-4FBB-8885-0D12459105DF}"/>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A95EF772-D13A-47F8-9287-A449FF24BB2C}"/>
    <cellStyle name="40% - Accent6 4 2 2 3" xfId="11380" xr:uid="{38430E40-09D3-4345-B005-4B78D14DF555}"/>
    <cellStyle name="40% - Accent6 4 2 3" xfId="5014" xr:uid="{00000000-0005-0000-0000-00005E070000}"/>
    <cellStyle name="40% - Accent6 4 2 3 2" xfId="13453" xr:uid="{F6ED5680-283B-4489-8387-EF5B43D0F751}"/>
    <cellStyle name="40% - Accent6 4 2 4" xfId="9235" xr:uid="{F96410C4-8F5D-4337-AD33-91EC4BD66688}"/>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06422B5F-2191-45D8-A75C-635729E86543}"/>
    <cellStyle name="40% - Accent6 4 3 2 3" xfId="11793" xr:uid="{4DFAAE2B-2D62-4378-B723-B0093EE56FD0}"/>
    <cellStyle name="40% - Accent6 4 3 3" xfId="5427" xr:uid="{00000000-0005-0000-0000-000062070000}"/>
    <cellStyle name="40% - Accent6 4 3 3 2" xfId="13866" xr:uid="{5FBAEA21-31BA-4145-BDD5-B77600707C15}"/>
    <cellStyle name="40% - Accent6 4 3 4" xfId="9648" xr:uid="{BE7B81A6-53A2-4330-B8DA-22267EA1FC05}"/>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8204F33F-50FC-47DD-ABB4-65AD719C3941}"/>
    <cellStyle name="40% - Accent6 4 4 2 3" xfId="12206" xr:uid="{73FEDF45-E18F-43DE-A39D-B626E102FFC8}"/>
    <cellStyle name="40% - Accent6 4 4 3" xfId="5840" xr:uid="{00000000-0005-0000-0000-000066070000}"/>
    <cellStyle name="40% - Accent6 4 4 3 2" xfId="14279" xr:uid="{0EF56606-42F6-4577-8465-BEB4B408B227}"/>
    <cellStyle name="40% - Accent6 4 4 4" xfId="10061" xr:uid="{9176D75F-E497-45A3-A936-5C7399E83D00}"/>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1CC25DC0-471B-4B73-8626-8FDD093383BD}"/>
    <cellStyle name="40% - Accent6 4 5 2 3" xfId="12619" xr:uid="{F55B6C44-2CE2-4659-8737-69697D19DC47}"/>
    <cellStyle name="40% - Accent6 4 5 3" xfId="6253" xr:uid="{00000000-0005-0000-0000-00006A070000}"/>
    <cellStyle name="40% - Accent6 4 5 3 2" xfId="14692" xr:uid="{7B6C1DE2-A3E2-4C2F-9FB8-18E5731C7EEC}"/>
    <cellStyle name="40% - Accent6 4 5 4" xfId="10474" xr:uid="{B6CF6229-E1DF-4CEA-AA38-CEAFD1B9D7A8}"/>
    <cellStyle name="40% - Accent6 4 6" xfId="2359" xr:uid="{00000000-0005-0000-0000-00006B070000}"/>
    <cellStyle name="40% - Accent6 4 6 2" xfId="6666" xr:uid="{00000000-0005-0000-0000-00006C070000}"/>
    <cellStyle name="40% - Accent6 4 6 2 2" xfId="15105" xr:uid="{8EC13460-44D8-4FC7-BA42-8BD9290F0368}"/>
    <cellStyle name="40% - Accent6 4 6 3" xfId="10887" xr:uid="{4F45CE9A-B9C1-4154-AF54-198945605FC6}"/>
    <cellStyle name="40% - Accent6 4 7" xfId="4600" xr:uid="{00000000-0005-0000-0000-00006D070000}"/>
    <cellStyle name="40% - Accent6 4 7 2" xfId="13039" xr:uid="{ACC304F8-7170-4BED-AE78-1E6AE0B6DBFC}"/>
    <cellStyle name="40% - Accent6 4 8" xfId="8821" xr:uid="{D4A16499-D649-474F-A2F5-0E87FA27A06B}"/>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074E40A2-9E56-474A-8F0C-53EE9618F8C2}"/>
    <cellStyle name="40% - Accent6 5 2 3" xfId="11373" xr:uid="{36EB7491-5B68-4F03-9D3E-D78643DE583F}"/>
    <cellStyle name="40% - Accent6 5 3" xfId="5007" xr:uid="{00000000-0005-0000-0000-000071070000}"/>
    <cellStyle name="40% - Accent6 5 3 2" xfId="13446" xr:uid="{D0B4C58C-45DF-423D-8E73-939E2F4AD57D}"/>
    <cellStyle name="40% - Accent6 5 4" xfId="9228" xr:uid="{23E0227D-356D-45D2-B803-511663CB7E63}"/>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A7933AEA-250B-4BA9-902E-2D705252B412}"/>
    <cellStyle name="40% - Accent6 6 2 3" xfId="11786" xr:uid="{477047AB-AC3F-4AB7-A4C6-444E3BBEB39F}"/>
    <cellStyle name="40% - Accent6 6 3" xfId="5420" xr:uid="{00000000-0005-0000-0000-000075070000}"/>
    <cellStyle name="40% - Accent6 6 3 2" xfId="13859" xr:uid="{963F8552-0318-4106-AB66-EE95F6AB4042}"/>
    <cellStyle name="40% - Accent6 6 4" xfId="9641" xr:uid="{D93DEA75-AE62-4DDD-A2DB-2E66FC6A03C6}"/>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15965922-76A0-4570-8C9A-F0D80CE2427F}"/>
    <cellStyle name="40% - Accent6 7 2 3" xfId="12199" xr:uid="{0E57F205-9AE6-4EAC-8F5B-3528851C3790}"/>
    <cellStyle name="40% - Accent6 7 3" xfId="5833" xr:uid="{00000000-0005-0000-0000-000079070000}"/>
    <cellStyle name="40% - Accent6 7 3 2" xfId="14272" xr:uid="{B7885EC0-C3B9-4817-A7A0-EA77EE8F7ADB}"/>
    <cellStyle name="40% - Accent6 7 4" xfId="10054" xr:uid="{FCF0BF11-6CA9-45DF-9D6A-3E6B4808892D}"/>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EA9662F2-B321-4A0A-8B32-F6F86AD59B9A}"/>
    <cellStyle name="40% - Accent6 8 2 3" xfId="12612" xr:uid="{50779A71-7837-483B-B06A-0842419B77BD}"/>
    <cellStyle name="40% - Accent6 8 3" xfId="6246" xr:uid="{00000000-0005-0000-0000-00007D070000}"/>
    <cellStyle name="40% - Accent6 8 3 2" xfId="14685" xr:uid="{38638D4C-816C-4F18-97A6-BC9CDFCBEEF5}"/>
    <cellStyle name="40% - Accent6 8 4" xfId="10467" xr:uid="{FEC6F2F4-CC56-4D90-9ACA-52E03EDE1C17}"/>
    <cellStyle name="40% - Accent6 9" xfId="2352" xr:uid="{00000000-0005-0000-0000-00007E070000}"/>
    <cellStyle name="40% - Accent6 9 2" xfId="6659" xr:uid="{00000000-0005-0000-0000-00007F070000}"/>
    <cellStyle name="40% - Accent6 9 2 2" xfId="15098" xr:uid="{2AC35B7B-E15E-451D-A9E1-69785509D8E5}"/>
    <cellStyle name="40% - Accent6 9 3" xfId="10880" xr:uid="{45331A53-63FE-40A8-8ED4-EDD9F2A0057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7C5391E8-57C1-46D9-A163-B555367EFA1B}"/>
    <cellStyle name="Comma 4 2 2 2 10 3" xfId="11205" xr:uid="{3533951D-B86B-4590-A85E-8E11CB78058F}"/>
    <cellStyle name="Comma 4 2 2 2 11" xfId="4601" xr:uid="{00000000-0005-0000-0000-0000A3070000}"/>
    <cellStyle name="Comma 4 2 2 2 11 2" xfId="13040" xr:uid="{7B3314B7-F92C-419E-8ED7-51D77D35B703}"/>
    <cellStyle name="Comma 4 2 2 2 12" xfId="8822" xr:uid="{89762FB7-280A-47F6-98F0-B6EED812C7D9}"/>
    <cellStyle name="Comma 4 2 2 2 2" xfId="129" xr:uid="{00000000-0005-0000-0000-0000A4070000}"/>
    <cellStyle name="Comma 4 2 2 2 2 10" xfId="4602" xr:uid="{00000000-0005-0000-0000-0000A5070000}"/>
    <cellStyle name="Comma 4 2 2 2 2 10 2" xfId="13041" xr:uid="{D0DB5E42-ED39-4F4B-848F-CA5C2E6C3A62}"/>
    <cellStyle name="Comma 4 2 2 2 2 11" xfId="8823" xr:uid="{98CF44B8-CF51-4FCE-AC57-9867EC464CA8}"/>
    <cellStyle name="Comma 4 2 2 2 2 2" xfId="130" xr:uid="{00000000-0005-0000-0000-0000A6070000}"/>
    <cellStyle name="Comma 4 2 2 2 2 2 10" xfId="8824" xr:uid="{C1F98F52-401D-4436-81E9-070A626BC38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5FAF11C4-2909-4EDE-9783-26A40D169BDF}"/>
    <cellStyle name="Comma 4 2 2 2 2 2 2 2 3" xfId="11383" xr:uid="{21B4ADCC-27B8-4077-B999-76DBA6815B63}"/>
    <cellStyle name="Comma 4 2 2 2 2 2 2 3" xfId="5017" xr:uid="{00000000-0005-0000-0000-0000AA070000}"/>
    <cellStyle name="Comma 4 2 2 2 2 2 2 3 2" xfId="13456" xr:uid="{60C7C8A9-53AE-46A9-8789-A1F799EE75EF}"/>
    <cellStyle name="Comma 4 2 2 2 2 2 2 4" xfId="9238" xr:uid="{574D0225-64A9-4089-A28E-8B84D5BC7114}"/>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F2DDD863-FBA5-443D-8223-3A7ABE158EF7}"/>
    <cellStyle name="Comma 4 2 2 2 2 2 3 2 3" xfId="11796" xr:uid="{E2993CF2-AEA0-4D5A-909A-05456924ECF1}"/>
    <cellStyle name="Comma 4 2 2 2 2 2 3 3" xfId="5430" xr:uid="{00000000-0005-0000-0000-0000AE070000}"/>
    <cellStyle name="Comma 4 2 2 2 2 2 3 3 2" xfId="13869" xr:uid="{A6C3245A-213B-47BF-8A1F-8E40926D58FC}"/>
    <cellStyle name="Comma 4 2 2 2 2 2 3 4" xfId="9651" xr:uid="{2D9DC819-BDA9-4546-9AB0-493184998CE8}"/>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5C116151-1077-47B7-ADFB-57DCEBCEA42C}"/>
    <cellStyle name="Comma 4 2 2 2 2 2 4 2 3" xfId="12209" xr:uid="{D479F9C7-A34B-4EBD-92DF-1FA4C0C251D2}"/>
    <cellStyle name="Comma 4 2 2 2 2 2 4 3" xfId="5843" xr:uid="{00000000-0005-0000-0000-0000B2070000}"/>
    <cellStyle name="Comma 4 2 2 2 2 2 4 3 2" xfId="14282" xr:uid="{537A4453-758B-4F79-A1F6-18A4603D67AB}"/>
    <cellStyle name="Comma 4 2 2 2 2 2 4 4" xfId="10064" xr:uid="{4BFB54B7-7857-48A7-A176-CF453D2D5856}"/>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3D159AE2-DB18-41A6-9223-19134BE3B7E7}"/>
    <cellStyle name="Comma 4 2 2 2 2 2 5 2 3" xfId="12622" xr:uid="{04CE5D60-9960-465E-BDF4-5F90BA7ECE83}"/>
    <cellStyle name="Comma 4 2 2 2 2 2 5 3" xfId="6256" xr:uid="{00000000-0005-0000-0000-0000B6070000}"/>
    <cellStyle name="Comma 4 2 2 2 2 2 5 3 2" xfId="14695" xr:uid="{CF6B0403-A0B9-491C-AE44-5FB803535687}"/>
    <cellStyle name="Comma 4 2 2 2 2 2 5 4" xfId="10477" xr:uid="{DDA5386D-1EF6-4A7B-B0FC-10F818D2208A}"/>
    <cellStyle name="Comma 4 2 2 2 2 2 6" xfId="2384" xr:uid="{00000000-0005-0000-0000-0000B7070000}"/>
    <cellStyle name="Comma 4 2 2 2 2 2 6 2" xfId="6669" xr:uid="{00000000-0005-0000-0000-0000B8070000}"/>
    <cellStyle name="Comma 4 2 2 2 2 2 6 2 2" xfId="15108" xr:uid="{DA58DC1C-EB7C-4677-AF53-2A46A42777D5}"/>
    <cellStyle name="Comma 4 2 2 2 2 2 6 3" xfId="10890" xr:uid="{F5AA847A-8819-43B4-87E5-16DED0C97C1E}"/>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43AD0261-F58E-45EA-9270-6768DA7BB402}"/>
    <cellStyle name="Comma 4 2 2 2 2 2 8 3" xfId="11207" xr:uid="{AE8546A6-B38D-4566-B0BE-F92A0DCF82D6}"/>
    <cellStyle name="Comma 4 2 2 2 2 2 9" xfId="4603" xr:uid="{00000000-0005-0000-0000-0000BC070000}"/>
    <cellStyle name="Comma 4 2 2 2 2 2 9 2" xfId="13042" xr:uid="{C8E3B3A3-7939-4198-AA5F-A85280DA6580}"/>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7D33490B-7C42-4899-BD5A-BAF6B0875B26}"/>
    <cellStyle name="Comma 4 2 2 2 2 3 2 3" xfId="11382" xr:uid="{35D8E3F2-D9E7-43CC-83FA-4819122D8B80}"/>
    <cellStyle name="Comma 4 2 2 2 2 3 3" xfId="5016" xr:uid="{00000000-0005-0000-0000-0000C0070000}"/>
    <cellStyle name="Comma 4 2 2 2 2 3 3 2" xfId="13455" xr:uid="{D90E413D-6988-4528-A765-E9A40481C544}"/>
    <cellStyle name="Comma 4 2 2 2 2 3 4" xfId="9237" xr:uid="{1CA37112-1D8A-4CDE-9B2C-8E21A5E71603}"/>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8F767F7E-2A08-4E25-A5F7-BDF4E2BA4485}"/>
    <cellStyle name="Comma 4 2 2 2 2 4 2 3" xfId="11795" xr:uid="{A5C044EE-719E-4687-B511-7C460B3BEA58}"/>
    <cellStyle name="Comma 4 2 2 2 2 4 3" xfId="5429" xr:uid="{00000000-0005-0000-0000-0000C4070000}"/>
    <cellStyle name="Comma 4 2 2 2 2 4 3 2" xfId="13868" xr:uid="{D4AD94A7-3D8F-4201-B8BC-429DCC1F6FB0}"/>
    <cellStyle name="Comma 4 2 2 2 2 4 4" xfId="9650" xr:uid="{A5006BB4-21C3-452E-94D0-C996357DC091}"/>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4C2F0BD9-3ACE-4FE4-97BD-2C63B6A8DC4A}"/>
    <cellStyle name="Comma 4 2 2 2 2 5 2 3" xfId="12208" xr:uid="{AA973707-D69E-40A8-8C05-802E091D86F5}"/>
    <cellStyle name="Comma 4 2 2 2 2 5 3" xfId="5842" xr:uid="{00000000-0005-0000-0000-0000C8070000}"/>
    <cellStyle name="Comma 4 2 2 2 2 5 3 2" xfId="14281" xr:uid="{B32B8269-958E-43F8-98DA-A74B08F1A083}"/>
    <cellStyle name="Comma 4 2 2 2 2 5 4" xfId="10063" xr:uid="{EF105D4E-3DED-4420-8704-60209BF43658}"/>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F7D9936D-BF74-44CA-A1EE-7D616BC1B691}"/>
    <cellStyle name="Comma 4 2 2 2 2 6 2 3" xfId="12621" xr:uid="{58050478-57FA-4E98-A976-8D912CBF708E}"/>
    <cellStyle name="Comma 4 2 2 2 2 6 3" xfId="6255" xr:uid="{00000000-0005-0000-0000-0000CC070000}"/>
    <cellStyle name="Comma 4 2 2 2 2 6 3 2" xfId="14694" xr:uid="{A092A763-EFC9-4C80-9294-ED7733E52E5B}"/>
    <cellStyle name="Comma 4 2 2 2 2 6 4" xfId="10476" xr:uid="{D8ABB56D-6A20-4C9D-A5C7-EAA8BCAEAD5E}"/>
    <cellStyle name="Comma 4 2 2 2 2 7" xfId="2383" xr:uid="{00000000-0005-0000-0000-0000CD070000}"/>
    <cellStyle name="Comma 4 2 2 2 2 7 2" xfId="6668" xr:uid="{00000000-0005-0000-0000-0000CE070000}"/>
    <cellStyle name="Comma 4 2 2 2 2 7 2 2" xfId="15107" xr:uid="{EE81B2C5-51D5-44F9-A812-7F5099AF852C}"/>
    <cellStyle name="Comma 4 2 2 2 2 7 3" xfId="10889" xr:uid="{9D43AD8A-314F-4826-B0C0-69AD72B56CC5}"/>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54CAB789-B5A4-478D-8468-16D44453747E}"/>
    <cellStyle name="Comma 4 2 2 2 2 9 3" xfId="11206" xr:uid="{1A7AEE70-5EB8-45E0-8A7E-208955D82A03}"/>
    <cellStyle name="Comma 4 2 2 2 3" xfId="131" xr:uid="{00000000-0005-0000-0000-0000D2070000}"/>
    <cellStyle name="Comma 4 2 2 2 3 10" xfId="8825" xr:uid="{2FE1CD40-B47C-46A8-BD12-6B38A42E4EB1}"/>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BFEA9970-B73D-4593-82A1-3E69EEF02F78}"/>
    <cellStyle name="Comma 4 2 2 2 3 2 2 3" xfId="11384" xr:uid="{E31FDC3C-D2AE-4CE1-9F67-C57B24901EEF}"/>
    <cellStyle name="Comma 4 2 2 2 3 2 3" xfId="5018" xr:uid="{00000000-0005-0000-0000-0000D6070000}"/>
    <cellStyle name="Comma 4 2 2 2 3 2 3 2" xfId="13457" xr:uid="{955647D7-D329-484D-8090-AB31347DE7E0}"/>
    <cellStyle name="Comma 4 2 2 2 3 2 4" xfId="9239" xr:uid="{0701848F-3DDC-46BF-8937-2084AC141587}"/>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948DCB44-8222-441E-A406-D2C45496F24B}"/>
    <cellStyle name="Comma 4 2 2 2 3 3 2 3" xfId="11797" xr:uid="{848F075F-00C3-4795-9676-6AD8842BD698}"/>
    <cellStyle name="Comma 4 2 2 2 3 3 3" xfId="5431" xr:uid="{00000000-0005-0000-0000-0000DA070000}"/>
    <cellStyle name="Comma 4 2 2 2 3 3 3 2" xfId="13870" xr:uid="{7391E6B1-4D89-4DA6-BA85-49CF4C57FD1B}"/>
    <cellStyle name="Comma 4 2 2 2 3 3 4" xfId="9652" xr:uid="{DAFE86CC-DDC6-458E-B9B1-E939EA716209}"/>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62B5A8C1-42DF-4FA7-A2E2-0D6C57B365DD}"/>
    <cellStyle name="Comma 4 2 2 2 3 4 2 3" xfId="12210" xr:uid="{5FE4FF63-095C-44C1-8491-FBE31E943B27}"/>
    <cellStyle name="Comma 4 2 2 2 3 4 3" xfId="5844" xr:uid="{00000000-0005-0000-0000-0000DE070000}"/>
    <cellStyle name="Comma 4 2 2 2 3 4 3 2" xfId="14283" xr:uid="{C809F642-11DF-45A5-8044-264DAE4A9187}"/>
    <cellStyle name="Comma 4 2 2 2 3 4 4" xfId="10065" xr:uid="{C56509E5-6019-40F0-9E3B-5B9C1A6802FD}"/>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A4528F2F-6470-4847-BF62-608FC7C53473}"/>
    <cellStyle name="Comma 4 2 2 2 3 5 2 3" xfId="12623" xr:uid="{8FA6F24F-B36B-4D1C-9AA3-C1F4C3181658}"/>
    <cellStyle name="Comma 4 2 2 2 3 5 3" xfId="6257" xr:uid="{00000000-0005-0000-0000-0000E2070000}"/>
    <cellStyle name="Comma 4 2 2 2 3 5 3 2" xfId="14696" xr:uid="{DC3C04B9-22DB-4356-97F5-E649A9A8EE5D}"/>
    <cellStyle name="Comma 4 2 2 2 3 5 4" xfId="10478" xr:uid="{74D3F7FB-9AC9-4260-8337-5450C21CC544}"/>
    <cellStyle name="Comma 4 2 2 2 3 6" xfId="2385" xr:uid="{00000000-0005-0000-0000-0000E3070000}"/>
    <cellStyle name="Comma 4 2 2 2 3 6 2" xfId="6670" xr:uid="{00000000-0005-0000-0000-0000E4070000}"/>
    <cellStyle name="Comma 4 2 2 2 3 6 2 2" xfId="15109" xr:uid="{7A682B39-7E65-45D4-A069-9F2362EAA5B8}"/>
    <cellStyle name="Comma 4 2 2 2 3 6 3" xfId="10891" xr:uid="{CBDAAFDF-9450-426D-99A3-76E553F1E45D}"/>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751B9336-A1F2-49CC-8260-D6A1430B1800}"/>
    <cellStyle name="Comma 4 2 2 2 3 8 3" xfId="11208" xr:uid="{170C4892-26BB-46BF-A030-6B92EE48553B}"/>
    <cellStyle name="Comma 4 2 2 2 3 9" xfId="4604" xr:uid="{00000000-0005-0000-0000-0000E8070000}"/>
    <cellStyle name="Comma 4 2 2 2 3 9 2" xfId="13043" xr:uid="{F7640E9D-35BE-4C13-B921-41E8869801EC}"/>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A87F1381-3398-444C-AE9B-29659DE6ADA7}"/>
    <cellStyle name="Comma 4 2 2 2 4 2 3" xfId="11381" xr:uid="{39DD949D-C051-43E7-BAD7-3A90B82B0319}"/>
    <cellStyle name="Comma 4 2 2 2 4 3" xfId="5015" xr:uid="{00000000-0005-0000-0000-0000EC070000}"/>
    <cellStyle name="Comma 4 2 2 2 4 3 2" xfId="13454" xr:uid="{BDA1C378-DCB1-46BF-8BD2-3899CC1D9E70}"/>
    <cellStyle name="Comma 4 2 2 2 4 4" xfId="9236" xr:uid="{B73EFDEA-F0AA-4A69-81E0-6199CCA3BEA7}"/>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F6C6CFD4-F0EF-4247-9526-F4944000A00E}"/>
    <cellStyle name="Comma 4 2 2 2 5 2 3" xfId="11794" xr:uid="{BDBFD0E4-BF0C-4844-B11F-6B3A391BA499}"/>
    <cellStyle name="Comma 4 2 2 2 5 3" xfId="5428" xr:uid="{00000000-0005-0000-0000-0000F0070000}"/>
    <cellStyle name="Comma 4 2 2 2 5 3 2" xfId="13867" xr:uid="{F095351F-DA7C-43DD-BABE-BB3DBC340389}"/>
    <cellStyle name="Comma 4 2 2 2 5 4" xfId="9649" xr:uid="{87DA80BF-AB38-4FBA-9C7C-42AF95851FFE}"/>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9D73F0E8-3063-4AF9-AFCD-A346C389548B}"/>
    <cellStyle name="Comma 4 2 2 2 6 2 3" xfId="12207" xr:uid="{9F198183-172E-45F6-A72A-7535579FAF21}"/>
    <cellStyle name="Comma 4 2 2 2 6 3" xfId="5841" xr:uid="{00000000-0005-0000-0000-0000F4070000}"/>
    <cellStyle name="Comma 4 2 2 2 6 3 2" xfId="14280" xr:uid="{F67D09EF-ED01-404A-AFDE-1EB284AB04DD}"/>
    <cellStyle name="Comma 4 2 2 2 6 4" xfId="10062" xr:uid="{F973FBD5-F492-4CAD-8361-34B144DDA28B}"/>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FB95BF69-BE33-4489-BE4E-6126E09C4FC6}"/>
    <cellStyle name="Comma 4 2 2 2 7 2 3" xfId="12620" xr:uid="{107AC589-06B4-4D61-9627-3D5E971D3A30}"/>
    <cellStyle name="Comma 4 2 2 2 7 3" xfId="6254" xr:uid="{00000000-0005-0000-0000-0000F8070000}"/>
    <cellStyle name="Comma 4 2 2 2 7 3 2" xfId="14693" xr:uid="{E377CE46-279F-4528-AD30-9E6B55C23B7D}"/>
    <cellStyle name="Comma 4 2 2 2 7 4" xfId="10475" xr:uid="{168C4DD6-ECD5-4EC7-93BF-8B98EBBD6FA2}"/>
    <cellStyle name="Comma 4 2 2 2 8" xfId="2382" xr:uid="{00000000-0005-0000-0000-0000F9070000}"/>
    <cellStyle name="Comma 4 2 2 2 8 2" xfId="6667" xr:uid="{00000000-0005-0000-0000-0000FA070000}"/>
    <cellStyle name="Comma 4 2 2 2 8 2 2" xfId="15106" xr:uid="{657B5420-97AB-4EF0-A096-F3F62132CA46}"/>
    <cellStyle name="Comma 4 2 2 2 8 3" xfId="10888" xr:uid="{56EAEC1E-B73C-4850-B51B-7FCB98234F7A}"/>
    <cellStyle name="Comma 4 2 2 2 9" xfId="2381" xr:uid="{00000000-0005-0000-0000-0000FB070000}"/>
    <cellStyle name="Comma 4 2 2 3" xfId="132" xr:uid="{00000000-0005-0000-0000-0000FC070000}"/>
    <cellStyle name="Comma 4 2 2 3 10" xfId="4605" xr:uid="{00000000-0005-0000-0000-0000FD070000}"/>
    <cellStyle name="Comma 4 2 2 3 10 2" xfId="13044" xr:uid="{201F66F8-8822-4975-B20A-4AB916CEE29C}"/>
    <cellStyle name="Comma 4 2 2 3 11" xfId="8826" xr:uid="{70214E6A-EB52-47FB-8DD3-0C79D3AB4AE9}"/>
    <cellStyle name="Comma 4 2 2 3 2" xfId="133" xr:uid="{00000000-0005-0000-0000-0000FE070000}"/>
    <cellStyle name="Comma 4 2 2 3 2 10" xfId="8827" xr:uid="{5712CA8E-6D40-4EF1-BB6D-003923C492B6}"/>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DA776BFA-2D14-4AA8-B2D7-C0B8F84F35DA}"/>
    <cellStyle name="Comma 4 2 2 3 2 2 2 3" xfId="11386" xr:uid="{536169AA-E69D-4A7F-8073-775968CA1772}"/>
    <cellStyle name="Comma 4 2 2 3 2 2 3" xfId="5020" xr:uid="{00000000-0005-0000-0000-000002080000}"/>
    <cellStyle name="Comma 4 2 2 3 2 2 3 2" xfId="13459" xr:uid="{0E357464-2ECC-45D5-944D-9685F0E7B704}"/>
    <cellStyle name="Comma 4 2 2 3 2 2 4" xfId="9241" xr:uid="{08587DBF-B202-44E5-9CFF-EF2D94D83A4E}"/>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A9EF7543-5D02-4FAB-B380-FE4AA7289F68}"/>
    <cellStyle name="Comma 4 2 2 3 2 3 2 3" xfId="11799" xr:uid="{74555552-7966-447C-8DFF-DD4491CDDCDF}"/>
    <cellStyle name="Comma 4 2 2 3 2 3 3" xfId="5433" xr:uid="{00000000-0005-0000-0000-000006080000}"/>
    <cellStyle name="Comma 4 2 2 3 2 3 3 2" xfId="13872" xr:uid="{1B10DA4E-C23E-4D40-BFFE-CCD7ACF75A06}"/>
    <cellStyle name="Comma 4 2 2 3 2 3 4" xfId="9654" xr:uid="{9644AE72-68CC-4055-9C89-8D839428A966}"/>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C66AFC42-B17D-4A8B-BE91-BCE8F9D6F784}"/>
    <cellStyle name="Comma 4 2 2 3 2 4 2 3" xfId="12212" xr:uid="{60CBA9B5-D9B0-4C64-9E1A-1E453DB2FB15}"/>
    <cellStyle name="Comma 4 2 2 3 2 4 3" xfId="5846" xr:uid="{00000000-0005-0000-0000-00000A080000}"/>
    <cellStyle name="Comma 4 2 2 3 2 4 3 2" xfId="14285" xr:uid="{5E488F03-C873-491D-9C4C-44EE16C6D358}"/>
    <cellStyle name="Comma 4 2 2 3 2 4 4" xfId="10067" xr:uid="{2568BC2D-69F6-48FD-9845-92BD3344EFE9}"/>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1CFDC849-339F-4013-A860-CA6E71EA76F1}"/>
    <cellStyle name="Comma 4 2 2 3 2 5 2 3" xfId="12625" xr:uid="{0EB75FD6-948B-4B93-AF88-8D873F4E92A8}"/>
    <cellStyle name="Comma 4 2 2 3 2 5 3" xfId="6259" xr:uid="{00000000-0005-0000-0000-00000E080000}"/>
    <cellStyle name="Comma 4 2 2 3 2 5 3 2" xfId="14698" xr:uid="{737A7466-837D-4579-9D62-779BFE4C6598}"/>
    <cellStyle name="Comma 4 2 2 3 2 5 4" xfId="10480" xr:uid="{9899EBBA-CE4C-43A1-A8A3-54EFB711AA0F}"/>
    <cellStyle name="Comma 4 2 2 3 2 6" xfId="2387" xr:uid="{00000000-0005-0000-0000-00000F080000}"/>
    <cellStyle name="Comma 4 2 2 3 2 6 2" xfId="6672" xr:uid="{00000000-0005-0000-0000-000010080000}"/>
    <cellStyle name="Comma 4 2 2 3 2 6 2 2" xfId="15111" xr:uid="{23DECA58-8720-4729-AEDA-AD28780DC622}"/>
    <cellStyle name="Comma 4 2 2 3 2 6 3" xfId="10893" xr:uid="{9F1C7B5E-236F-42E2-8A49-0A474852C778}"/>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D289B2CF-C99D-424F-9625-DDDF545295B3}"/>
    <cellStyle name="Comma 4 2 2 3 2 8 3" xfId="11210" xr:uid="{559AA1AB-792B-441B-B94A-D1BF5B0416C3}"/>
    <cellStyle name="Comma 4 2 2 3 2 9" xfId="4606" xr:uid="{00000000-0005-0000-0000-000014080000}"/>
    <cellStyle name="Comma 4 2 2 3 2 9 2" xfId="13045" xr:uid="{0D1180F4-C644-4F65-AA78-44D8AE4C02C7}"/>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D2DCC209-584A-4996-9893-3D5B99E85217}"/>
    <cellStyle name="Comma 4 2 2 3 3 2 3" xfId="11385" xr:uid="{FFDD2FC6-3B5E-4DCC-9E3E-02A7F2556345}"/>
    <cellStyle name="Comma 4 2 2 3 3 3" xfId="5019" xr:uid="{00000000-0005-0000-0000-000018080000}"/>
    <cellStyle name="Comma 4 2 2 3 3 3 2" xfId="13458" xr:uid="{B1761D9A-0F51-40AB-9963-933EE11256A3}"/>
    <cellStyle name="Comma 4 2 2 3 3 4" xfId="9240" xr:uid="{9AA6D5A6-ED39-4A7C-84D1-EA12E3B7E1E6}"/>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7E43ABE7-FB3A-4FF3-8616-64ECC7564935}"/>
    <cellStyle name="Comma 4 2 2 3 4 2 3" xfId="11798" xr:uid="{D2E4FAED-EC1A-4465-AC55-F50877CC472F}"/>
    <cellStyle name="Comma 4 2 2 3 4 3" xfId="5432" xr:uid="{00000000-0005-0000-0000-00001C080000}"/>
    <cellStyle name="Comma 4 2 2 3 4 3 2" xfId="13871" xr:uid="{8AD0EDD7-1491-42E7-997F-C2C0207F24EF}"/>
    <cellStyle name="Comma 4 2 2 3 4 4" xfId="9653" xr:uid="{2D706E11-EE63-41B4-8BFC-3FDD7D4E9473}"/>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FAEA552B-B358-4C0A-9CF6-25510CA97FD0}"/>
    <cellStyle name="Comma 4 2 2 3 5 2 3" xfId="12211" xr:uid="{E20CC9BF-B5EF-495F-AC7D-92994501ED81}"/>
    <cellStyle name="Comma 4 2 2 3 5 3" xfId="5845" xr:uid="{00000000-0005-0000-0000-000020080000}"/>
    <cellStyle name="Comma 4 2 2 3 5 3 2" xfId="14284" xr:uid="{D44D0D6D-83B9-4423-A7F4-397409941692}"/>
    <cellStyle name="Comma 4 2 2 3 5 4" xfId="10066" xr:uid="{FE9BE763-AA01-478B-949F-740CD05FE3A1}"/>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BB0D31E2-6A40-49DA-82EA-4C2A19216486}"/>
    <cellStyle name="Comma 4 2 2 3 6 2 3" xfId="12624" xr:uid="{2BA619E1-86C0-4C73-9F74-AC1409AE2E4A}"/>
    <cellStyle name="Comma 4 2 2 3 6 3" xfId="6258" xr:uid="{00000000-0005-0000-0000-000024080000}"/>
    <cellStyle name="Comma 4 2 2 3 6 3 2" xfId="14697" xr:uid="{BEC628DF-59C9-47F1-B9A1-9A6AA55977DD}"/>
    <cellStyle name="Comma 4 2 2 3 6 4" xfId="10479" xr:uid="{71307FC4-08AF-4749-AC16-0D4A261221B1}"/>
    <cellStyle name="Comma 4 2 2 3 7" xfId="2386" xr:uid="{00000000-0005-0000-0000-000025080000}"/>
    <cellStyle name="Comma 4 2 2 3 7 2" xfId="6671" xr:uid="{00000000-0005-0000-0000-000026080000}"/>
    <cellStyle name="Comma 4 2 2 3 7 2 2" xfId="15110" xr:uid="{BEDA7CA9-09F9-4F16-A0CB-5DFB3D673068}"/>
    <cellStyle name="Comma 4 2 2 3 7 3" xfId="10892" xr:uid="{11962719-E054-430B-8C78-95C10A348E50}"/>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1E8A5FC3-D62C-43FF-90C1-2579A1023217}"/>
    <cellStyle name="Comma 4 2 2 3 9 3" xfId="11209" xr:uid="{9B08D073-B663-4068-9642-461E411D67B5}"/>
    <cellStyle name="Comma 4 2 2 4" xfId="134" xr:uid="{00000000-0005-0000-0000-00002A080000}"/>
    <cellStyle name="Comma 4 2 2 4 10" xfId="8828" xr:uid="{F7ACBF0D-9307-49E3-B81F-AB0B206027FC}"/>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FC071CDB-DC51-49D1-AAEF-E1E378D02596}"/>
    <cellStyle name="Comma 4 2 2 4 2 2 3" xfId="11387" xr:uid="{DC65C3F7-6AE3-4646-9076-80BD8AEB243D}"/>
    <cellStyle name="Comma 4 2 2 4 2 3" xfId="5021" xr:uid="{00000000-0005-0000-0000-00002E080000}"/>
    <cellStyle name="Comma 4 2 2 4 2 3 2" xfId="13460" xr:uid="{6C7B48CA-C6EE-4378-A045-FA2D5832034D}"/>
    <cellStyle name="Comma 4 2 2 4 2 4" xfId="9242" xr:uid="{30E45C3F-C0DE-44C0-8F59-3D2E68563524}"/>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2EED5057-C2F2-4117-91C9-8C906ADBE2C3}"/>
    <cellStyle name="Comma 4 2 2 4 3 2 3" xfId="11800" xr:uid="{45CE07AD-0640-4332-9000-F56B3568D512}"/>
    <cellStyle name="Comma 4 2 2 4 3 3" xfId="5434" xr:uid="{00000000-0005-0000-0000-000032080000}"/>
    <cellStyle name="Comma 4 2 2 4 3 3 2" xfId="13873" xr:uid="{6547D9AD-1FCA-4E5F-8180-2C8E6D6A0513}"/>
    <cellStyle name="Comma 4 2 2 4 3 4" xfId="9655" xr:uid="{D3CE644A-7503-47E2-B6C8-6DD9DD35A5B7}"/>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482483C3-733A-4F0B-8C39-4D945B5EFC02}"/>
    <cellStyle name="Comma 4 2 2 4 4 2 3" xfId="12213" xr:uid="{C973F182-0178-45B3-A8D7-A69D375BC085}"/>
    <cellStyle name="Comma 4 2 2 4 4 3" xfId="5847" xr:uid="{00000000-0005-0000-0000-000036080000}"/>
    <cellStyle name="Comma 4 2 2 4 4 3 2" xfId="14286" xr:uid="{EEBA6FE0-70BA-458A-92D3-20FDDAD51484}"/>
    <cellStyle name="Comma 4 2 2 4 4 4" xfId="10068" xr:uid="{E0098163-84A2-4C76-B05E-95BC1CD23043}"/>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A1BC1D91-5C84-4412-BBF6-A1EC023D29B1}"/>
    <cellStyle name="Comma 4 2 2 4 5 2 3" xfId="12626" xr:uid="{B34F64AC-89BB-491E-8AB7-EA3489B916E1}"/>
    <cellStyle name="Comma 4 2 2 4 5 3" xfId="6260" xr:uid="{00000000-0005-0000-0000-00003A080000}"/>
    <cellStyle name="Comma 4 2 2 4 5 3 2" xfId="14699" xr:uid="{47753A2B-F64F-4C20-B689-8728A8EADB34}"/>
    <cellStyle name="Comma 4 2 2 4 5 4" xfId="10481" xr:uid="{C7403D10-5394-4C87-835D-450A7031C06E}"/>
    <cellStyle name="Comma 4 2 2 4 6" xfId="2388" xr:uid="{00000000-0005-0000-0000-00003B080000}"/>
    <cellStyle name="Comma 4 2 2 4 6 2" xfId="6673" xr:uid="{00000000-0005-0000-0000-00003C080000}"/>
    <cellStyle name="Comma 4 2 2 4 6 2 2" xfId="15112" xr:uid="{E573574C-9CA7-4445-AD03-172EE2A11D98}"/>
    <cellStyle name="Comma 4 2 2 4 6 3" xfId="10894" xr:uid="{4A988C4F-4A89-436B-84AB-DD77053775BC}"/>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23F07485-4210-404B-BFE7-1605A40A5241}"/>
    <cellStyle name="Comma 4 2 2 4 8 3" xfId="11211" xr:uid="{6F1C7EEC-BC3A-415A-B363-271A232C6D9B}"/>
    <cellStyle name="Comma 4 2 2 4 9" xfId="4607" xr:uid="{00000000-0005-0000-0000-000040080000}"/>
    <cellStyle name="Comma 4 2 2 4 9 2" xfId="13046" xr:uid="{587DB16D-A1C4-4280-927A-05FB5E5458A8}"/>
    <cellStyle name="Comma 4 2 2 5" xfId="135" xr:uid="{00000000-0005-0000-0000-000041080000}"/>
    <cellStyle name="Comma 4 2 2 5 10" xfId="8829" xr:uid="{6B904EFB-AA5D-4C57-897A-74009C637DAE}"/>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E7ACC086-B857-4763-8901-4659EC99F370}"/>
    <cellStyle name="Comma 4 2 2 5 2 2 3" xfId="11388" xr:uid="{C82D2F68-8C4D-42C3-89B0-8DC599C29F80}"/>
    <cellStyle name="Comma 4 2 2 5 2 3" xfId="5022" xr:uid="{00000000-0005-0000-0000-000045080000}"/>
    <cellStyle name="Comma 4 2 2 5 2 3 2" xfId="13461" xr:uid="{A8C2A3C8-2FC4-4CFF-820F-DB219A70BA21}"/>
    <cellStyle name="Comma 4 2 2 5 2 4" xfId="9243" xr:uid="{4D994A08-F782-4485-B3ED-1C3A021FEC28}"/>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72773548-8736-4AEE-B3DF-A8199AD65946}"/>
    <cellStyle name="Comma 4 2 2 5 3 2 3" xfId="11801" xr:uid="{B01D714A-67B4-4F4F-AD53-AE057B63323C}"/>
    <cellStyle name="Comma 4 2 2 5 3 3" xfId="5435" xr:uid="{00000000-0005-0000-0000-000049080000}"/>
    <cellStyle name="Comma 4 2 2 5 3 3 2" xfId="13874" xr:uid="{A2A0ED79-A7EA-4F8F-8AAB-A424AF523D8F}"/>
    <cellStyle name="Comma 4 2 2 5 3 4" xfId="9656" xr:uid="{EE21593A-144A-43B9-9E4C-0D4DAE0700B6}"/>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D108ABCB-C819-453E-81C3-A10A15758E94}"/>
    <cellStyle name="Comma 4 2 2 5 4 2 3" xfId="12214" xr:uid="{FE86855C-7B5E-4A7A-8AFE-03C6B83A5B00}"/>
    <cellStyle name="Comma 4 2 2 5 4 3" xfId="5848" xr:uid="{00000000-0005-0000-0000-00004D080000}"/>
    <cellStyle name="Comma 4 2 2 5 4 3 2" xfId="14287" xr:uid="{5F51E163-660D-415B-9DA7-976CF6A1D380}"/>
    <cellStyle name="Comma 4 2 2 5 4 4" xfId="10069" xr:uid="{EBE4B004-B8E9-411E-A5FD-3181A4A53251}"/>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9148D32E-8F3B-49F5-91A1-DFD46A460BDF}"/>
    <cellStyle name="Comma 4 2 2 5 5 2 3" xfId="12627" xr:uid="{3A14ED17-E731-42A6-9D52-1DD139CC187B}"/>
    <cellStyle name="Comma 4 2 2 5 5 3" xfId="6261" xr:uid="{00000000-0005-0000-0000-000051080000}"/>
    <cellStyle name="Comma 4 2 2 5 5 3 2" xfId="14700" xr:uid="{4CA295CC-7E6F-4063-8DB8-89AEEA7EF894}"/>
    <cellStyle name="Comma 4 2 2 5 5 4" xfId="10482" xr:uid="{272F96AD-D575-48C0-8699-29E1C6B31B6E}"/>
    <cellStyle name="Comma 4 2 2 5 6" xfId="2389" xr:uid="{00000000-0005-0000-0000-000052080000}"/>
    <cellStyle name="Comma 4 2 2 5 6 2" xfId="6674" xr:uid="{00000000-0005-0000-0000-000053080000}"/>
    <cellStyle name="Comma 4 2 2 5 6 2 2" xfId="15113" xr:uid="{A81B13F7-E651-4FCB-9B37-225C5E246493}"/>
    <cellStyle name="Comma 4 2 2 5 6 3" xfId="10895" xr:uid="{B6BE31AF-F888-4AD1-8702-B687420831BC}"/>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CC63B933-D6AA-4EAC-A9CB-2F2610483507}"/>
    <cellStyle name="Comma 4 2 2 5 8 3" xfId="11212" xr:uid="{0F0BFD72-A5ED-49C9-B41E-564BF55400D5}"/>
    <cellStyle name="Comma 4 2 2 5 9" xfId="4608" xr:uid="{00000000-0005-0000-0000-000057080000}"/>
    <cellStyle name="Comma 4 2 2 5 9 2" xfId="13047" xr:uid="{A8BBFA63-FDA6-4B52-8902-FA3A9C365092}"/>
    <cellStyle name="Comma 4 2 3" xfId="136" xr:uid="{00000000-0005-0000-0000-000058080000}"/>
    <cellStyle name="Comma 4 2 3 10" xfId="2768" xr:uid="{00000000-0005-0000-0000-000059080000}"/>
    <cellStyle name="Comma 4 2 3 10 2" xfId="6992" xr:uid="{00000000-0005-0000-0000-00005A080000}"/>
    <cellStyle name="Comma 4 2 3 10 2 2" xfId="15431" xr:uid="{60499B08-A884-45C7-9247-9725E1B887BE}"/>
    <cellStyle name="Comma 4 2 3 10 3" xfId="11213" xr:uid="{75027911-817E-4829-9024-CB5A8A051347}"/>
    <cellStyle name="Comma 4 2 3 11" xfId="4609" xr:uid="{00000000-0005-0000-0000-00005B080000}"/>
    <cellStyle name="Comma 4 2 3 11 2" xfId="13048" xr:uid="{88B251F7-D84E-4E09-9646-D91EE1001750}"/>
    <cellStyle name="Comma 4 2 3 12" xfId="8830" xr:uid="{F285246F-45E8-4434-B950-E55F934F4B7B}"/>
    <cellStyle name="Comma 4 2 3 2" xfId="137" xr:uid="{00000000-0005-0000-0000-00005C080000}"/>
    <cellStyle name="Comma 4 2 3 2 10" xfId="4610" xr:uid="{00000000-0005-0000-0000-00005D080000}"/>
    <cellStyle name="Comma 4 2 3 2 10 2" xfId="13049" xr:uid="{9E0F9FE0-2A77-4415-8B68-F253F972A292}"/>
    <cellStyle name="Comma 4 2 3 2 11" xfId="8831" xr:uid="{1A6A0692-E177-44E6-BFC5-839797D5FB92}"/>
    <cellStyle name="Comma 4 2 3 2 2" xfId="138" xr:uid="{00000000-0005-0000-0000-00005E080000}"/>
    <cellStyle name="Comma 4 2 3 2 2 10" xfId="8832" xr:uid="{EEE52395-D4E2-46AE-9C08-B5787699CC7B}"/>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93A3CE4C-FBF2-40F3-BB96-B71D651967A4}"/>
    <cellStyle name="Comma 4 2 3 2 2 2 2 3" xfId="11391" xr:uid="{68E5D63C-A1CA-4FFA-A83D-2975A8C5FD33}"/>
    <cellStyle name="Comma 4 2 3 2 2 2 3" xfId="5025" xr:uid="{00000000-0005-0000-0000-000062080000}"/>
    <cellStyle name="Comma 4 2 3 2 2 2 3 2" xfId="13464" xr:uid="{51C56AC9-A020-4925-A75F-37F19BD43FF0}"/>
    <cellStyle name="Comma 4 2 3 2 2 2 4" xfId="9246" xr:uid="{6A100D1D-AFB5-4F38-9FF2-E178E5637F9E}"/>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B7945D9B-1A20-4CFD-BE19-B3F75E014BB1}"/>
    <cellStyle name="Comma 4 2 3 2 2 3 2 3" xfId="11804" xr:uid="{708002CC-B7AD-4038-A5DB-EF3A5602D283}"/>
    <cellStyle name="Comma 4 2 3 2 2 3 3" xfId="5438" xr:uid="{00000000-0005-0000-0000-000066080000}"/>
    <cellStyle name="Comma 4 2 3 2 2 3 3 2" xfId="13877" xr:uid="{9379DC61-621D-4017-B0DB-B6E4704CC40E}"/>
    <cellStyle name="Comma 4 2 3 2 2 3 4" xfId="9659" xr:uid="{A73DE3F9-8743-4FC1-997B-E9B1EA0658DF}"/>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1788F172-7C16-4111-8458-789BDC8E2529}"/>
    <cellStyle name="Comma 4 2 3 2 2 4 2 3" xfId="12217" xr:uid="{2DAD590E-D1EE-4FC8-B29A-4465EF4E1172}"/>
    <cellStyle name="Comma 4 2 3 2 2 4 3" xfId="5851" xr:uid="{00000000-0005-0000-0000-00006A080000}"/>
    <cellStyle name="Comma 4 2 3 2 2 4 3 2" xfId="14290" xr:uid="{99F4E46D-12E2-4802-846A-1716AB80F6B3}"/>
    <cellStyle name="Comma 4 2 3 2 2 4 4" xfId="10072" xr:uid="{EB1231B5-7DF1-4F76-8182-0208373C7B39}"/>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DCADEA47-A4C3-4C2A-8E38-EFF99C085ED1}"/>
    <cellStyle name="Comma 4 2 3 2 2 5 2 3" xfId="12630" xr:uid="{A708B9D8-E8F5-4CAF-AB1D-EC32AB5C8608}"/>
    <cellStyle name="Comma 4 2 3 2 2 5 3" xfId="6264" xr:uid="{00000000-0005-0000-0000-00006E080000}"/>
    <cellStyle name="Comma 4 2 3 2 2 5 3 2" xfId="14703" xr:uid="{0B7A3703-0751-43F1-9C9B-C2A89EB76077}"/>
    <cellStyle name="Comma 4 2 3 2 2 5 4" xfId="10485" xr:uid="{9A8D3819-65A7-4190-84F2-68633F4C939D}"/>
    <cellStyle name="Comma 4 2 3 2 2 6" xfId="2392" xr:uid="{00000000-0005-0000-0000-00006F080000}"/>
    <cellStyle name="Comma 4 2 3 2 2 6 2" xfId="6677" xr:uid="{00000000-0005-0000-0000-000070080000}"/>
    <cellStyle name="Comma 4 2 3 2 2 6 2 2" xfId="15116" xr:uid="{5FD36163-F96A-42A4-A04F-F27607F8F490}"/>
    <cellStyle name="Comma 4 2 3 2 2 6 3" xfId="10898" xr:uid="{E693691A-1310-4851-B788-3005DDA4A664}"/>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6FF3A4FF-92B8-4020-A91A-05832E8CEF0A}"/>
    <cellStyle name="Comma 4 2 3 2 2 8 3" xfId="11215" xr:uid="{48992FFA-4C6D-4343-94A7-BE0943D0D630}"/>
    <cellStyle name="Comma 4 2 3 2 2 9" xfId="4611" xr:uid="{00000000-0005-0000-0000-000074080000}"/>
    <cellStyle name="Comma 4 2 3 2 2 9 2" xfId="13050" xr:uid="{34C41B00-5F73-4927-8044-A8973BFB4A42}"/>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38790B59-E8CD-44D3-9B9F-38E7FBFCFA0E}"/>
    <cellStyle name="Comma 4 2 3 2 3 2 3" xfId="11390" xr:uid="{5952FC4A-F0CE-4582-BFD8-F9A82C21A058}"/>
    <cellStyle name="Comma 4 2 3 2 3 3" xfId="5024" xr:uid="{00000000-0005-0000-0000-000078080000}"/>
    <cellStyle name="Comma 4 2 3 2 3 3 2" xfId="13463" xr:uid="{A557ED98-7E1E-472F-AA5B-90C9E96D44B3}"/>
    <cellStyle name="Comma 4 2 3 2 3 4" xfId="9245" xr:uid="{7F867A61-F8BA-41E3-873C-9C5119002DBE}"/>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71D80CD9-474C-474D-9D0F-6791037725E4}"/>
    <cellStyle name="Comma 4 2 3 2 4 2 3" xfId="11803" xr:uid="{FEEB92D7-3FC6-4F67-975C-AA9E6FE3F2FD}"/>
    <cellStyle name="Comma 4 2 3 2 4 3" xfId="5437" xr:uid="{00000000-0005-0000-0000-00007C080000}"/>
    <cellStyle name="Comma 4 2 3 2 4 3 2" xfId="13876" xr:uid="{1752119D-DCAB-4844-9ADC-646CEF43DE5A}"/>
    <cellStyle name="Comma 4 2 3 2 4 4" xfId="9658" xr:uid="{1862164B-90C4-447A-9B48-5063AE86F3DA}"/>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CC62ACC6-8B87-459D-820C-FB482F031CB9}"/>
    <cellStyle name="Comma 4 2 3 2 5 2 3" xfId="12216" xr:uid="{A1F59FCD-03C0-4CFD-B953-810955FFDA28}"/>
    <cellStyle name="Comma 4 2 3 2 5 3" xfId="5850" xr:uid="{00000000-0005-0000-0000-000080080000}"/>
    <cellStyle name="Comma 4 2 3 2 5 3 2" xfId="14289" xr:uid="{FF7E6897-BF6A-41B6-A3DB-7C6465E708A0}"/>
    <cellStyle name="Comma 4 2 3 2 5 4" xfId="10071" xr:uid="{0109D8B4-A8BB-40B2-B569-587472A8A799}"/>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DDBDD9E0-8141-44FF-987A-DCCB37831314}"/>
    <cellStyle name="Comma 4 2 3 2 6 2 3" xfId="12629" xr:uid="{76EBEE71-D9DD-443C-83A7-FACBE94EE938}"/>
    <cellStyle name="Comma 4 2 3 2 6 3" xfId="6263" xr:uid="{00000000-0005-0000-0000-000084080000}"/>
    <cellStyle name="Comma 4 2 3 2 6 3 2" xfId="14702" xr:uid="{90B2756B-1930-41D7-8CE1-59415AC6B08B}"/>
    <cellStyle name="Comma 4 2 3 2 6 4" xfId="10484" xr:uid="{289F5DC5-5CA2-4BE0-BD4C-48894D79F1F0}"/>
    <cellStyle name="Comma 4 2 3 2 7" xfId="2391" xr:uid="{00000000-0005-0000-0000-000085080000}"/>
    <cellStyle name="Comma 4 2 3 2 7 2" xfId="6676" xr:uid="{00000000-0005-0000-0000-000086080000}"/>
    <cellStyle name="Comma 4 2 3 2 7 2 2" xfId="15115" xr:uid="{FF32DFFF-F3C8-474C-B71E-4A50B54544FA}"/>
    <cellStyle name="Comma 4 2 3 2 7 3" xfId="10897" xr:uid="{22C9782A-49D9-4A72-82E4-9FA1F47FAF8E}"/>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BF699B26-FD3B-4E37-AB40-A6973D78571F}"/>
    <cellStyle name="Comma 4 2 3 2 9 3" xfId="11214" xr:uid="{D7D5250D-DCFD-4C7B-947A-8358EA5CD93E}"/>
    <cellStyle name="Comma 4 2 3 3" xfId="139" xr:uid="{00000000-0005-0000-0000-00008A080000}"/>
    <cellStyle name="Comma 4 2 3 3 10" xfId="8833" xr:uid="{F487FC02-CC14-4ECA-BD6E-255B9FA2A0FE}"/>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6B83805B-139D-486D-B091-2C53A7C325EB}"/>
    <cellStyle name="Comma 4 2 3 3 2 2 3" xfId="11392" xr:uid="{E98BB6F1-AB54-4C85-9C60-DE5F58E90351}"/>
    <cellStyle name="Comma 4 2 3 3 2 3" xfId="5026" xr:uid="{00000000-0005-0000-0000-00008E080000}"/>
    <cellStyle name="Comma 4 2 3 3 2 3 2" xfId="13465" xr:uid="{063B442E-C0FF-4BD9-9786-D1B25E72A307}"/>
    <cellStyle name="Comma 4 2 3 3 2 4" xfId="9247" xr:uid="{A1B01637-4F1B-4286-9320-66C27952941F}"/>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ED87FA20-996E-469E-BC3D-CDAB462B15DA}"/>
    <cellStyle name="Comma 4 2 3 3 3 2 3" xfId="11805" xr:uid="{06D4C17A-262F-4AF5-A99D-A6B7AA7EE727}"/>
    <cellStyle name="Comma 4 2 3 3 3 3" xfId="5439" xr:uid="{00000000-0005-0000-0000-000092080000}"/>
    <cellStyle name="Comma 4 2 3 3 3 3 2" xfId="13878" xr:uid="{ABB47A77-3822-4075-9BE9-B82099BEA0CC}"/>
    <cellStyle name="Comma 4 2 3 3 3 4" xfId="9660" xr:uid="{C1A73086-4C8B-4B88-B14E-AE0B8BDBA655}"/>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43B4655A-4CAB-445A-8E36-302643C4D760}"/>
    <cellStyle name="Comma 4 2 3 3 4 2 3" xfId="12218" xr:uid="{EF7806EE-12A5-46F1-84E7-953E97F537FB}"/>
    <cellStyle name="Comma 4 2 3 3 4 3" xfId="5852" xr:uid="{00000000-0005-0000-0000-000096080000}"/>
    <cellStyle name="Comma 4 2 3 3 4 3 2" xfId="14291" xr:uid="{17AAF62E-BFA4-4665-A289-CB9273ADC5E0}"/>
    <cellStyle name="Comma 4 2 3 3 4 4" xfId="10073" xr:uid="{EEDE4C60-4C41-446A-B490-7531ED77951B}"/>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89CD4B39-B261-43D5-8341-2D087D856D19}"/>
    <cellStyle name="Comma 4 2 3 3 5 2 3" xfId="12631" xr:uid="{F39E3A1C-C1E8-4A86-8850-5F10505DBC2D}"/>
    <cellStyle name="Comma 4 2 3 3 5 3" xfId="6265" xr:uid="{00000000-0005-0000-0000-00009A080000}"/>
    <cellStyle name="Comma 4 2 3 3 5 3 2" xfId="14704" xr:uid="{FD8E6ECF-D6AB-42E7-BFCC-1D377AA68AAD}"/>
    <cellStyle name="Comma 4 2 3 3 5 4" xfId="10486" xr:uid="{0CA2C641-CFCE-4587-83A8-B54044937376}"/>
    <cellStyle name="Comma 4 2 3 3 6" xfId="2393" xr:uid="{00000000-0005-0000-0000-00009B080000}"/>
    <cellStyle name="Comma 4 2 3 3 6 2" xfId="6678" xr:uid="{00000000-0005-0000-0000-00009C080000}"/>
    <cellStyle name="Comma 4 2 3 3 6 2 2" xfId="15117" xr:uid="{BFC5093F-D376-4B07-841F-5BFCBA197702}"/>
    <cellStyle name="Comma 4 2 3 3 6 3" xfId="10899" xr:uid="{4592D7D0-B0FE-4FC9-B4C5-4F53101D390E}"/>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5534303C-ADF7-4147-B8ED-CBD618C4AF78}"/>
    <cellStyle name="Comma 4 2 3 3 8 3" xfId="11216" xr:uid="{DC257654-51F7-46C3-875A-516A051DEE1C}"/>
    <cellStyle name="Comma 4 2 3 3 9" xfId="4612" xr:uid="{00000000-0005-0000-0000-0000A0080000}"/>
    <cellStyle name="Comma 4 2 3 3 9 2" xfId="13051" xr:uid="{C31D9A8D-3F49-4394-95CF-B6FBB3086A39}"/>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841B40DA-35E5-46A7-A18C-39CC942D964A}"/>
    <cellStyle name="Comma 4 2 3 4 2 3" xfId="11389" xr:uid="{157CC0C6-9746-447B-B3A5-A9278BE2206E}"/>
    <cellStyle name="Comma 4 2 3 4 3" xfId="5023" xr:uid="{00000000-0005-0000-0000-0000A4080000}"/>
    <cellStyle name="Comma 4 2 3 4 3 2" xfId="13462" xr:uid="{B9B8AB0C-9853-4DBD-B46B-3253484F3378}"/>
    <cellStyle name="Comma 4 2 3 4 4" xfId="9244" xr:uid="{0B3620C6-362E-47C2-B11D-6DEDAFC6FB09}"/>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BA6E48A8-F5FB-4828-B153-E5D36AC9FFB8}"/>
    <cellStyle name="Comma 4 2 3 5 2 3" xfId="11802" xr:uid="{8093BB79-2845-46C3-A0AA-F9FD11D6D38D}"/>
    <cellStyle name="Comma 4 2 3 5 3" xfId="5436" xr:uid="{00000000-0005-0000-0000-0000A8080000}"/>
    <cellStyle name="Comma 4 2 3 5 3 2" xfId="13875" xr:uid="{2FBE77D7-3065-4898-B8B8-243AC2408742}"/>
    <cellStyle name="Comma 4 2 3 5 4" xfId="9657" xr:uid="{E2115809-64D3-4E6F-ADDA-EF00E5540F48}"/>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13A93B67-51A5-4B44-97B3-92CCB7C04053}"/>
    <cellStyle name="Comma 4 2 3 6 2 3" xfId="12215" xr:uid="{4F40CDC1-AD7A-4764-B2CF-6725BF126672}"/>
    <cellStyle name="Comma 4 2 3 6 3" xfId="5849" xr:uid="{00000000-0005-0000-0000-0000AC080000}"/>
    <cellStyle name="Comma 4 2 3 6 3 2" xfId="14288" xr:uid="{57234ACF-A2A0-4B5F-80ED-36495AF22BE6}"/>
    <cellStyle name="Comma 4 2 3 6 4" xfId="10070" xr:uid="{CB5EF814-1C2A-4D92-89C1-6D9A360C2707}"/>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04949C10-E2A8-47D9-9FE7-5F933F78A577}"/>
    <cellStyle name="Comma 4 2 3 7 2 3" xfId="12628" xr:uid="{D705C8EB-742B-4992-92C8-C05E2B173A0C}"/>
    <cellStyle name="Comma 4 2 3 7 3" xfId="6262" xr:uid="{00000000-0005-0000-0000-0000B0080000}"/>
    <cellStyle name="Comma 4 2 3 7 3 2" xfId="14701" xr:uid="{D1A2D7FE-6ECF-45AF-8F90-C2A748916B4E}"/>
    <cellStyle name="Comma 4 2 3 7 4" xfId="10483" xr:uid="{F9A607AD-BEBD-4832-8C0D-881E15B6CCFF}"/>
    <cellStyle name="Comma 4 2 3 8" xfId="2390" xr:uid="{00000000-0005-0000-0000-0000B1080000}"/>
    <cellStyle name="Comma 4 2 3 8 2" xfId="6675" xr:uid="{00000000-0005-0000-0000-0000B2080000}"/>
    <cellStyle name="Comma 4 2 3 8 2 2" xfId="15114" xr:uid="{DE718A6F-3BC5-496C-87B4-6A0E628EB501}"/>
    <cellStyle name="Comma 4 2 3 8 3" xfId="10896" xr:uid="{9964F00C-2A32-4410-BD81-FDFB5DE3F563}"/>
    <cellStyle name="Comma 4 2 3 9" xfId="2373" xr:uid="{00000000-0005-0000-0000-0000B3080000}"/>
    <cellStyle name="Comma 4 2 4" xfId="140" xr:uid="{00000000-0005-0000-0000-0000B4080000}"/>
    <cellStyle name="Comma 4 2 4 10" xfId="4613" xr:uid="{00000000-0005-0000-0000-0000B5080000}"/>
    <cellStyle name="Comma 4 2 4 10 2" xfId="13052" xr:uid="{BE47716D-F87D-44E9-A116-AB272837EBEA}"/>
    <cellStyle name="Comma 4 2 4 11" xfId="8834" xr:uid="{A92BDB65-DA5A-4A6D-9020-E7FFFACA44A8}"/>
    <cellStyle name="Comma 4 2 4 2" xfId="141" xr:uid="{00000000-0005-0000-0000-0000B6080000}"/>
    <cellStyle name="Comma 4 2 4 2 10" xfId="8835" xr:uid="{8ECF8BBE-DCE5-4013-9175-B7A8B5982EEA}"/>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C5789FE1-6E7E-48B3-BD89-9A6F585CB916}"/>
    <cellStyle name="Comma 4 2 4 2 2 2 3" xfId="11394" xr:uid="{E142B13F-8ED5-459A-B79A-8D41E643B45F}"/>
    <cellStyle name="Comma 4 2 4 2 2 3" xfId="5028" xr:uid="{00000000-0005-0000-0000-0000BA080000}"/>
    <cellStyle name="Comma 4 2 4 2 2 3 2" xfId="13467" xr:uid="{27612EC8-A53A-49A7-A22D-E61DB418F666}"/>
    <cellStyle name="Comma 4 2 4 2 2 4" xfId="9249" xr:uid="{F67B052F-2D95-4FCD-A50F-423544EEEEFD}"/>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40B04C86-EA14-49AC-964B-31CA73A71810}"/>
    <cellStyle name="Comma 4 2 4 2 3 2 3" xfId="11807" xr:uid="{CF1A5FA8-5710-4A47-9D22-118213579518}"/>
    <cellStyle name="Comma 4 2 4 2 3 3" xfId="5441" xr:uid="{00000000-0005-0000-0000-0000BE080000}"/>
    <cellStyle name="Comma 4 2 4 2 3 3 2" xfId="13880" xr:uid="{92CB67A2-15F3-416D-B8A6-B2AACC33F3DC}"/>
    <cellStyle name="Comma 4 2 4 2 3 4" xfId="9662" xr:uid="{0FE78461-DF6D-4E3A-A022-A839849586F8}"/>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ABDBA05F-634F-4980-8EB2-636F18C76E22}"/>
    <cellStyle name="Comma 4 2 4 2 4 2 3" xfId="12220" xr:uid="{0C1A0045-8BF3-4F23-9E70-8A851A1638AC}"/>
    <cellStyle name="Comma 4 2 4 2 4 3" xfId="5854" xr:uid="{00000000-0005-0000-0000-0000C2080000}"/>
    <cellStyle name="Comma 4 2 4 2 4 3 2" xfId="14293" xr:uid="{708CB224-18C6-48E3-9908-9D8FC1F84160}"/>
    <cellStyle name="Comma 4 2 4 2 4 4" xfId="10075" xr:uid="{ECA9C209-FB10-4C89-AAD3-70E1E95BD2BA}"/>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5034133C-4905-4D60-8547-0C3C9A1C2111}"/>
    <cellStyle name="Comma 4 2 4 2 5 2 3" xfId="12633" xr:uid="{93C62F50-F829-41EB-A0B2-67F9DE43EE3B}"/>
    <cellStyle name="Comma 4 2 4 2 5 3" xfId="6267" xr:uid="{00000000-0005-0000-0000-0000C6080000}"/>
    <cellStyle name="Comma 4 2 4 2 5 3 2" xfId="14706" xr:uid="{EF36C395-9CF7-43A4-8EF7-3C34ED0CD07C}"/>
    <cellStyle name="Comma 4 2 4 2 5 4" xfId="10488" xr:uid="{0F854537-98D4-4684-99AB-4678F59C84F7}"/>
    <cellStyle name="Comma 4 2 4 2 6" xfId="2395" xr:uid="{00000000-0005-0000-0000-0000C7080000}"/>
    <cellStyle name="Comma 4 2 4 2 6 2" xfId="6680" xr:uid="{00000000-0005-0000-0000-0000C8080000}"/>
    <cellStyle name="Comma 4 2 4 2 6 2 2" xfId="15119" xr:uid="{AF9D4588-EE78-4EAA-8784-CE241D08C878}"/>
    <cellStyle name="Comma 4 2 4 2 6 3" xfId="10901" xr:uid="{C084547C-6E9D-4322-9C09-841E22B79636}"/>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DB329424-8307-4622-BFFD-8CB540FD029D}"/>
    <cellStyle name="Comma 4 2 4 2 8 3" xfId="11218" xr:uid="{A32F3C11-89A8-4325-8D12-A873F5429301}"/>
    <cellStyle name="Comma 4 2 4 2 9" xfId="4614" xr:uid="{00000000-0005-0000-0000-0000CC080000}"/>
    <cellStyle name="Comma 4 2 4 2 9 2" xfId="13053" xr:uid="{BAF4D9D8-E024-46F5-A765-BBCF3E2AB355}"/>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3B0976A3-1C76-41A0-8573-39124E92DD19}"/>
    <cellStyle name="Comma 4 2 4 3 2 3" xfId="11393" xr:uid="{1119C0DB-1E7B-4AE0-8107-59491402EDA0}"/>
    <cellStyle name="Comma 4 2 4 3 3" xfId="5027" xr:uid="{00000000-0005-0000-0000-0000D0080000}"/>
    <cellStyle name="Comma 4 2 4 3 3 2" xfId="13466" xr:uid="{E0B096AE-78BE-4D6B-9F1E-65D57095F9CD}"/>
    <cellStyle name="Comma 4 2 4 3 4" xfId="9248" xr:uid="{6B9828E6-D258-4734-91AA-049FE7227C58}"/>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162E3119-81E6-4896-B856-95A466EA4B40}"/>
    <cellStyle name="Comma 4 2 4 4 2 3" xfId="11806" xr:uid="{3FF682E0-D237-46D8-BD38-40901B0491C1}"/>
    <cellStyle name="Comma 4 2 4 4 3" xfId="5440" xr:uid="{00000000-0005-0000-0000-0000D4080000}"/>
    <cellStyle name="Comma 4 2 4 4 3 2" xfId="13879" xr:uid="{CEA03F0A-923D-45C2-819C-8AE9836FB8B8}"/>
    <cellStyle name="Comma 4 2 4 4 4" xfId="9661" xr:uid="{0DAEE032-CB76-40D7-959B-499ACC8D5791}"/>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FC3B85EE-A7EA-4A57-8194-044AAE9D6CB2}"/>
    <cellStyle name="Comma 4 2 4 5 2 3" xfId="12219" xr:uid="{39F0DB87-B34C-4EE8-853B-BA862CD871CB}"/>
    <cellStyle name="Comma 4 2 4 5 3" xfId="5853" xr:uid="{00000000-0005-0000-0000-0000D8080000}"/>
    <cellStyle name="Comma 4 2 4 5 3 2" xfId="14292" xr:uid="{AA6B644C-06D4-42E5-92CC-BC10D150C10C}"/>
    <cellStyle name="Comma 4 2 4 5 4" xfId="10074" xr:uid="{49B8C6E2-B65C-414A-9FA5-6AAEFEE1A6D4}"/>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0E5218BD-0DC3-40A6-90B0-59605173CFA0}"/>
    <cellStyle name="Comma 4 2 4 6 2 3" xfId="12632" xr:uid="{494D00D4-248C-4752-9054-7506AF3AB417}"/>
    <cellStyle name="Comma 4 2 4 6 3" xfId="6266" xr:uid="{00000000-0005-0000-0000-0000DC080000}"/>
    <cellStyle name="Comma 4 2 4 6 3 2" xfId="14705" xr:uid="{6F1ACFB9-ED74-478C-B443-631F0B7C23D5}"/>
    <cellStyle name="Comma 4 2 4 6 4" xfId="10487" xr:uid="{CFCCB308-8E2A-43CC-8890-DAEC2DA80A03}"/>
    <cellStyle name="Comma 4 2 4 7" xfId="2394" xr:uid="{00000000-0005-0000-0000-0000DD080000}"/>
    <cellStyle name="Comma 4 2 4 7 2" xfId="6679" xr:uid="{00000000-0005-0000-0000-0000DE080000}"/>
    <cellStyle name="Comma 4 2 4 7 2 2" xfId="15118" xr:uid="{4CC4D20A-6C2C-44D4-A984-451D3AE17535}"/>
    <cellStyle name="Comma 4 2 4 7 3" xfId="10900" xr:uid="{1725C75E-D202-477A-A1DA-630F06C2D278}"/>
    <cellStyle name="Comma 4 2 4 8" xfId="2369" xr:uid="{00000000-0005-0000-0000-0000DF080000}"/>
    <cellStyle name="Comma 4 2 4 9" xfId="2772" xr:uid="{00000000-0005-0000-0000-0000E0080000}"/>
    <cellStyle name="Comma 4 2 4 9 2" xfId="6996" xr:uid="{00000000-0005-0000-0000-0000E1080000}"/>
    <cellStyle name="Comma 4 2 4 9 2 2" xfId="15435" xr:uid="{FF4E0367-C7FB-4A55-A39B-3C9091AC505D}"/>
    <cellStyle name="Comma 4 2 4 9 3" xfId="11217" xr:uid="{586D4D15-C2FB-4EB3-81B3-046501B312AE}"/>
    <cellStyle name="Comma 4 2 5" xfId="142" xr:uid="{00000000-0005-0000-0000-0000E2080000}"/>
    <cellStyle name="Comma 4 2 5 10" xfId="8836" xr:uid="{3A485CF8-6FEC-4CB8-992E-A71FD21590A2}"/>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02A2CBDC-21A8-45B8-B12F-43B1085832D5}"/>
    <cellStyle name="Comma 4 2 5 2 2 3" xfId="11395" xr:uid="{E4A85744-EED7-46FC-B02D-2603908386F5}"/>
    <cellStyle name="Comma 4 2 5 2 3" xfId="5029" xr:uid="{00000000-0005-0000-0000-0000E6080000}"/>
    <cellStyle name="Comma 4 2 5 2 3 2" xfId="13468" xr:uid="{B47C57EF-D35A-49DB-9CD4-A2A242351B8C}"/>
    <cellStyle name="Comma 4 2 5 2 4" xfId="9250" xr:uid="{A2203B65-EF00-4FA0-8219-2E254C679ABD}"/>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44C68C68-FF00-4B36-BCE5-C9A5573D5BFB}"/>
    <cellStyle name="Comma 4 2 5 3 2 3" xfId="11808" xr:uid="{A06E90EF-6DF3-4A9B-8FD6-07AEB1AADFFC}"/>
    <cellStyle name="Comma 4 2 5 3 3" xfId="5442" xr:uid="{00000000-0005-0000-0000-0000EA080000}"/>
    <cellStyle name="Comma 4 2 5 3 3 2" xfId="13881" xr:uid="{33A17D15-E9C5-4B4F-833F-95375E82095A}"/>
    <cellStyle name="Comma 4 2 5 3 4" xfId="9663" xr:uid="{9795D531-F155-4096-BD0B-1716ACDDB324}"/>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B6CBE3BE-6F04-4162-935D-33498405EABA}"/>
    <cellStyle name="Comma 4 2 5 4 2 3" xfId="12221" xr:uid="{8B5E823F-DAE7-415A-A7BF-098C6E1F1D1D}"/>
    <cellStyle name="Comma 4 2 5 4 3" xfId="5855" xr:uid="{00000000-0005-0000-0000-0000EE080000}"/>
    <cellStyle name="Comma 4 2 5 4 3 2" xfId="14294" xr:uid="{155EFD14-82C8-4D2E-96A8-B0DAAB5133C9}"/>
    <cellStyle name="Comma 4 2 5 4 4" xfId="10076" xr:uid="{F9D03EA3-6457-43C2-AAEB-B459E4B4BEE6}"/>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38867394-CD46-4CEA-9B3F-9BEF0BAC50A1}"/>
    <cellStyle name="Comma 4 2 5 5 2 3" xfId="12634" xr:uid="{1EC09221-63A0-4644-B85A-481E746156C2}"/>
    <cellStyle name="Comma 4 2 5 5 3" xfId="6268" xr:uid="{00000000-0005-0000-0000-0000F2080000}"/>
    <cellStyle name="Comma 4 2 5 5 3 2" xfId="14707" xr:uid="{35DA2FDE-5A88-44DA-8B78-DF5B8C6D4B88}"/>
    <cellStyle name="Comma 4 2 5 5 4" xfId="10489" xr:uid="{5EB01F21-1D50-4510-8954-EDAFF3E92FF8}"/>
    <cellStyle name="Comma 4 2 5 6" xfId="2396" xr:uid="{00000000-0005-0000-0000-0000F3080000}"/>
    <cellStyle name="Comma 4 2 5 6 2" xfId="6681" xr:uid="{00000000-0005-0000-0000-0000F4080000}"/>
    <cellStyle name="Comma 4 2 5 6 2 2" xfId="15120" xr:uid="{A8D0E647-8F68-4873-8B4E-84234EF4F4BD}"/>
    <cellStyle name="Comma 4 2 5 6 3" xfId="10902" xr:uid="{CCAC4129-9F75-4680-A993-92E39474D6E5}"/>
    <cellStyle name="Comma 4 2 5 7" xfId="2367" xr:uid="{00000000-0005-0000-0000-0000F5080000}"/>
    <cellStyle name="Comma 4 2 5 8" xfId="2774" xr:uid="{00000000-0005-0000-0000-0000F6080000}"/>
    <cellStyle name="Comma 4 2 5 8 2" xfId="6998" xr:uid="{00000000-0005-0000-0000-0000F7080000}"/>
    <cellStyle name="Comma 4 2 5 8 2 2" xfId="15437" xr:uid="{5F05FEB9-2FBC-4171-B7DA-65C56E397D1A}"/>
    <cellStyle name="Comma 4 2 5 8 3" xfId="11219" xr:uid="{D71E31B2-73C2-4FD1-944B-CF29975F1D72}"/>
    <cellStyle name="Comma 4 2 5 9" xfId="4615" xr:uid="{00000000-0005-0000-0000-0000F8080000}"/>
    <cellStyle name="Comma 4 2 5 9 2" xfId="13054" xr:uid="{DADA200D-2236-4517-83A2-7D1FAB68FCC5}"/>
    <cellStyle name="Comma 4 2 6" xfId="143" xr:uid="{00000000-0005-0000-0000-0000F9080000}"/>
    <cellStyle name="Comma 4 2 6 10" xfId="8837" xr:uid="{5190EA8A-E1B8-4570-8B2A-A1EFBB6F800A}"/>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F538016B-464D-44A2-9F89-E723D4C4D9DD}"/>
    <cellStyle name="Comma 4 2 6 2 2 3" xfId="11396" xr:uid="{4A78D921-CF06-4CFC-8C08-2C5A49D019A3}"/>
    <cellStyle name="Comma 4 2 6 2 3" xfId="5030" xr:uid="{00000000-0005-0000-0000-0000FD080000}"/>
    <cellStyle name="Comma 4 2 6 2 3 2" xfId="13469" xr:uid="{C3CC0D9E-41DD-45FD-9942-AA8010F40CC9}"/>
    <cellStyle name="Comma 4 2 6 2 4" xfId="9251" xr:uid="{1584D065-206C-4535-92B3-51D6E83F4173}"/>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7AE272F9-8907-47A2-888A-4ACC79E384CB}"/>
    <cellStyle name="Comma 4 2 6 3 2 3" xfId="11809" xr:uid="{264E8B23-E87D-44D2-B225-A1B52C9ADA31}"/>
    <cellStyle name="Comma 4 2 6 3 3" xfId="5443" xr:uid="{00000000-0005-0000-0000-000001090000}"/>
    <cellStyle name="Comma 4 2 6 3 3 2" xfId="13882" xr:uid="{421BEF96-3F3B-4B7F-839E-AC97A938D8A8}"/>
    <cellStyle name="Comma 4 2 6 3 4" xfId="9664" xr:uid="{A7314FB6-8C03-4D7E-8A70-63E9A0F25668}"/>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51FDED35-24EA-4563-A758-0C596B466834}"/>
    <cellStyle name="Comma 4 2 6 4 2 3" xfId="12222" xr:uid="{291E342D-4DF2-4A1A-AC66-6B9CEB88F244}"/>
    <cellStyle name="Comma 4 2 6 4 3" xfId="5856" xr:uid="{00000000-0005-0000-0000-000005090000}"/>
    <cellStyle name="Comma 4 2 6 4 3 2" xfId="14295" xr:uid="{4650EE86-05AF-4D47-B487-F183825F73BC}"/>
    <cellStyle name="Comma 4 2 6 4 4" xfId="10077" xr:uid="{1D997DFC-5A3F-46A2-9B9E-F4FCE5BCCAAE}"/>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14E4DE21-342F-40A0-A016-8A18B3EB9C0E}"/>
    <cellStyle name="Comma 4 2 6 5 2 3" xfId="12635" xr:uid="{D0AA2472-F0B3-4D23-A16B-D2AC29276A2C}"/>
    <cellStyle name="Comma 4 2 6 5 3" xfId="6269" xr:uid="{00000000-0005-0000-0000-000009090000}"/>
    <cellStyle name="Comma 4 2 6 5 3 2" xfId="14708" xr:uid="{C34777F0-E74C-4706-B942-617EC89AEFEA}"/>
    <cellStyle name="Comma 4 2 6 5 4" xfId="10490" xr:uid="{7F384E5E-C4FD-4490-8260-D9FFBFAACDE6}"/>
    <cellStyle name="Comma 4 2 6 6" xfId="2397" xr:uid="{00000000-0005-0000-0000-00000A090000}"/>
    <cellStyle name="Comma 4 2 6 6 2" xfId="6682" xr:uid="{00000000-0005-0000-0000-00000B090000}"/>
    <cellStyle name="Comma 4 2 6 6 2 2" xfId="15121" xr:uid="{9791EE97-8CB9-4C8D-B04F-D214779A9B1C}"/>
    <cellStyle name="Comma 4 2 6 6 3" xfId="10903" xr:uid="{CB4E9CEE-AC4D-4E01-BBCD-B5A2A42ED70E}"/>
    <cellStyle name="Comma 4 2 6 7" xfId="2366" xr:uid="{00000000-0005-0000-0000-00000C090000}"/>
    <cellStyle name="Comma 4 2 6 8" xfId="2775" xr:uid="{00000000-0005-0000-0000-00000D090000}"/>
    <cellStyle name="Comma 4 2 6 8 2" xfId="6999" xr:uid="{00000000-0005-0000-0000-00000E090000}"/>
    <cellStyle name="Comma 4 2 6 8 2 2" xfId="15438" xr:uid="{6DDF6118-23FC-4F2B-AF5F-E213D88244F7}"/>
    <cellStyle name="Comma 4 2 6 8 3" xfId="11220" xr:uid="{25243C07-C90B-434D-B241-272E289ACF7A}"/>
    <cellStyle name="Comma 4 2 6 9" xfId="4616" xr:uid="{00000000-0005-0000-0000-00000F090000}"/>
    <cellStyle name="Comma 4 2 6 9 2" xfId="13055" xr:uid="{F88C3510-F6E6-405C-A545-543392A05E0D}"/>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6435C3A4-2B15-4773-BA93-C6C4DF100B4F}"/>
    <cellStyle name="Comma 4 3 2 10 3" xfId="11221" xr:uid="{5F6E0AE4-D115-429B-B380-823D005D7A12}"/>
    <cellStyle name="Comma 4 3 2 11" xfId="4617" xr:uid="{00000000-0005-0000-0000-000014090000}"/>
    <cellStyle name="Comma 4 3 2 11 2" xfId="13056" xr:uid="{A7687E78-F003-4286-8821-6E1A6138D055}"/>
    <cellStyle name="Comma 4 3 2 12" xfId="8838" xr:uid="{841883D1-78BF-4B90-BB7D-171045142BC6}"/>
    <cellStyle name="Comma 4 3 2 2" xfId="146" xr:uid="{00000000-0005-0000-0000-000015090000}"/>
    <cellStyle name="Comma 4 3 2 2 10" xfId="4618" xr:uid="{00000000-0005-0000-0000-000016090000}"/>
    <cellStyle name="Comma 4 3 2 2 10 2" xfId="13057" xr:uid="{AE06B086-AB1E-43E7-B8CA-346DBDFD3D41}"/>
    <cellStyle name="Comma 4 3 2 2 11" xfId="8839" xr:uid="{4781F961-2B95-45C0-8449-2BFAA317F8BF}"/>
    <cellStyle name="Comma 4 3 2 2 2" xfId="147" xr:uid="{00000000-0005-0000-0000-000017090000}"/>
    <cellStyle name="Comma 4 3 2 2 2 10" xfId="8840" xr:uid="{08546752-EFCE-4C6D-A03B-6A6A172B7798}"/>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792BB2AF-2798-49F2-88DE-00FED29FAE63}"/>
    <cellStyle name="Comma 4 3 2 2 2 2 2 3" xfId="11399" xr:uid="{2340A080-5F9B-4AD5-8BB0-74DA35143CC0}"/>
    <cellStyle name="Comma 4 3 2 2 2 2 3" xfId="5033" xr:uid="{00000000-0005-0000-0000-00001B090000}"/>
    <cellStyle name="Comma 4 3 2 2 2 2 3 2" xfId="13472" xr:uid="{8B65A88C-D1A5-4179-9CAE-1E502BEDCDD2}"/>
    <cellStyle name="Comma 4 3 2 2 2 2 4" xfId="9254" xr:uid="{14BC7FC3-F290-4E4D-99DF-1A94B44F77A4}"/>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C9CD6D5C-E0F8-4859-B16C-3EDC96235735}"/>
    <cellStyle name="Comma 4 3 2 2 2 3 2 3" xfId="11812" xr:uid="{5B93D8AF-6880-4F53-8F7E-B820B63E25D5}"/>
    <cellStyle name="Comma 4 3 2 2 2 3 3" xfId="5446" xr:uid="{00000000-0005-0000-0000-00001F090000}"/>
    <cellStyle name="Comma 4 3 2 2 2 3 3 2" xfId="13885" xr:uid="{3B3801D9-F2C2-4A59-B1F2-275E33C9F1A8}"/>
    <cellStyle name="Comma 4 3 2 2 2 3 4" xfId="9667" xr:uid="{E6015825-DC28-46C3-82D8-6266849B487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12C5FA90-C975-4CCA-A83D-95FD5FDA1E61}"/>
    <cellStyle name="Comma 4 3 2 2 2 4 2 3" xfId="12225" xr:uid="{DB671766-44B2-4F2B-82EE-C1EAD9A6B1D5}"/>
    <cellStyle name="Comma 4 3 2 2 2 4 3" xfId="5859" xr:uid="{00000000-0005-0000-0000-000023090000}"/>
    <cellStyle name="Comma 4 3 2 2 2 4 3 2" xfId="14298" xr:uid="{DE809BF7-C5CA-490C-A192-28A886E2A449}"/>
    <cellStyle name="Comma 4 3 2 2 2 4 4" xfId="10080" xr:uid="{D1F2EF0B-067B-4467-AE98-B8601B3F4409}"/>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1A3E5D3A-A178-4031-AD87-55FED794AD4E}"/>
    <cellStyle name="Comma 4 3 2 2 2 5 2 3" xfId="12638" xr:uid="{E2A6D6F6-9C48-45C6-89C3-C7BBE2BDDE44}"/>
    <cellStyle name="Comma 4 3 2 2 2 5 3" xfId="6272" xr:uid="{00000000-0005-0000-0000-000027090000}"/>
    <cellStyle name="Comma 4 3 2 2 2 5 3 2" xfId="14711" xr:uid="{E0544349-0D0C-4C7A-AA1C-3FEF59A92150}"/>
    <cellStyle name="Comma 4 3 2 2 2 5 4" xfId="10493" xr:uid="{14299627-93FD-4038-B5CC-56F7245A4C1A}"/>
    <cellStyle name="Comma 4 3 2 2 2 6" xfId="2400" xr:uid="{00000000-0005-0000-0000-000028090000}"/>
    <cellStyle name="Comma 4 3 2 2 2 6 2" xfId="6685" xr:uid="{00000000-0005-0000-0000-000029090000}"/>
    <cellStyle name="Comma 4 3 2 2 2 6 2 2" xfId="15124" xr:uid="{97809AC8-EC7D-4B26-B0C4-6B2EFB276169}"/>
    <cellStyle name="Comma 4 3 2 2 2 6 3" xfId="10906" xr:uid="{6E3266CD-8986-4E0C-8993-D798508BA0FF}"/>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636E0646-1C04-4B8A-B7E0-06E2AA4E117C}"/>
    <cellStyle name="Comma 4 3 2 2 2 8 3" xfId="11223" xr:uid="{A9298756-779F-4A28-9D40-6BA09B31D0F8}"/>
    <cellStyle name="Comma 4 3 2 2 2 9" xfId="4619" xr:uid="{00000000-0005-0000-0000-00002D090000}"/>
    <cellStyle name="Comma 4 3 2 2 2 9 2" xfId="13058" xr:uid="{D261AD4C-CC18-48F7-A75B-38E01A8CC6FC}"/>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EA3253C9-36A1-4E20-A6B3-C02828267CD0}"/>
    <cellStyle name="Comma 4 3 2 2 3 2 3" xfId="11398" xr:uid="{3553088F-E5ED-4F66-8D5A-ED7C08ABE9D1}"/>
    <cellStyle name="Comma 4 3 2 2 3 3" xfId="5032" xr:uid="{00000000-0005-0000-0000-000031090000}"/>
    <cellStyle name="Comma 4 3 2 2 3 3 2" xfId="13471" xr:uid="{A00ECC4B-9D9C-4F9D-8CF4-9AA74DE82AC3}"/>
    <cellStyle name="Comma 4 3 2 2 3 4" xfId="9253" xr:uid="{9F5DE817-1BC1-488B-8647-2FBA93657DD7}"/>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F550E80A-EFF0-40D9-8DF4-DA0EDDAC608A}"/>
    <cellStyle name="Comma 4 3 2 2 4 2 3" xfId="11811" xr:uid="{A410F6A0-7F1E-47C6-A7E2-BC713BB78C2A}"/>
    <cellStyle name="Comma 4 3 2 2 4 3" xfId="5445" xr:uid="{00000000-0005-0000-0000-000035090000}"/>
    <cellStyle name="Comma 4 3 2 2 4 3 2" xfId="13884" xr:uid="{C516FFF6-CADD-4B86-96D6-3164B81E40C2}"/>
    <cellStyle name="Comma 4 3 2 2 4 4" xfId="9666" xr:uid="{50068AF0-D9E0-4822-9387-9A6F53478DEC}"/>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04E9E49D-8A9A-4A3E-9740-B1E8A6192F3D}"/>
    <cellStyle name="Comma 4 3 2 2 5 2 3" xfId="12224" xr:uid="{2DF2BD9D-ADA3-47D6-8320-28240C217A08}"/>
    <cellStyle name="Comma 4 3 2 2 5 3" xfId="5858" xr:uid="{00000000-0005-0000-0000-000039090000}"/>
    <cellStyle name="Comma 4 3 2 2 5 3 2" xfId="14297" xr:uid="{95C1F919-2D59-4592-8236-BDDF1DBE7A50}"/>
    <cellStyle name="Comma 4 3 2 2 5 4" xfId="10079" xr:uid="{CDCD127A-6205-4FB1-A949-724A22629A85}"/>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562EB87D-1A68-4621-AAEF-50CEDB419D8B}"/>
    <cellStyle name="Comma 4 3 2 2 6 2 3" xfId="12637" xr:uid="{74E05C60-E04C-4DC0-BCE1-1448395CCD2F}"/>
    <cellStyle name="Comma 4 3 2 2 6 3" xfId="6271" xr:uid="{00000000-0005-0000-0000-00003D090000}"/>
    <cellStyle name="Comma 4 3 2 2 6 3 2" xfId="14710" xr:uid="{DBA36465-9221-4E1A-BC7D-700B9E54B5D6}"/>
    <cellStyle name="Comma 4 3 2 2 6 4" xfId="10492" xr:uid="{607D6A64-5971-477E-AA6A-AF9071566A5F}"/>
    <cellStyle name="Comma 4 3 2 2 7" xfId="2399" xr:uid="{00000000-0005-0000-0000-00003E090000}"/>
    <cellStyle name="Comma 4 3 2 2 7 2" xfId="6684" xr:uid="{00000000-0005-0000-0000-00003F090000}"/>
    <cellStyle name="Comma 4 3 2 2 7 2 2" xfId="15123" xr:uid="{AE48CCF9-E4D2-4C50-86CF-8D611810C84A}"/>
    <cellStyle name="Comma 4 3 2 2 7 3" xfId="10905" xr:uid="{E13B4724-F700-4776-BB3C-616B32041F48}"/>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08D6E926-202C-4B54-8F6D-5E3A816F5B8B}"/>
    <cellStyle name="Comma 4 3 2 2 9 3" xfId="11222" xr:uid="{18F2331A-C401-4DDC-B0F2-4D8EB8B5EE35}"/>
    <cellStyle name="Comma 4 3 2 3" xfId="148" xr:uid="{00000000-0005-0000-0000-000043090000}"/>
    <cellStyle name="Comma 4 3 2 3 10" xfId="8841" xr:uid="{480FA63F-E889-44DD-970A-40D99A91D209}"/>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467F6F36-3C09-4374-A1D1-D2FB47B92C6B}"/>
    <cellStyle name="Comma 4 3 2 3 2 2 3" xfId="11400" xr:uid="{2635AD66-1D39-4916-A210-6C298BE34507}"/>
    <cellStyle name="Comma 4 3 2 3 2 3" xfId="5034" xr:uid="{00000000-0005-0000-0000-000047090000}"/>
    <cellStyle name="Comma 4 3 2 3 2 3 2" xfId="13473" xr:uid="{ED303058-800F-4BD4-BBA7-F17072E344C5}"/>
    <cellStyle name="Comma 4 3 2 3 2 4" xfId="9255" xr:uid="{E59F1B1A-48F3-43AB-916D-63542DDA280C}"/>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17E34515-A408-434A-A78C-980D78183DA5}"/>
    <cellStyle name="Comma 4 3 2 3 3 2 3" xfId="11813" xr:uid="{307476C5-57B4-47FD-AB48-5CA5D226D5E3}"/>
    <cellStyle name="Comma 4 3 2 3 3 3" xfId="5447" xr:uid="{00000000-0005-0000-0000-00004B090000}"/>
    <cellStyle name="Comma 4 3 2 3 3 3 2" xfId="13886" xr:uid="{8907CADF-5076-4B32-AD8E-698ED54A7CBB}"/>
    <cellStyle name="Comma 4 3 2 3 3 4" xfId="9668" xr:uid="{3130EA82-879A-41A2-B6CC-6C15310FC2C4}"/>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6ACE6ECE-728E-47CE-80DF-DE8B85226953}"/>
    <cellStyle name="Comma 4 3 2 3 4 2 3" xfId="12226" xr:uid="{9B3B9C9C-11F3-412A-85AB-1C4540AFC24D}"/>
    <cellStyle name="Comma 4 3 2 3 4 3" xfId="5860" xr:uid="{00000000-0005-0000-0000-00004F090000}"/>
    <cellStyle name="Comma 4 3 2 3 4 3 2" xfId="14299" xr:uid="{207FFB56-5DBD-47EE-B8A9-7294382F516C}"/>
    <cellStyle name="Comma 4 3 2 3 4 4" xfId="10081" xr:uid="{4ED7B96B-EB5A-4206-B6B4-922BBD7573CF}"/>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F739E14E-9667-4AAD-8B09-0EC282765BB0}"/>
    <cellStyle name="Comma 4 3 2 3 5 2 3" xfId="12639" xr:uid="{E8153207-A5C3-4035-8998-BA4595C2F49B}"/>
    <cellStyle name="Comma 4 3 2 3 5 3" xfId="6273" xr:uid="{00000000-0005-0000-0000-000053090000}"/>
    <cellStyle name="Comma 4 3 2 3 5 3 2" xfId="14712" xr:uid="{A1AECFA1-13F7-45CD-A858-11821F2B67A1}"/>
    <cellStyle name="Comma 4 3 2 3 5 4" xfId="10494" xr:uid="{3E8E4145-1A49-44EA-BED1-9C061590E4E2}"/>
    <cellStyle name="Comma 4 3 2 3 6" xfId="2401" xr:uid="{00000000-0005-0000-0000-000054090000}"/>
    <cellStyle name="Comma 4 3 2 3 6 2" xfId="6686" xr:uid="{00000000-0005-0000-0000-000055090000}"/>
    <cellStyle name="Comma 4 3 2 3 6 2 2" xfId="15125" xr:uid="{AC565CAF-C250-4297-87ED-ADD2E53D5FAA}"/>
    <cellStyle name="Comma 4 3 2 3 6 3" xfId="10907" xr:uid="{6E3B4E1C-7E6D-4326-AC82-8E4EA5236B1E}"/>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8D821CFF-10D0-4D63-BC4A-CBC6F8DA505C}"/>
    <cellStyle name="Comma 4 3 2 3 8 3" xfId="11224" xr:uid="{FE580C69-4DB8-4428-B9EC-F1B7A75ABE1D}"/>
    <cellStyle name="Comma 4 3 2 3 9" xfId="4620" xr:uid="{00000000-0005-0000-0000-000059090000}"/>
    <cellStyle name="Comma 4 3 2 3 9 2" xfId="13059" xr:uid="{9D150905-587A-48D7-9555-40BAC334A8D3}"/>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34F0B192-75E5-4F28-95E5-E1EC533D1950}"/>
    <cellStyle name="Comma 4 3 2 4 2 3" xfId="11397" xr:uid="{1EB39A09-52D3-4E95-9EC3-3DBC6BDBA2CA}"/>
    <cellStyle name="Comma 4 3 2 4 3" xfId="5031" xr:uid="{00000000-0005-0000-0000-00005D090000}"/>
    <cellStyle name="Comma 4 3 2 4 3 2" xfId="13470" xr:uid="{6C880668-340C-49D0-A2D1-FA1E12BE1649}"/>
    <cellStyle name="Comma 4 3 2 4 4" xfId="9252" xr:uid="{319E3806-B4CC-4F0F-A328-2ECE2B215D32}"/>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E83DDCFB-514B-4CFF-BB8A-0D1B533F47DD}"/>
    <cellStyle name="Comma 4 3 2 5 2 3" xfId="11810" xr:uid="{DAC8F0AB-ED2B-45EC-B557-B1622FC03A72}"/>
    <cellStyle name="Comma 4 3 2 5 3" xfId="5444" xr:uid="{00000000-0005-0000-0000-000061090000}"/>
    <cellStyle name="Comma 4 3 2 5 3 2" xfId="13883" xr:uid="{ADBF40D3-4E24-46B6-B3EB-8C31EDA5A543}"/>
    <cellStyle name="Comma 4 3 2 5 4" xfId="9665" xr:uid="{115AB03C-3AC7-4EF5-91BA-028FBD7DE2A2}"/>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845B0F60-D6C1-4E52-B95D-AD3DF54BD9CD}"/>
    <cellStyle name="Comma 4 3 2 6 2 3" xfId="12223" xr:uid="{1E978888-C7FD-4C42-9D9C-3871FFFE5FF9}"/>
    <cellStyle name="Comma 4 3 2 6 3" xfId="5857" xr:uid="{00000000-0005-0000-0000-000065090000}"/>
    <cellStyle name="Comma 4 3 2 6 3 2" xfId="14296" xr:uid="{0AED5567-75BE-429A-9B74-868060C8540E}"/>
    <cellStyle name="Comma 4 3 2 6 4" xfId="10078" xr:uid="{2C3011CC-CB3D-4463-8E01-856585456A17}"/>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B572D230-8224-4129-AE18-E2AEF6123590}"/>
    <cellStyle name="Comma 4 3 2 7 2 3" xfId="12636" xr:uid="{2F135C3C-2829-43FA-A3CB-5CA301248FA0}"/>
    <cellStyle name="Comma 4 3 2 7 3" xfId="6270" xr:uid="{00000000-0005-0000-0000-000069090000}"/>
    <cellStyle name="Comma 4 3 2 7 3 2" xfId="14709" xr:uid="{450E3789-1C9D-4685-A2BA-1B84EAC5EBDF}"/>
    <cellStyle name="Comma 4 3 2 7 4" xfId="10491" xr:uid="{34CBD57E-935A-421A-9EEB-984ED25AB0C1}"/>
    <cellStyle name="Comma 4 3 2 8" xfId="2398" xr:uid="{00000000-0005-0000-0000-00006A090000}"/>
    <cellStyle name="Comma 4 3 2 8 2" xfId="6683" xr:uid="{00000000-0005-0000-0000-00006B090000}"/>
    <cellStyle name="Comma 4 3 2 8 2 2" xfId="15122" xr:uid="{559DB8D6-38AA-405E-AAD9-59B7C84C0FFB}"/>
    <cellStyle name="Comma 4 3 2 8 3" xfId="10904" xr:uid="{B051F857-4E91-49BC-8265-BA8D61BE8C3B}"/>
    <cellStyle name="Comma 4 3 2 9" xfId="2365" xr:uid="{00000000-0005-0000-0000-00006C090000}"/>
    <cellStyle name="Comma 4 3 3" xfId="149" xr:uid="{00000000-0005-0000-0000-00006D090000}"/>
    <cellStyle name="Comma 4 3 3 10" xfId="4621" xr:uid="{00000000-0005-0000-0000-00006E090000}"/>
    <cellStyle name="Comma 4 3 3 10 2" xfId="13060" xr:uid="{F0B93B9F-CA97-4E3D-98A6-CCC7EA9D3E42}"/>
    <cellStyle name="Comma 4 3 3 11" xfId="8842" xr:uid="{FB217D66-D527-4E56-B050-F86506B8264C}"/>
    <cellStyle name="Comma 4 3 3 2" xfId="150" xr:uid="{00000000-0005-0000-0000-00006F090000}"/>
    <cellStyle name="Comma 4 3 3 2 10" xfId="8843" xr:uid="{F1EA4B96-65DE-4F7D-8795-8ACDFB8AFCC4}"/>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2CD6551C-A557-40D7-A6C6-ADF7B6EB2492}"/>
    <cellStyle name="Comma 4 3 3 2 2 2 3" xfId="11402" xr:uid="{C337E2F3-FD28-46A6-A2D7-A5C6053A0B0E}"/>
    <cellStyle name="Comma 4 3 3 2 2 3" xfId="5036" xr:uid="{00000000-0005-0000-0000-000073090000}"/>
    <cellStyle name="Comma 4 3 3 2 2 3 2" xfId="13475" xr:uid="{FEE27355-7FDD-422E-B425-81C64A3E1426}"/>
    <cellStyle name="Comma 4 3 3 2 2 4" xfId="9257" xr:uid="{A8815253-345C-4DF5-9686-78F6BD754079}"/>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8E75736A-4EB0-4C3D-9E37-DCB0D3EF4D95}"/>
    <cellStyle name="Comma 4 3 3 2 3 2 3" xfId="11815" xr:uid="{CC5A8D0D-6574-471C-BCE1-017667017886}"/>
    <cellStyle name="Comma 4 3 3 2 3 3" xfId="5449" xr:uid="{00000000-0005-0000-0000-000077090000}"/>
    <cellStyle name="Comma 4 3 3 2 3 3 2" xfId="13888" xr:uid="{4165E6B5-781C-435A-B98E-95F79BCD09C8}"/>
    <cellStyle name="Comma 4 3 3 2 3 4" xfId="9670" xr:uid="{02A781EF-A7FF-49BE-B1F4-B7C48940EE33}"/>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80A05C02-EFDB-4F36-BC83-25A87E962511}"/>
    <cellStyle name="Comma 4 3 3 2 4 2 3" xfId="12228" xr:uid="{80BFFDDB-48D4-4DE8-8BF8-2291F7F3E6B2}"/>
    <cellStyle name="Comma 4 3 3 2 4 3" xfId="5862" xr:uid="{00000000-0005-0000-0000-00007B090000}"/>
    <cellStyle name="Comma 4 3 3 2 4 3 2" xfId="14301" xr:uid="{131130F0-25E2-4E3D-9CE0-28620E4FD1AF}"/>
    <cellStyle name="Comma 4 3 3 2 4 4" xfId="10083" xr:uid="{2CBAB98B-8944-4C74-BC3D-E405D9DE039A}"/>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6224DCC1-8398-4B0F-9F50-3A97E71840B0}"/>
    <cellStyle name="Comma 4 3 3 2 5 2 3" xfId="12641" xr:uid="{FF70AE87-F26F-4F77-AFDD-834EC3C51A09}"/>
    <cellStyle name="Comma 4 3 3 2 5 3" xfId="6275" xr:uid="{00000000-0005-0000-0000-00007F090000}"/>
    <cellStyle name="Comma 4 3 3 2 5 3 2" xfId="14714" xr:uid="{1C8B4630-B8C0-4363-8B33-63DE3046BD64}"/>
    <cellStyle name="Comma 4 3 3 2 5 4" xfId="10496" xr:uid="{124AC6A7-BB06-4A12-94F6-6A88C7E93554}"/>
    <cellStyle name="Comma 4 3 3 2 6" xfId="2403" xr:uid="{00000000-0005-0000-0000-000080090000}"/>
    <cellStyle name="Comma 4 3 3 2 6 2" xfId="6688" xr:uid="{00000000-0005-0000-0000-000081090000}"/>
    <cellStyle name="Comma 4 3 3 2 6 2 2" xfId="15127" xr:uid="{FB4689FF-F918-43A5-BE14-A4A1781D2CB1}"/>
    <cellStyle name="Comma 4 3 3 2 6 3" xfId="10909" xr:uid="{1D32F4B1-07F3-4223-9197-3BD192A560CF}"/>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AC19578C-A35D-4875-A8DF-E738830E09D2}"/>
    <cellStyle name="Comma 4 3 3 2 8 3" xfId="11226" xr:uid="{84523C99-C2D0-44EF-B86A-9CAEA304417C}"/>
    <cellStyle name="Comma 4 3 3 2 9" xfId="4622" xr:uid="{00000000-0005-0000-0000-000085090000}"/>
    <cellStyle name="Comma 4 3 3 2 9 2" xfId="13061" xr:uid="{86B1BF24-57C4-4005-937E-E1A07E7A400D}"/>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9840D76F-3128-42E8-8C70-C0F0C5B3740D}"/>
    <cellStyle name="Comma 4 3 3 3 2 3" xfId="11401" xr:uid="{19EE53F1-E71B-4B85-B171-849F0163BE6E}"/>
    <cellStyle name="Comma 4 3 3 3 3" xfId="5035" xr:uid="{00000000-0005-0000-0000-000089090000}"/>
    <cellStyle name="Comma 4 3 3 3 3 2" xfId="13474" xr:uid="{1497CE21-65DC-4F06-8467-3E0F2A48CB60}"/>
    <cellStyle name="Comma 4 3 3 3 4" xfId="9256" xr:uid="{9302E975-0E64-4B96-AC66-552AB229AC81}"/>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C40D8704-8274-4675-B87D-3463F2E720C5}"/>
    <cellStyle name="Comma 4 3 3 4 2 3" xfId="11814" xr:uid="{FADD83F7-200E-413A-AABB-0A7755C63A9F}"/>
    <cellStyle name="Comma 4 3 3 4 3" xfId="5448" xr:uid="{00000000-0005-0000-0000-00008D090000}"/>
    <cellStyle name="Comma 4 3 3 4 3 2" xfId="13887" xr:uid="{4CA15050-5A74-4052-BE33-B771D39CED77}"/>
    <cellStyle name="Comma 4 3 3 4 4" xfId="9669" xr:uid="{C5C8CE5E-EDA7-4C75-AA85-D4C556C5FA2D}"/>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017204A1-1B18-4F1C-8B3A-11C578FEB682}"/>
    <cellStyle name="Comma 4 3 3 5 2 3" xfId="12227" xr:uid="{4B623C37-87A0-4E7F-899A-B2E55B8DE9E2}"/>
    <cellStyle name="Comma 4 3 3 5 3" xfId="5861" xr:uid="{00000000-0005-0000-0000-000091090000}"/>
    <cellStyle name="Comma 4 3 3 5 3 2" xfId="14300" xr:uid="{86AC7E6A-911F-4D40-9935-95227A2D3ED5}"/>
    <cellStyle name="Comma 4 3 3 5 4" xfId="10082" xr:uid="{1F42747A-DF23-4187-8060-6B426361F6E9}"/>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3ABFA430-23ED-49D4-A190-A9FFABD69B1F}"/>
    <cellStyle name="Comma 4 3 3 6 2 3" xfId="12640" xr:uid="{0480625F-71C8-46F2-878C-8BB00CCF58FF}"/>
    <cellStyle name="Comma 4 3 3 6 3" xfId="6274" xr:uid="{00000000-0005-0000-0000-000095090000}"/>
    <cellStyle name="Comma 4 3 3 6 3 2" xfId="14713" xr:uid="{E06CCB76-13A3-4AB2-ABB9-DF47676255A2}"/>
    <cellStyle name="Comma 4 3 3 6 4" xfId="10495" xr:uid="{82BB78B8-C194-4A4D-B267-9FA93112651F}"/>
    <cellStyle name="Comma 4 3 3 7" xfId="2402" xr:uid="{00000000-0005-0000-0000-000096090000}"/>
    <cellStyle name="Comma 4 3 3 7 2" xfId="6687" xr:uid="{00000000-0005-0000-0000-000097090000}"/>
    <cellStyle name="Comma 4 3 3 7 2 2" xfId="15126" xr:uid="{D3E8977F-A705-4736-915B-E28EB23EE5D1}"/>
    <cellStyle name="Comma 4 3 3 7 3" xfId="10908" xr:uid="{21F90E38-5120-4E97-8F4F-5FB91F5A5FC3}"/>
    <cellStyle name="Comma 4 3 3 8" xfId="2361" xr:uid="{00000000-0005-0000-0000-000098090000}"/>
    <cellStyle name="Comma 4 3 3 9" xfId="2780" xr:uid="{00000000-0005-0000-0000-000099090000}"/>
    <cellStyle name="Comma 4 3 3 9 2" xfId="7004" xr:uid="{00000000-0005-0000-0000-00009A090000}"/>
    <cellStyle name="Comma 4 3 3 9 2 2" xfId="15443" xr:uid="{CBC66FED-E792-458E-B082-61E46437A35D}"/>
    <cellStyle name="Comma 4 3 3 9 3" xfId="11225" xr:uid="{B33892C2-3C0F-46BF-A691-17E46822D994}"/>
    <cellStyle name="Comma 4 3 4" xfId="151" xr:uid="{00000000-0005-0000-0000-00009B090000}"/>
    <cellStyle name="Comma 4 3 4 10" xfId="8844" xr:uid="{11B05E3D-506C-4047-9AE8-354DACB4A51F}"/>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51BB7125-6549-467F-AF9B-033D97931739}"/>
    <cellStyle name="Comma 4 3 4 2 2 3" xfId="11403" xr:uid="{D419C587-8013-46DA-9363-A7E75285D57E}"/>
    <cellStyle name="Comma 4 3 4 2 3" xfId="5037" xr:uid="{00000000-0005-0000-0000-00009F090000}"/>
    <cellStyle name="Comma 4 3 4 2 3 2" xfId="13476" xr:uid="{BEADAB6D-3375-42FF-A6D6-866542F65D73}"/>
    <cellStyle name="Comma 4 3 4 2 4" xfId="9258" xr:uid="{7B4F5B94-3E17-4C60-B9A8-CCC5867E8162}"/>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EAC36159-4663-48DB-9BC4-658C323E9BC5}"/>
    <cellStyle name="Comma 4 3 4 3 2 3" xfId="11816" xr:uid="{F0FBF588-F55B-425C-9972-CEEF66749EAD}"/>
    <cellStyle name="Comma 4 3 4 3 3" xfId="5450" xr:uid="{00000000-0005-0000-0000-0000A3090000}"/>
    <cellStyle name="Comma 4 3 4 3 3 2" xfId="13889" xr:uid="{ED03E510-50FF-444F-932A-CEDBF41CDB5C}"/>
    <cellStyle name="Comma 4 3 4 3 4" xfId="9671" xr:uid="{775F5041-4071-4EB0-B28E-C0CD2B3060D2}"/>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DB99DCFF-987E-4E5F-B6DA-3FE05600F6F3}"/>
    <cellStyle name="Comma 4 3 4 4 2 3" xfId="12229" xr:uid="{718253DE-E87B-4D42-BB8A-99B2B95228FF}"/>
    <cellStyle name="Comma 4 3 4 4 3" xfId="5863" xr:uid="{00000000-0005-0000-0000-0000A7090000}"/>
    <cellStyle name="Comma 4 3 4 4 3 2" xfId="14302" xr:uid="{06C169AD-1730-4282-93C7-49772E784FB7}"/>
    <cellStyle name="Comma 4 3 4 4 4" xfId="10084" xr:uid="{92A17CFB-1355-417C-AA6F-1097BA5432B2}"/>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4EDEF57D-E0CA-4264-899C-C3EAA2025568}"/>
    <cellStyle name="Comma 4 3 4 5 2 3" xfId="12642" xr:uid="{C0BDB840-B8FF-4EB9-AC6F-B5B9DDEE6121}"/>
    <cellStyle name="Comma 4 3 4 5 3" xfId="6276" xr:uid="{00000000-0005-0000-0000-0000AB090000}"/>
    <cellStyle name="Comma 4 3 4 5 3 2" xfId="14715" xr:uid="{2DEB9381-7B50-44EE-A31D-76AF930A31D2}"/>
    <cellStyle name="Comma 4 3 4 5 4" xfId="10497" xr:uid="{95CD23AA-BD48-4DB0-AA97-E0C8EA5DD2E4}"/>
    <cellStyle name="Comma 4 3 4 6" xfId="2404" xr:uid="{00000000-0005-0000-0000-0000AC090000}"/>
    <cellStyle name="Comma 4 3 4 6 2" xfId="6689" xr:uid="{00000000-0005-0000-0000-0000AD090000}"/>
    <cellStyle name="Comma 4 3 4 6 2 2" xfId="15128" xr:uid="{3B9E957B-8FBA-45B8-9A42-DAF42208F991}"/>
    <cellStyle name="Comma 4 3 4 6 3" xfId="10910" xr:uid="{8002C7D2-840D-4185-B332-D6F05FFEBE58}"/>
    <cellStyle name="Comma 4 3 4 7" xfId="2700" xr:uid="{00000000-0005-0000-0000-0000AE090000}"/>
    <cellStyle name="Comma 4 3 4 8" xfId="2782" xr:uid="{00000000-0005-0000-0000-0000AF090000}"/>
    <cellStyle name="Comma 4 3 4 8 2" xfId="7006" xr:uid="{00000000-0005-0000-0000-0000B0090000}"/>
    <cellStyle name="Comma 4 3 4 8 2 2" xfId="15445" xr:uid="{8394509D-B714-43A5-B449-DE88C777D0ED}"/>
    <cellStyle name="Comma 4 3 4 8 3" xfId="11227" xr:uid="{B9509D48-C5CE-422C-8EDF-B3B9213172C2}"/>
    <cellStyle name="Comma 4 3 4 9" xfId="4623" xr:uid="{00000000-0005-0000-0000-0000B1090000}"/>
    <cellStyle name="Comma 4 3 4 9 2" xfId="13062" xr:uid="{EA3EF3D5-6C96-48AF-96ED-92BE917BD6C7}"/>
    <cellStyle name="Comma 4 3 5" xfId="152" xr:uid="{00000000-0005-0000-0000-0000B2090000}"/>
    <cellStyle name="Comma 4 3 5 10" xfId="8845" xr:uid="{EB558EF2-DC78-4D07-A86F-450F676AD15D}"/>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37FBA0EA-265A-4F48-9F24-F14BFC6E29D0}"/>
    <cellStyle name="Comma 4 3 5 2 2 3" xfId="11404" xr:uid="{8CA3DB07-7BFC-47F2-8FA9-31CEF3F28042}"/>
    <cellStyle name="Comma 4 3 5 2 3" xfId="5038" xr:uid="{00000000-0005-0000-0000-0000B6090000}"/>
    <cellStyle name="Comma 4 3 5 2 3 2" xfId="13477" xr:uid="{612AFF5E-6E8B-4645-8F29-230BC1631C65}"/>
    <cellStyle name="Comma 4 3 5 2 4" xfId="9259" xr:uid="{BD142A5A-489A-4055-B338-9CC213F19659}"/>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DF85520C-E045-495D-A47D-452FD46E5C38}"/>
    <cellStyle name="Comma 4 3 5 3 2 3" xfId="11817" xr:uid="{DB77A53D-9D33-442B-8841-9F82936087D2}"/>
    <cellStyle name="Comma 4 3 5 3 3" xfId="5451" xr:uid="{00000000-0005-0000-0000-0000BA090000}"/>
    <cellStyle name="Comma 4 3 5 3 3 2" xfId="13890" xr:uid="{999F04EF-BC97-4EF7-B418-21297C9FDBFB}"/>
    <cellStyle name="Comma 4 3 5 3 4" xfId="9672" xr:uid="{5C3F8172-5A50-4B85-8C95-C003100931DD}"/>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96011576-B21B-46C1-90C5-D4E3AEF72290}"/>
    <cellStyle name="Comma 4 3 5 4 2 3" xfId="12230" xr:uid="{44B9DD53-2B6E-44BB-AC40-1134CA2D7A6F}"/>
    <cellStyle name="Comma 4 3 5 4 3" xfId="5864" xr:uid="{00000000-0005-0000-0000-0000BE090000}"/>
    <cellStyle name="Comma 4 3 5 4 3 2" xfId="14303" xr:uid="{4A1E3A6C-6284-40A2-937C-A260EA45B812}"/>
    <cellStyle name="Comma 4 3 5 4 4" xfId="10085" xr:uid="{45912D3C-8C34-4C1D-B78A-34AAB9AE91E9}"/>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D33E9897-8221-49D0-9E29-A26D71F64984}"/>
    <cellStyle name="Comma 4 3 5 5 2 3" xfId="12643" xr:uid="{8BCD09DF-2D9D-4499-AEC3-4284D84D619F}"/>
    <cellStyle name="Comma 4 3 5 5 3" xfId="6277" xr:uid="{00000000-0005-0000-0000-0000C2090000}"/>
    <cellStyle name="Comma 4 3 5 5 3 2" xfId="14716" xr:uid="{522CCE97-C8FA-44C9-BB3C-4939AEF77991}"/>
    <cellStyle name="Comma 4 3 5 5 4" xfId="10498" xr:uid="{7A8A7D99-CFD8-48FD-ACA9-74996300874F}"/>
    <cellStyle name="Comma 4 3 5 6" xfId="2405" xr:uid="{00000000-0005-0000-0000-0000C3090000}"/>
    <cellStyle name="Comma 4 3 5 6 2" xfId="6690" xr:uid="{00000000-0005-0000-0000-0000C4090000}"/>
    <cellStyle name="Comma 4 3 5 6 2 2" xfId="15129" xr:uid="{C953B7E5-D07E-46BD-97D1-417FF59A7D69}"/>
    <cellStyle name="Comma 4 3 5 6 3" xfId="10911" xr:uid="{91668BD9-2B6F-4357-B194-0AD99B186DAA}"/>
    <cellStyle name="Comma 4 3 5 7" xfId="2701" xr:uid="{00000000-0005-0000-0000-0000C5090000}"/>
    <cellStyle name="Comma 4 3 5 8" xfId="2783" xr:uid="{00000000-0005-0000-0000-0000C6090000}"/>
    <cellStyle name="Comma 4 3 5 8 2" xfId="7007" xr:uid="{00000000-0005-0000-0000-0000C7090000}"/>
    <cellStyle name="Comma 4 3 5 8 2 2" xfId="15446" xr:uid="{ED309DDB-A529-4E25-B5A3-629B09815F2E}"/>
    <cellStyle name="Comma 4 3 5 8 3" xfId="11228" xr:uid="{BEB76689-2705-40EE-A07B-3BA95D0D2154}"/>
    <cellStyle name="Comma 4 3 5 9" xfId="4624" xr:uid="{00000000-0005-0000-0000-0000C8090000}"/>
    <cellStyle name="Comma 4 3 5 9 2" xfId="13063" xr:uid="{EF81874A-D2F9-4321-A275-A82654A80497}"/>
    <cellStyle name="Comma 4 4" xfId="153" xr:uid="{00000000-0005-0000-0000-0000C9090000}"/>
    <cellStyle name="Comma 4 4 10" xfId="2784" xr:uid="{00000000-0005-0000-0000-0000CA090000}"/>
    <cellStyle name="Comma 4 4 10 2" xfId="7008" xr:uid="{00000000-0005-0000-0000-0000CB090000}"/>
    <cellStyle name="Comma 4 4 10 2 2" xfId="15447" xr:uid="{2C672A92-1082-41C1-96A1-03272523335E}"/>
    <cellStyle name="Comma 4 4 10 3" xfId="11229" xr:uid="{28AA0BEE-E88D-4195-9CBD-95BC0781B6DF}"/>
    <cellStyle name="Comma 4 4 11" xfId="4625" xr:uid="{00000000-0005-0000-0000-0000CC090000}"/>
    <cellStyle name="Comma 4 4 11 2" xfId="13064" xr:uid="{237033A7-0553-489A-9525-DEB0BCFE818D}"/>
    <cellStyle name="Comma 4 4 12" xfId="8846" xr:uid="{44AC934D-3AE2-44BF-B257-062F09B1AE86}"/>
    <cellStyle name="Comma 4 4 2" xfId="154" xr:uid="{00000000-0005-0000-0000-0000CD090000}"/>
    <cellStyle name="Comma 4 4 2 10" xfId="4626" xr:uid="{00000000-0005-0000-0000-0000CE090000}"/>
    <cellStyle name="Comma 4 4 2 10 2" xfId="13065" xr:uid="{58EBAE45-6D57-4C07-ACCB-53A20F6816C8}"/>
    <cellStyle name="Comma 4 4 2 11" xfId="8847" xr:uid="{AA079106-6423-475D-9EEA-CC5C2AAB7A37}"/>
    <cellStyle name="Comma 4 4 2 2" xfId="155" xr:uid="{00000000-0005-0000-0000-0000CF090000}"/>
    <cellStyle name="Comma 4 4 2 2 10" xfId="8848" xr:uid="{6B4085C0-0DC1-4353-AE54-C9B97306776F}"/>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F65C90F4-381F-460F-9E77-8E0A4F2B0222}"/>
    <cellStyle name="Comma 4 4 2 2 2 2 3" xfId="11407" xr:uid="{9CDA8361-0061-4C1B-9F57-54E81F7B4FEB}"/>
    <cellStyle name="Comma 4 4 2 2 2 3" xfId="5041" xr:uid="{00000000-0005-0000-0000-0000D3090000}"/>
    <cellStyle name="Comma 4 4 2 2 2 3 2" xfId="13480" xr:uid="{C29625C4-8D4C-47ED-92EB-BDB2CEE9106F}"/>
    <cellStyle name="Comma 4 4 2 2 2 4" xfId="9262" xr:uid="{4F61C16F-9BCF-41AC-B210-F6D25483D95F}"/>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C8C2D99E-99AE-4D58-8579-3AE5D52E5E0D}"/>
    <cellStyle name="Comma 4 4 2 2 3 2 3" xfId="11820" xr:uid="{1C5C77FD-88F2-4023-9780-9FFAA317E66B}"/>
    <cellStyle name="Comma 4 4 2 2 3 3" xfId="5454" xr:uid="{00000000-0005-0000-0000-0000D7090000}"/>
    <cellStyle name="Comma 4 4 2 2 3 3 2" xfId="13893" xr:uid="{9455D9EA-A055-4516-802F-176FA6897635}"/>
    <cellStyle name="Comma 4 4 2 2 3 4" xfId="9675" xr:uid="{C3B7BDC0-BB47-4D3A-A429-D2CED86D3E7B}"/>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CC9F4A3F-9E5D-4919-98AE-6FFFC3BDE346}"/>
    <cellStyle name="Comma 4 4 2 2 4 2 3" xfId="12233" xr:uid="{EAD2DF49-78C4-493B-BD49-EE32AD075A35}"/>
    <cellStyle name="Comma 4 4 2 2 4 3" xfId="5867" xr:uid="{00000000-0005-0000-0000-0000DB090000}"/>
    <cellStyle name="Comma 4 4 2 2 4 3 2" xfId="14306" xr:uid="{30BA0FD5-8F3F-4A54-AC33-1CB82E83D92F}"/>
    <cellStyle name="Comma 4 4 2 2 4 4" xfId="10088" xr:uid="{506E9988-9603-47C5-804F-C268AB925D22}"/>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4ABF5AF3-3EDF-46F8-A65B-7E327293DAEB}"/>
    <cellStyle name="Comma 4 4 2 2 5 2 3" xfId="12646" xr:uid="{895182A1-E89F-401D-A688-497F606C2E34}"/>
    <cellStyle name="Comma 4 4 2 2 5 3" xfId="6280" xr:uid="{00000000-0005-0000-0000-0000DF090000}"/>
    <cellStyle name="Comma 4 4 2 2 5 3 2" xfId="14719" xr:uid="{CF96556E-B9BA-49A5-98B1-68410C401D17}"/>
    <cellStyle name="Comma 4 4 2 2 5 4" xfId="10501" xr:uid="{D40F2DCD-84E8-49A9-83ED-8079065696E0}"/>
    <cellStyle name="Comma 4 4 2 2 6" xfId="2408" xr:uid="{00000000-0005-0000-0000-0000E0090000}"/>
    <cellStyle name="Comma 4 4 2 2 6 2" xfId="6693" xr:uid="{00000000-0005-0000-0000-0000E1090000}"/>
    <cellStyle name="Comma 4 4 2 2 6 2 2" xfId="15132" xr:uid="{3002825F-21D7-4878-8B42-99258F76F175}"/>
    <cellStyle name="Comma 4 4 2 2 6 3" xfId="10914" xr:uid="{ACE798AD-CDB7-4EDF-AD6B-8B6A3051988D}"/>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C4207B4A-395B-4C7B-85CD-091C3E5DF0E8}"/>
    <cellStyle name="Comma 4 4 2 2 8 3" xfId="11231" xr:uid="{47D36F6F-0499-4326-8206-1BE414BB5A09}"/>
    <cellStyle name="Comma 4 4 2 2 9" xfId="4627" xr:uid="{00000000-0005-0000-0000-0000E5090000}"/>
    <cellStyle name="Comma 4 4 2 2 9 2" xfId="13066" xr:uid="{2F4E82D5-4478-4F88-A68D-9CD79E8EC2FE}"/>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6C78BEBB-E3D4-4DFB-B1EE-7EEA49F5D014}"/>
    <cellStyle name="Comma 4 4 2 3 2 3" xfId="11406" xr:uid="{708D4B51-8D8C-491C-851F-04EE2EEEC9DB}"/>
    <cellStyle name="Comma 4 4 2 3 3" xfId="5040" xr:uid="{00000000-0005-0000-0000-0000E9090000}"/>
    <cellStyle name="Comma 4 4 2 3 3 2" xfId="13479" xr:uid="{40AD7E2E-C895-45C3-864F-3EDD44A95DDA}"/>
    <cellStyle name="Comma 4 4 2 3 4" xfId="9261" xr:uid="{7B1A234F-F0DB-477C-BC8E-5CEEF1BF8553}"/>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DC1BD6C4-FC79-4D17-ADD3-578F8002BDD5}"/>
    <cellStyle name="Comma 4 4 2 4 2 3" xfId="11819" xr:uid="{909B4E53-175B-464C-BFD9-D8794A2C3F7C}"/>
    <cellStyle name="Comma 4 4 2 4 3" xfId="5453" xr:uid="{00000000-0005-0000-0000-0000ED090000}"/>
    <cellStyle name="Comma 4 4 2 4 3 2" xfId="13892" xr:uid="{886B2B59-3F01-46E4-A30F-857C9B1A1A73}"/>
    <cellStyle name="Comma 4 4 2 4 4" xfId="9674" xr:uid="{DA20F23C-D65A-44F6-A6BA-667D11102144}"/>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B91E6912-D597-4584-9AC0-80D8CBA0C153}"/>
    <cellStyle name="Comma 4 4 2 5 2 3" xfId="12232" xr:uid="{8479CD16-4D43-45DB-8B2A-6847DE4E678F}"/>
    <cellStyle name="Comma 4 4 2 5 3" xfId="5866" xr:uid="{00000000-0005-0000-0000-0000F1090000}"/>
    <cellStyle name="Comma 4 4 2 5 3 2" xfId="14305" xr:uid="{D93F9B45-54A6-4DC2-80F4-773BC7DEF570}"/>
    <cellStyle name="Comma 4 4 2 5 4" xfId="10087" xr:uid="{35E1CA89-1D0F-45EE-B8E3-4858A5938063}"/>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4B91443C-3399-4FF0-9D46-A0A926AA7ADC}"/>
    <cellStyle name="Comma 4 4 2 6 2 3" xfId="12645" xr:uid="{71EF028A-5DE3-4E70-A91F-0A0A908379ED}"/>
    <cellStyle name="Comma 4 4 2 6 3" xfId="6279" xr:uid="{00000000-0005-0000-0000-0000F5090000}"/>
    <cellStyle name="Comma 4 4 2 6 3 2" xfId="14718" xr:uid="{6D052FDD-A671-47A2-ACEC-660CF9CC7B33}"/>
    <cellStyle name="Comma 4 4 2 6 4" xfId="10500" xr:uid="{48472F98-4BD6-4E5B-8E8B-D2C7FADA1857}"/>
    <cellStyle name="Comma 4 4 2 7" xfId="2407" xr:uid="{00000000-0005-0000-0000-0000F6090000}"/>
    <cellStyle name="Comma 4 4 2 7 2" xfId="6692" xr:uid="{00000000-0005-0000-0000-0000F7090000}"/>
    <cellStyle name="Comma 4 4 2 7 2 2" xfId="15131" xr:uid="{5EB78215-8741-47FB-9713-180C273C624E}"/>
    <cellStyle name="Comma 4 4 2 7 3" xfId="10913" xr:uid="{38D4ECAB-2A8B-42D1-8107-04AA530A1057}"/>
    <cellStyle name="Comma 4 4 2 8" xfId="2703" xr:uid="{00000000-0005-0000-0000-0000F8090000}"/>
    <cellStyle name="Comma 4 4 2 9" xfId="2785" xr:uid="{00000000-0005-0000-0000-0000F9090000}"/>
    <cellStyle name="Comma 4 4 2 9 2" xfId="7009" xr:uid="{00000000-0005-0000-0000-0000FA090000}"/>
    <cellStyle name="Comma 4 4 2 9 2 2" xfId="15448" xr:uid="{EBED8928-424C-4B8B-B08F-373DD0EF2EE7}"/>
    <cellStyle name="Comma 4 4 2 9 3" xfId="11230" xr:uid="{A5DBABFB-BFED-43C0-A9E4-1F40EC321A74}"/>
    <cellStyle name="Comma 4 4 3" xfId="156" xr:uid="{00000000-0005-0000-0000-0000FB090000}"/>
    <cellStyle name="Comma 4 4 3 10" xfId="8849" xr:uid="{0D537DEC-79F7-4B40-9859-273FB2C967B1}"/>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0B255148-8565-4BF1-86B1-B25753A263CB}"/>
    <cellStyle name="Comma 4 4 3 2 2 3" xfId="11408" xr:uid="{5956AFE2-6225-4217-8F59-421231503B27}"/>
    <cellStyle name="Comma 4 4 3 2 3" xfId="5042" xr:uid="{00000000-0005-0000-0000-0000FF090000}"/>
    <cellStyle name="Comma 4 4 3 2 3 2" xfId="13481" xr:uid="{D5A1AD67-420C-4A8F-9500-4CE913609898}"/>
    <cellStyle name="Comma 4 4 3 2 4" xfId="9263" xr:uid="{60039D33-6D2F-4F05-9A80-B6F04F839C81}"/>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4DE67B7B-1283-42DA-BC2C-5479333DC38A}"/>
    <cellStyle name="Comma 4 4 3 3 2 3" xfId="11821" xr:uid="{90EA3095-A81E-4F93-8BD2-929C5F5ED5EA}"/>
    <cellStyle name="Comma 4 4 3 3 3" xfId="5455" xr:uid="{00000000-0005-0000-0000-0000030A0000}"/>
    <cellStyle name="Comma 4 4 3 3 3 2" xfId="13894" xr:uid="{BC715F2A-1D5E-4189-8676-422DB2F6E50F}"/>
    <cellStyle name="Comma 4 4 3 3 4" xfId="9676" xr:uid="{837E5A3E-F0FB-49B7-B5D0-748FB639BF1C}"/>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8EB34E87-92B7-4474-975D-D98E4C76CB29}"/>
    <cellStyle name="Comma 4 4 3 4 2 3" xfId="12234" xr:uid="{55972399-37D4-4FF5-A9E9-9C16E23BD1E3}"/>
    <cellStyle name="Comma 4 4 3 4 3" xfId="5868" xr:uid="{00000000-0005-0000-0000-0000070A0000}"/>
    <cellStyle name="Comma 4 4 3 4 3 2" xfId="14307" xr:uid="{8AC71EA4-2689-439D-AAF0-5F3451FA6E96}"/>
    <cellStyle name="Comma 4 4 3 4 4" xfId="10089" xr:uid="{741DA599-5C12-460F-9325-E7C97E3D9B90}"/>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A1615F43-74E5-415F-9E3C-F56757C7BB56}"/>
    <cellStyle name="Comma 4 4 3 5 2 3" xfId="12647" xr:uid="{5EFAC08D-AF3E-4524-92E0-CF05F9EA23CD}"/>
    <cellStyle name="Comma 4 4 3 5 3" xfId="6281" xr:uid="{00000000-0005-0000-0000-00000B0A0000}"/>
    <cellStyle name="Comma 4 4 3 5 3 2" xfId="14720" xr:uid="{C4F5503D-A80C-44CF-9969-924EE17798C2}"/>
    <cellStyle name="Comma 4 4 3 5 4" xfId="10502" xr:uid="{91FAD9C0-5413-43A4-B97D-6AA8EFA704B0}"/>
    <cellStyle name="Comma 4 4 3 6" xfId="2409" xr:uid="{00000000-0005-0000-0000-00000C0A0000}"/>
    <cellStyle name="Comma 4 4 3 6 2" xfId="6694" xr:uid="{00000000-0005-0000-0000-00000D0A0000}"/>
    <cellStyle name="Comma 4 4 3 6 2 2" xfId="15133" xr:uid="{E7E6C4F6-7EE4-46C6-AC8D-630E7A672651}"/>
    <cellStyle name="Comma 4 4 3 6 3" xfId="10915" xr:uid="{27BB8A6E-374E-421D-89C9-24A1D17063A7}"/>
    <cellStyle name="Comma 4 4 3 7" xfId="2705" xr:uid="{00000000-0005-0000-0000-00000E0A0000}"/>
    <cellStyle name="Comma 4 4 3 8" xfId="2787" xr:uid="{00000000-0005-0000-0000-00000F0A0000}"/>
    <cellStyle name="Comma 4 4 3 8 2" xfId="7011" xr:uid="{00000000-0005-0000-0000-0000100A0000}"/>
    <cellStyle name="Comma 4 4 3 8 2 2" xfId="15450" xr:uid="{EEA889BE-635C-415C-BFE3-9A8F3C139DF1}"/>
    <cellStyle name="Comma 4 4 3 8 3" xfId="11232" xr:uid="{26407EBC-CF0F-4776-9907-0E10E764E5FF}"/>
    <cellStyle name="Comma 4 4 3 9" xfId="4628" xr:uid="{00000000-0005-0000-0000-0000110A0000}"/>
    <cellStyle name="Comma 4 4 3 9 2" xfId="13067" xr:uid="{D068B500-6DD2-4288-BBA1-E16CCE6213BB}"/>
    <cellStyle name="Comma 4 4 4" xfId="690" xr:uid="{00000000-0005-0000-0000-0000120A0000}"/>
    <cellStyle name="Comma 4 4 4 2" xfId="2961" xr:uid="{00000000-0005-0000-0000-0000130A0000}"/>
    <cellStyle name="Comma 4 4 4 2 2" xfId="7184" xr:uid="{00000000-0005-0000-0000-0000140A0000}"/>
    <cellStyle name="Comma 4 4 4 2 2 2" xfId="15623" xr:uid="{8A27F555-021C-4731-A964-AF913DC7BF95}"/>
    <cellStyle name="Comma 4 4 4 2 3" xfId="11405" xr:uid="{4685BC04-4436-460D-97C6-0C3C4B12CB9B}"/>
    <cellStyle name="Comma 4 4 4 3" xfId="5039" xr:uid="{00000000-0005-0000-0000-0000150A0000}"/>
    <cellStyle name="Comma 4 4 4 3 2" xfId="13478" xr:uid="{D5AAC80C-A4F0-4504-AAB1-ECD88C455CB5}"/>
    <cellStyle name="Comma 4 4 4 4" xfId="9260" xr:uid="{C7A5D809-9B1C-4FE2-AA0A-7A5D7B58B372}"/>
    <cellStyle name="Comma 4 4 5" xfId="1143" xr:uid="{00000000-0005-0000-0000-0000160A0000}"/>
    <cellStyle name="Comma 4 4 5 2" xfId="3374" xr:uid="{00000000-0005-0000-0000-0000170A0000}"/>
    <cellStyle name="Comma 4 4 5 2 2" xfId="7597" xr:uid="{00000000-0005-0000-0000-0000180A0000}"/>
    <cellStyle name="Comma 4 4 5 2 2 2" xfId="16036" xr:uid="{7A6EBDDE-7141-4F55-8A7E-555970E3A545}"/>
    <cellStyle name="Comma 4 4 5 2 3" xfId="11818" xr:uid="{4959FD26-F5A0-4CC3-8B9D-44D70840FD21}"/>
    <cellStyle name="Comma 4 4 5 3" xfId="5452" xr:uid="{00000000-0005-0000-0000-0000190A0000}"/>
    <cellStyle name="Comma 4 4 5 3 2" xfId="13891" xr:uid="{CA39E902-3E9E-4D94-AAA9-712D3C26892C}"/>
    <cellStyle name="Comma 4 4 5 4" xfId="9673" xr:uid="{CBF1C0A6-022E-42DB-8F7D-DFBCF07A57E4}"/>
    <cellStyle name="Comma 4 4 6" xfId="1557" xr:uid="{00000000-0005-0000-0000-00001A0A0000}"/>
    <cellStyle name="Comma 4 4 6 2" xfId="3787" xr:uid="{00000000-0005-0000-0000-00001B0A0000}"/>
    <cellStyle name="Comma 4 4 6 2 2" xfId="8010" xr:uid="{00000000-0005-0000-0000-00001C0A0000}"/>
    <cellStyle name="Comma 4 4 6 2 2 2" xfId="16449" xr:uid="{B3FBCF36-FBA6-48A0-9923-E6D00C018445}"/>
    <cellStyle name="Comma 4 4 6 2 3" xfId="12231" xr:uid="{CD049EA2-068B-4295-B786-31C96766DEF0}"/>
    <cellStyle name="Comma 4 4 6 3" xfId="5865" xr:uid="{00000000-0005-0000-0000-00001D0A0000}"/>
    <cellStyle name="Comma 4 4 6 3 2" xfId="14304" xr:uid="{4B736716-AB5C-4479-9EF1-D8148C8F11D0}"/>
    <cellStyle name="Comma 4 4 6 4" xfId="10086" xr:uid="{C2AED3E8-1E61-45FC-800E-D70E484DCADD}"/>
    <cellStyle name="Comma 4 4 7" xfId="1971" xr:uid="{00000000-0005-0000-0000-00001E0A0000}"/>
    <cellStyle name="Comma 4 4 7 2" xfId="4200" xr:uid="{00000000-0005-0000-0000-00001F0A0000}"/>
    <cellStyle name="Comma 4 4 7 2 2" xfId="8423" xr:uid="{00000000-0005-0000-0000-0000200A0000}"/>
    <cellStyle name="Comma 4 4 7 2 2 2" xfId="16862" xr:uid="{E8704DE5-47B9-4746-998E-CDB2877B2E67}"/>
    <cellStyle name="Comma 4 4 7 2 3" xfId="12644" xr:uid="{0806D9E0-B37A-4152-81CF-A2F35B4D0C24}"/>
    <cellStyle name="Comma 4 4 7 3" xfId="6278" xr:uid="{00000000-0005-0000-0000-0000210A0000}"/>
    <cellStyle name="Comma 4 4 7 3 2" xfId="14717" xr:uid="{ED9089D7-E572-461B-9EAB-80E6C3CE04D4}"/>
    <cellStyle name="Comma 4 4 7 4" xfId="10499" xr:uid="{EE37E7EE-010E-465D-930F-87A7B3177FDF}"/>
    <cellStyle name="Comma 4 4 8" xfId="2406" xr:uid="{00000000-0005-0000-0000-0000220A0000}"/>
    <cellStyle name="Comma 4 4 8 2" xfId="6691" xr:uid="{00000000-0005-0000-0000-0000230A0000}"/>
    <cellStyle name="Comma 4 4 8 2 2" xfId="15130" xr:uid="{8C89D96D-AABF-4311-92F5-CD3A2D0B91E8}"/>
    <cellStyle name="Comma 4 4 8 3" xfId="10912" xr:uid="{855BDB7A-6BBD-4D5F-A53F-BC1E2BE3AF0A}"/>
    <cellStyle name="Comma 4 4 9" xfId="2702" xr:uid="{00000000-0005-0000-0000-0000240A0000}"/>
    <cellStyle name="Comma 4 5" xfId="157" xr:uid="{00000000-0005-0000-0000-0000250A0000}"/>
    <cellStyle name="Comma 4 5 10" xfId="4629" xr:uid="{00000000-0005-0000-0000-0000260A0000}"/>
    <cellStyle name="Comma 4 5 10 2" xfId="13068" xr:uid="{590DB5E3-3EC7-4C22-836B-E334ADC18E3A}"/>
    <cellStyle name="Comma 4 5 11" xfId="8850" xr:uid="{2370A95E-56DD-4046-BECB-5DE6A022400C}"/>
    <cellStyle name="Comma 4 5 2" xfId="158" xr:uid="{00000000-0005-0000-0000-0000270A0000}"/>
    <cellStyle name="Comma 4 5 2 10" xfId="8851" xr:uid="{A649AA97-32A1-4641-B4A6-65E962EC3E2E}"/>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5A450092-E910-46BE-AE8F-9CAFE2E7DC6A}"/>
    <cellStyle name="Comma 4 5 2 2 2 3" xfId="11410" xr:uid="{C9FC4660-31C4-4D44-9B7B-60284634A396}"/>
    <cellStyle name="Comma 4 5 2 2 3" xfId="5044" xr:uid="{00000000-0005-0000-0000-00002B0A0000}"/>
    <cellStyle name="Comma 4 5 2 2 3 2" xfId="13483" xr:uid="{3CBEB7BA-1E75-4921-BD89-8039CED73A73}"/>
    <cellStyle name="Comma 4 5 2 2 4" xfId="9265" xr:uid="{E36E5F03-1560-450C-8716-223585EB03AF}"/>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E6FA0766-95F1-4959-9C8C-AC551683520B}"/>
    <cellStyle name="Comma 4 5 2 3 2 3" xfId="11823" xr:uid="{152A1D11-6FBB-4266-908A-D430B5500D44}"/>
    <cellStyle name="Comma 4 5 2 3 3" xfId="5457" xr:uid="{00000000-0005-0000-0000-00002F0A0000}"/>
    <cellStyle name="Comma 4 5 2 3 3 2" xfId="13896" xr:uid="{B4A28796-6AA3-4DD3-8461-86B1025A0A80}"/>
    <cellStyle name="Comma 4 5 2 3 4" xfId="9678" xr:uid="{6FD546D3-A031-4566-B9E2-54E52A2FB429}"/>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8188D7E1-58C9-494B-A8ED-12BFAE31DB33}"/>
    <cellStyle name="Comma 4 5 2 4 2 3" xfId="12236" xr:uid="{8795432A-315D-4734-9321-3831CB62F353}"/>
    <cellStyle name="Comma 4 5 2 4 3" xfId="5870" xr:uid="{00000000-0005-0000-0000-0000330A0000}"/>
    <cellStyle name="Comma 4 5 2 4 3 2" xfId="14309" xr:uid="{74D7946A-8757-4A81-9369-F6D6C1A77D5D}"/>
    <cellStyle name="Comma 4 5 2 4 4" xfId="10091" xr:uid="{7DA2447F-734A-48A1-B5A5-FEA6EE50742B}"/>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552893F4-6B70-4AD1-8B78-4565E0E30DB0}"/>
    <cellStyle name="Comma 4 5 2 5 2 3" xfId="12649" xr:uid="{F64E6E3B-E3B1-426C-A51D-B214ABF4A710}"/>
    <cellStyle name="Comma 4 5 2 5 3" xfId="6283" xr:uid="{00000000-0005-0000-0000-0000370A0000}"/>
    <cellStyle name="Comma 4 5 2 5 3 2" xfId="14722" xr:uid="{272033FA-2BEB-427C-B710-242C990D4D14}"/>
    <cellStyle name="Comma 4 5 2 5 4" xfId="10504" xr:uid="{51DDA9BD-87A9-4B29-B721-8087440C263C}"/>
    <cellStyle name="Comma 4 5 2 6" xfId="2411" xr:uid="{00000000-0005-0000-0000-0000380A0000}"/>
    <cellStyle name="Comma 4 5 2 6 2" xfId="6696" xr:uid="{00000000-0005-0000-0000-0000390A0000}"/>
    <cellStyle name="Comma 4 5 2 6 2 2" xfId="15135" xr:uid="{A85F7EBF-E501-4134-8D8B-5C612D2B79BE}"/>
    <cellStyle name="Comma 4 5 2 6 3" xfId="10917" xr:uid="{02D949FC-4261-4C04-AA67-446ED8C18E0A}"/>
    <cellStyle name="Comma 4 5 2 7" xfId="2707" xr:uid="{00000000-0005-0000-0000-00003A0A0000}"/>
    <cellStyle name="Comma 4 5 2 8" xfId="2789" xr:uid="{00000000-0005-0000-0000-00003B0A0000}"/>
    <cellStyle name="Comma 4 5 2 8 2" xfId="7013" xr:uid="{00000000-0005-0000-0000-00003C0A0000}"/>
    <cellStyle name="Comma 4 5 2 8 2 2" xfId="15452" xr:uid="{F244E2FE-5855-40CB-ACB4-CB72D62D4A0B}"/>
    <cellStyle name="Comma 4 5 2 8 3" xfId="11234" xr:uid="{9FD920D3-2CF6-4574-A3DD-F15404B7EE18}"/>
    <cellStyle name="Comma 4 5 2 9" xfId="4630" xr:uid="{00000000-0005-0000-0000-00003D0A0000}"/>
    <cellStyle name="Comma 4 5 2 9 2" xfId="13069" xr:uid="{190FD80E-D319-40CD-A682-C81E49C93788}"/>
    <cellStyle name="Comma 4 5 3" xfId="694" xr:uid="{00000000-0005-0000-0000-00003E0A0000}"/>
    <cellStyle name="Comma 4 5 3 2" xfId="2965" xr:uid="{00000000-0005-0000-0000-00003F0A0000}"/>
    <cellStyle name="Comma 4 5 3 2 2" xfId="7188" xr:uid="{00000000-0005-0000-0000-0000400A0000}"/>
    <cellStyle name="Comma 4 5 3 2 2 2" xfId="15627" xr:uid="{28215718-D177-4AC8-A441-ADEE2237CBE3}"/>
    <cellStyle name="Comma 4 5 3 2 3" xfId="11409" xr:uid="{EAF266EE-4E6A-430C-AB3C-BC7AD0DBD003}"/>
    <cellStyle name="Comma 4 5 3 3" xfId="5043" xr:uid="{00000000-0005-0000-0000-0000410A0000}"/>
    <cellStyle name="Comma 4 5 3 3 2" xfId="13482" xr:uid="{A6F1DF96-DCDE-4CC8-9979-A2027090583A}"/>
    <cellStyle name="Comma 4 5 3 4" xfId="9264" xr:uid="{2A5FBBFE-12F1-4A2B-8C75-08EC50725E65}"/>
    <cellStyle name="Comma 4 5 4" xfId="1147" xr:uid="{00000000-0005-0000-0000-0000420A0000}"/>
    <cellStyle name="Comma 4 5 4 2" xfId="3378" xr:uid="{00000000-0005-0000-0000-0000430A0000}"/>
    <cellStyle name="Comma 4 5 4 2 2" xfId="7601" xr:uid="{00000000-0005-0000-0000-0000440A0000}"/>
    <cellStyle name="Comma 4 5 4 2 2 2" xfId="16040" xr:uid="{BB5C3E22-7125-4B41-9C16-16DEAAAAD14A}"/>
    <cellStyle name="Comma 4 5 4 2 3" xfId="11822" xr:uid="{771B705C-C2DF-4DA5-A47A-5456AE931C09}"/>
    <cellStyle name="Comma 4 5 4 3" xfId="5456" xr:uid="{00000000-0005-0000-0000-0000450A0000}"/>
    <cellStyle name="Comma 4 5 4 3 2" xfId="13895" xr:uid="{E9C3BEC6-7575-4484-AD13-2EC7CB6988D0}"/>
    <cellStyle name="Comma 4 5 4 4" xfId="9677" xr:uid="{0977998C-673E-46D6-B69F-17F4CBADBE6F}"/>
    <cellStyle name="Comma 4 5 5" xfId="1561" xr:uid="{00000000-0005-0000-0000-0000460A0000}"/>
    <cellStyle name="Comma 4 5 5 2" xfId="3791" xr:uid="{00000000-0005-0000-0000-0000470A0000}"/>
    <cellStyle name="Comma 4 5 5 2 2" xfId="8014" xr:uid="{00000000-0005-0000-0000-0000480A0000}"/>
    <cellStyle name="Comma 4 5 5 2 2 2" xfId="16453" xr:uid="{80AB43D1-8F3B-4B25-A1E9-FFEB4674E973}"/>
    <cellStyle name="Comma 4 5 5 2 3" xfId="12235" xr:uid="{2E2CECA0-7E2C-4200-863A-204022D0352B}"/>
    <cellStyle name="Comma 4 5 5 3" xfId="5869" xr:uid="{00000000-0005-0000-0000-0000490A0000}"/>
    <cellStyle name="Comma 4 5 5 3 2" xfId="14308" xr:uid="{1D7C5181-741F-4B3F-9BD9-7A7F92B0BB4B}"/>
    <cellStyle name="Comma 4 5 5 4" xfId="10090" xr:uid="{5EB6F829-4111-49B1-AC8F-20B31F9FF2B0}"/>
    <cellStyle name="Comma 4 5 6" xfId="1975" xr:uid="{00000000-0005-0000-0000-00004A0A0000}"/>
    <cellStyle name="Comma 4 5 6 2" xfId="4204" xr:uid="{00000000-0005-0000-0000-00004B0A0000}"/>
    <cellStyle name="Comma 4 5 6 2 2" xfId="8427" xr:uid="{00000000-0005-0000-0000-00004C0A0000}"/>
    <cellStyle name="Comma 4 5 6 2 2 2" xfId="16866" xr:uid="{E7F74A7C-65F9-4067-9115-4D0D208A0FB0}"/>
    <cellStyle name="Comma 4 5 6 2 3" xfId="12648" xr:uid="{D7CA3D25-7911-455B-B566-6D0CA61669B7}"/>
    <cellStyle name="Comma 4 5 6 3" xfId="6282" xr:uid="{00000000-0005-0000-0000-00004D0A0000}"/>
    <cellStyle name="Comma 4 5 6 3 2" xfId="14721" xr:uid="{90631721-D05C-49B4-A0D9-F098EA5AE828}"/>
    <cellStyle name="Comma 4 5 6 4" xfId="10503" xr:uid="{89E1FD70-90F1-4348-B2C1-067064EC400C}"/>
    <cellStyle name="Comma 4 5 7" xfId="2410" xr:uid="{00000000-0005-0000-0000-00004E0A0000}"/>
    <cellStyle name="Comma 4 5 7 2" xfId="6695" xr:uid="{00000000-0005-0000-0000-00004F0A0000}"/>
    <cellStyle name="Comma 4 5 7 2 2" xfId="15134" xr:uid="{B9844062-5D0B-4632-A3B0-92BA83B65CAE}"/>
    <cellStyle name="Comma 4 5 7 3" xfId="10916" xr:uid="{6FE3975A-9655-49D8-83A8-1ECD1D1B3E43}"/>
    <cellStyle name="Comma 4 5 8" xfId="2706" xr:uid="{00000000-0005-0000-0000-0000500A0000}"/>
    <cellStyle name="Comma 4 5 9" xfId="2788" xr:uid="{00000000-0005-0000-0000-0000510A0000}"/>
    <cellStyle name="Comma 4 5 9 2" xfId="7012" xr:uid="{00000000-0005-0000-0000-0000520A0000}"/>
    <cellStyle name="Comma 4 5 9 2 2" xfId="15451" xr:uid="{C38FB312-D85D-40E9-A691-E6983C7C5A80}"/>
    <cellStyle name="Comma 4 5 9 3" xfId="11233" xr:uid="{3266784A-8898-4FF7-B327-B67081ABED86}"/>
    <cellStyle name="Comma 4 6" xfId="159" xr:uid="{00000000-0005-0000-0000-0000530A0000}"/>
    <cellStyle name="Comma 4 6 10" xfId="8852" xr:uid="{56012D9E-BB50-42C2-97DF-3A47830CEFA0}"/>
    <cellStyle name="Comma 4 6 2" xfId="696" xr:uid="{00000000-0005-0000-0000-0000540A0000}"/>
    <cellStyle name="Comma 4 6 2 2" xfId="2967" xr:uid="{00000000-0005-0000-0000-0000550A0000}"/>
    <cellStyle name="Comma 4 6 2 2 2" xfId="7190" xr:uid="{00000000-0005-0000-0000-0000560A0000}"/>
    <cellStyle name="Comma 4 6 2 2 2 2" xfId="15629" xr:uid="{8FA4E2BC-AF8C-4D38-93DC-B946A02CCB80}"/>
    <cellStyle name="Comma 4 6 2 2 3" xfId="11411" xr:uid="{FB4E41B4-1DC9-49E2-8397-BD603F45ECAD}"/>
    <cellStyle name="Comma 4 6 2 3" xfId="5045" xr:uid="{00000000-0005-0000-0000-0000570A0000}"/>
    <cellStyle name="Comma 4 6 2 3 2" xfId="13484" xr:uid="{269E74FA-90DE-451A-A980-324DD754F8AF}"/>
    <cellStyle name="Comma 4 6 2 4" xfId="9266" xr:uid="{B47CC315-93A4-490D-AF2F-EE4F0DFCCC2D}"/>
    <cellStyle name="Comma 4 6 3" xfId="1149" xr:uid="{00000000-0005-0000-0000-0000580A0000}"/>
    <cellStyle name="Comma 4 6 3 2" xfId="3380" xr:uid="{00000000-0005-0000-0000-0000590A0000}"/>
    <cellStyle name="Comma 4 6 3 2 2" xfId="7603" xr:uid="{00000000-0005-0000-0000-00005A0A0000}"/>
    <cellStyle name="Comma 4 6 3 2 2 2" xfId="16042" xr:uid="{E373DAC0-F2AF-4D9D-87BB-7F2CA44835FD}"/>
    <cellStyle name="Comma 4 6 3 2 3" xfId="11824" xr:uid="{3431D8A5-D5D1-4C4B-BD20-55663D5FC07B}"/>
    <cellStyle name="Comma 4 6 3 3" xfId="5458" xr:uid="{00000000-0005-0000-0000-00005B0A0000}"/>
    <cellStyle name="Comma 4 6 3 3 2" xfId="13897" xr:uid="{99EDC132-3C0A-4A8C-9CFD-89804A43DC3C}"/>
    <cellStyle name="Comma 4 6 3 4" xfId="9679" xr:uid="{B82C3705-294D-42B2-BC69-9646B94AC510}"/>
    <cellStyle name="Comma 4 6 4" xfId="1563" xr:uid="{00000000-0005-0000-0000-00005C0A0000}"/>
    <cellStyle name="Comma 4 6 4 2" xfId="3793" xr:uid="{00000000-0005-0000-0000-00005D0A0000}"/>
    <cellStyle name="Comma 4 6 4 2 2" xfId="8016" xr:uid="{00000000-0005-0000-0000-00005E0A0000}"/>
    <cellStyle name="Comma 4 6 4 2 2 2" xfId="16455" xr:uid="{BD90D16F-57ED-4B6A-9B7C-8C69033F35FC}"/>
    <cellStyle name="Comma 4 6 4 2 3" xfId="12237" xr:uid="{EE185372-4F50-4088-A292-F5F4D733DAEB}"/>
    <cellStyle name="Comma 4 6 4 3" xfId="5871" xr:uid="{00000000-0005-0000-0000-00005F0A0000}"/>
    <cellStyle name="Comma 4 6 4 3 2" xfId="14310" xr:uid="{106CAB71-E7BF-4C3D-91CF-BAA22888FE92}"/>
    <cellStyle name="Comma 4 6 4 4" xfId="10092" xr:uid="{8A5B3C48-4621-4380-8A95-8C51599133EB}"/>
    <cellStyle name="Comma 4 6 5" xfId="1977" xr:uid="{00000000-0005-0000-0000-0000600A0000}"/>
    <cellStyle name="Comma 4 6 5 2" xfId="4206" xr:uid="{00000000-0005-0000-0000-0000610A0000}"/>
    <cellStyle name="Comma 4 6 5 2 2" xfId="8429" xr:uid="{00000000-0005-0000-0000-0000620A0000}"/>
    <cellStyle name="Comma 4 6 5 2 2 2" xfId="16868" xr:uid="{02E1467D-20A3-4798-901D-F2AB771E767C}"/>
    <cellStyle name="Comma 4 6 5 2 3" xfId="12650" xr:uid="{ABCC1335-8157-40F0-BBD3-F80D37658F95}"/>
    <cellStyle name="Comma 4 6 5 3" xfId="6284" xr:uid="{00000000-0005-0000-0000-0000630A0000}"/>
    <cellStyle name="Comma 4 6 5 3 2" xfId="14723" xr:uid="{C6451DB3-6A75-41D4-9A62-6BE8F3B88585}"/>
    <cellStyle name="Comma 4 6 5 4" xfId="10505" xr:uid="{BD66C06A-EEA2-40B8-9663-2824500541EF}"/>
    <cellStyle name="Comma 4 6 6" xfId="2412" xr:uid="{00000000-0005-0000-0000-0000640A0000}"/>
    <cellStyle name="Comma 4 6 6 2" xfId="6697" xr:uid="{00000000-0005-0000-0000-0000650A0000}"/>
    <cellStyle name="Comma 4 6 6 2 2" xfId="15136" xr:uid="{3F065326-879A-4EA1-85CC-A1714841AAAC}"/>
    <cellStyle name="Comma 4 6 6 3" xfId="10918" xr:uid="{81242FB4-13D5-421F-84CC-BDEBD300C368}"/>
    <cellStyle name="Comma 4 6 7" xfId="2708" xr:uid="{00000000-0005-0000-0000-0000660A0000}"/>
    <cellStyle name="Comma 4 6 8" xfId="2790" xr:uid="{00000000-0005-0000-0000-0000670A0000}"/>
    <cellStyle name="Comma 4 6 8 2" xfId="7014" xr:uid="{00000000-0005-0000-0000-0000680A0000}"/>
    <cellStyle name="Comma 4 6 8 2 2" xfId="15453" xr:uid="{005DA47D-D4A9-4939-9A5C-61B423FB5C54}"/>
    <cellStyle name="Comma 4 6 8 3" xfId="11235" xr:uid="{0DBE4A04-B0CF-4977-906A-140B038D58CB}"/>
    <cellStyle name="Comma 4 6 9" xfId="4631" xr:uid="{00000000-0005-0000-0000-0000690A0000}"/>
    <cellStyle name="Comma 4 6 9 2" xfId="13070" xr:uid="{D1AFD402-1903-4BC7-A6D0-8C04D5779810}"/>
    <cellStyle name="Comma 4 7" xfId="160" xr:uid="{00000000-0005-0000-0000-00006A0A0000}"/>
    <cellStyle name="Comma 4 7 10" xfId="8853" xr:uid="{5A6BECAE-9F90-4360-A1A2-2928DE568E82}"/>
    <cellStyle name="Comma 4 7 2" xfId="697" xr:uid="{00000000-0005-0000-0000-00006B0A0000}"/>
    <cellStyle name="Comma 4 7 2 2" xfId="2968" xr:uid="{00000000-0005-0000-0000-00006C0A0000}"/>
    <cellStyle name="Comma 4 7 2 2 2" xfId="7191" xr:uid="{00000000-0005-0000-0000-00006D0A0000}"/>
    <cellStyle name="Comma 4 7 2 2 2 2" xfId="15630" xr:uid="{0A96D07E-F315-4197-A845-66860A65B75D}"/>
    <cellStyle name="Comma 4 7 2 2 3" xfId="11412" xr:uid="{62892C8C-E790-4361-8739-8F5D50DAE5C4}"/>
    <cellStyle name="Comma 4 7 2 3" xfId="5046" xr:uid="{00000000-0005-0000-0000-00006E0A0000}"/>
    <cellStyle name="Comma 4 7 2 3 2" xfId="13485" xr:uid="{BF4CAC9E-96C6-4111-AECF-83303C72B18B}"/>
    <cellStyle name="Comma 4 7 2 4" xfId="9267" xr:uid="{97C9F992-F96E-42CA-84F8-0FF08FA75322}"/>
    <cellStyle name="Comma 4 7 3" xfId="1150" xr:uid="{00000000-0005-0000-0000-00006F0A0000}"/>
    <cellStyle name="Comma 4 7 3 2" xfId="3381" xr:uid="{00000000-0005-0000-0000-0000700A0000}"/>
    <cellStyle name="Comma 4 7 3 2 2" xfId="7604" xr:uid="{00000000-0005-0000-0000-0000710A0000}"/>
    <cellStyle name="Comma 4 7 3 2 2 2" xfId="16043" xr:uid="{2BD7379E-430F-48C1-9387-789E7D8F2B01}"/>
    <cellStyle name="Comma 4 7 3 2 3" xfId="11825" xr:uid="{38C3D248-3AB9-4D60-A5AD-A089AAAA6214}"/>
    <cellStyle name="Comma 4 7 3 3" xfId="5459" xr:uid="{00000000-0005-0000-0000-0000720A0000}"/>
    <cellStyle name="Comma 4 7 3 3 2" xfId="13898" xr:uid="{35177318-3511-45B1-A6C6-8D8AEB6D1F7C}"/>
    <cellStyle name="Comma 4 7 3 4" xfId="9680" xr:uid="{472C6CEE-CE73-422F-9CDC-D2B60B5C7079}"/>
    <cellStyle name="Comma 4 7 4" xfId="1564" xr:uid="{00000000-0005-0000-0000-0000730A0000}"/>
    <cellStyle name="Comma 4 7 4 2" xfId="3794" xr:uid="{00000000-0005-0000-0000-0000740A0000}"/>
    <cellStyle name="Comma 4 7 4 2 2" xfId="8017" xr:uid="{00000000-0005-0000-0000-0000750A0000}"/>
    <cellStyle name="Comma 4 7 4 2 2 2" xfId="16456" xr:uid="{B19EC76A-DA4D-484F-B95A-6037C4380A25}"/>
    <cellStyle name="Comma 4 7 4 2 3" xfId="12238" xr:uid="{F1C2CA8A-2D8F-436D-80F1-4C678AC4ECBA}"/>
    <cellStyle name="Comma 4 7 4 3" xfId="5872" xr:uid="{00000000-0005-0000-0000-0000760A0000}"/>
    <cellStyle name="Comma 4 7 4 3 2" xfId="14311" xr:uid="{E371214F-1A86-40F1-9236-822821ED9F80}"/>
    <cellStyle name="Comma 4 7 4 4" xfId="10093" xr:uid="{F3920896-7DC3-4170-92BA-82B6A64A75A8}"/>
    <cellStyle name="Comma 4 7 5" xfId="1978" xr:uid="{00000000-0005-0000-0000-0000770A0000}"/>
    <cellStyle name="Comma 4 7 5 2" xfId="4207" xr:uid="{00000000-0005-0000-0000-0000780A0000}"/>
    <cellStyle name="Comma 4 7 5 2 2" xfId="8430" xr:uid="{00000000-0005-0000-0000-0000790A0000}"/>
    <cellStyle name="Comma 4 7 5 2 2 2" xfId="16869" xr:uid="{DE19B9CA-1FA2-491B-9C7C-4C109382851A}"/>
    <cellStyle name="Comma 4 7 5 2 3" xfId="12651" xr:uid="{02E164CB-1791-485C-B895-1ADEDA9DD459}"/>
    <cellStyle name="Comma 4 7 5 3" xfId="6285" xr:uid="{00000000-0005-0000-0000-00007A0A0000}"/>
    <cellStyle name="Comma 4 7 5 3 2" xfId="14724" xr:uid="{26948F9A-9E89-435B-B823-B95F0B849023}"/>
    <cellStyle name="Comma 4 7 5 4" xfId="10506" xr:uid="{87E0467B-19F2-4D10-82C5-517FF034217D}"/>
    <cellStyle name="Comma 4 7 6" xfId="2413" xr:uid="{00000000-0005-0000-0000-00007B0A0000}"/>
    <cellStyle name="Comma 4 7 6 2" xfId="6698" xr:uid="{00000000-0005-0000-0000-00007C0A0000}"/>
    <cellStyle name="Comma 4 7 6 2 2" xfId="15137" xr:uid="{AB6F2C98-176B-487B-9329-7B0D980E33AE}"/>
    <cellStyle name="Comma 4 7 6 3" xfId="10919" xr:uid="{2191FEC7-4488-4035-A047-251FB1D279BD}"/>
    <cellStyle name="Comma 4 7 7" xfId="2709" xr:uid="{00000000-0005-0000-0000-00007D0A0000}"/>
    <cellStyle name="Comma 4 7 8" xfId="2791" xr:uid="{00000000-0005-0000-0000-00007E0A0000}"/>
    <cellStyle name="Comma 4 7 8 2" xfId="7015" xr:uid="{00000000-0005-0000-0000-00007F0A0000}"/>
    <cellStyle name="Comma 4 7 8 2 2" xfId="15454" xr:uid="{6A706E91-7FCB-42FC-94E7-1A3E71F63C20}"/>
    <cellStyle name="Comma 4 7 8 3" xfId="11236" xr:uid="{AE746583-2DF1-4DFF-BBEE-7850F64C9F4F}"/>
    <cellStyle name="Comma 4 7 9" xfId="4632" xr:uid="{00000000-0005-0000-0000-0000800A0000}"/>
    <cellStyle name="Comma 4 7 9 2" xfId="13071" xr:uid="{E75D4330-B8DE-4EA4-BB4F-1616BD466657}"/>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D9C1434D-8618-4802-8CB8-22578273AC92}"/>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705645E2-3D8A-4E43-913E-3FA0F75A50F7}"/>
    <cellStyle name="Currency 14 3" xfId="8720" xr:uid="{729B09A7-2394-4D7C-912C-1471FB3455A3}"/>
    <cellStyle name="Currency 14 3 2" xfId="8724" xr:uid="{1945FB0F-31EC-4D98-B64C-BAFBADA341A1}"/>
    <cellStyle name="Currency 14 3 3" xfId="17159" xr:uid="{C17C8AF3-71B2-4EE6-BC2B-EB27C33D374C}"/>
    <cellStyle name="Currency 14 4" xfId="12942" xr:uid="{B85EC986-9AD4-4773-AF14-13C100A1AFEB}"/>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4BEA0697-2504-4306-9E21-CD1D839CF78C}"/>
    <cellStyle name="Currency 3 2 2 10 3" xfId="11237" xr:uid="{1ACDCF11-B41A-47DD-9F9D-6D69F4E28A10}"/>
    <cellStyle name="Currency 3 2 2 11" xfId="4633" xr:uid="{00000000-0005-0000-0000-0000A50A0000}"/>
    <cellStyle name="Currency 3 2 2 11 2" xfId="13072" xr:uid="{131C73FE-24BC-4BDF-9C0A-B098889C1D9A}"/>
    <cellStyle name="Currency 3 2 2 12" xfId="8854" xr:uid="{ABA7AE72-AE62-4C38-AEEE-1FFA6BA08A34}"/>
    <cellStyle name="Currency 3 2 2 2" xfId="179" xr:uid="{00000000-0005-0000-0000-0000A60A0000}"/>
    <cellStyle name="Currency 3 2 2 2 10" xfId="4634" xr:uid="{00000000-0005-0000-0000-0000A70A0000}"/>
    <cellStyle name="Currency 3 2 2 2 10 2" xfId="13073" xr:uid="{C6F26EFD-D4CD-4174-8954-258FE2B07924}"/>
    <cellStyle name="Currency 3 2 2 2 11" xfId="8855" xr:uid="{B537F8F9-A263-47CB-9CF8-F0960BB355D0}"/>
    <cellStyle name="Currency 3 2 2 2 2" xfId="180" xr:uid="{00000000-0005-0000-0000-0000A80A0000}"/>
    <cellStyle name="Currency 3 2 2 2 2 10" xfId="8856" xr:uid="{B5D6B01C-8BD1-44A0-B621-714C1B2E2444}"/>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6788B4B9-E160-468E-A80D-E7247A7FF689}"/>
    <cellStyle name="Currency 3 2 2 2 2 2 2 3" xfId="11415" xr:uid="{DBB55B68-035C-4219-AE4D-7043FC203A4D}"/>
    <cellStyle name="Currency 3 2 2 2 2 2 3" xfId="5049" xr:uid="{00000000-0005-0000-0000-0000AC0A0000}"/>
    <cellStyle name="Currency 3 2 2 2 2 2 3 2" xfId="13488" xr:uid="{B61EE8DD-B35A-48D8-B363-F53E5F4ACFF2}"/>
    <cellStyle name="Currency 3 2 2 2 2 2 4" xfId="9270" xr:uid="{A964D85B-1147-4D2B-8892-70E4E3D16946}"/>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074538B6-A0FD-43E4-90DC-4D81469AF536}"/>
    <cellStyle name="Currency 3 2 2 2 2 3 2 3" xfId="11828" xr:uid="{BCD3BA14-6047-43F6-8455-83051651E1A2}"/>
    <cellStyle name="Currency 3 2 2 2 2 3 3" xfId="5462" xr:uid="{00000000-0005-0000-0000-0000B00A0000}"/>
    <cellStyle name="Currency 3 2 2 2 2 3 3 2" xfId="13901" xr:uid="{8B56C691-91E4-4E5A-B1B4-4CBCCBF39805}"/>
    <cellStyle name="Currency 3 2 2 2 2 3 4" xfId="9683" xr:uid="{361EE5FC-47EF-4A46-A084-5ADB324435C4}"/>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FDD88F32-E196-45AD-B267-F75FDD6C1263}"/>
    <cellStyle name="Currency 3 2 2 2 2 4 2 3" xfId="12241" xr:uid="{4391DE88-8CC6-4849-91A4-345B9761DD0D}"/>
    <cellStyle name="Currency 3 2 2 2 2 4 3" xfId="5875" xr:uid="{00000000-0005-0000-0000-0000B40A0000}"/>
    <cellStyle name="Currency 3 2 2 2 2 4 3 2" xfId="14314" xr:uid="{393F8774-7AB3-47A8-9AD4-564603CC64B7}"/>
    <cellStyle name="Currency 3 2 2 2 2 4 4" xfId="10096" xr:uid="{0777A108-EEEA-43D9-90AC-8E29AE94A10F}"/>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9B772493-0CF6-45C3-B816-0E45AE7D9147}"/>
    <cellStyle name="Currency 3 2 2 2 2 5 2 3" xfId="12654" xr:uid="{9390FF92-E2D0-4C54-A5EC-D295062DDA72}"/>
    <cellStyle name="Currency 3 2 2 2 2 5 3" xfId="6288" xr:uid="{00000000-0005-0000-0000-0000B80A0000}"/>
    <cellStyle name="Currency 3 2 2 2 2 5 3 2" xfId="14727" xr:uid="{C364DD26-9159-4137-9BDA-D1CD67E903A7}"/>
    <cellStyle name="Currency 3 2 2 2 2 5 4" xfId="10509" xr:uid="{9B8D0FD8-A34A-4CCF-8F40-23B7FA0A620D}"/>
    <cellStyle name="Currency 3 2 2 2 2 6" xfId="2416" xr:uid="{00000000-0005-0000-0000-0000B90A0000}"/>
    <cellStyle name="Currency 3 2 2 2 2 6 2" xfId="6701" xr:uid="{00000000-0005-0000-0000-0000BA0A0000}"/>
    <cellStyle name="Currency 3 2 2 2 2 6 2 2" xfId="15140" xr:uid="{AF76C761-D43B-4FB9-A7C2-DF81A177EDBB}"/>
    <cellStyle name="Currency 3 2 2 2 2 6 3" xfId="10922" xr:uid="{ACBF98B9-B89E-4699-83F1-C44EA35F8326}"/>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32CCD65F-53BC-4AC0-B6F4-19D3EC3B3ECA}"/>
    <cellStyle name="Currency 3 2 2 2 2 8 3" xfId="11239" xr:uid="{B29145E0-213E-4C0C-937A-6E3C2A0E9067}"/>
    <cellStyle name="Currency 3 2 2 2 2 9" xfId="4635" xr:uid="{00000000-0005-0000-0000-0000BE0A0000}"/>
    <cellStyle name="Currency 3 2 2 2 2 9 2" xfId="13074" xr:uid="{72429086-506E-441F-ADD0-D1F21CD2FDFC}"/>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90201BD0-7D92-4DBC-90ED-12F2D7F698BC}"/>
    <cellStyle name="Currency 3 2 2 2 3 2 3" xfId="11414" xr:uid="{874BC5F7-78A3-49B2-83F0-D09C2F058EFC}"/>
    <cellStyle name="Currency 3 2 2 2 3 3" xfId="5048" xr:uid="{00000000-0005-0000-0000-0000C20A0000}"/>
    <cellStyle name="Currency 3 2 2 2 3 3 2" xfId="13487" xr:uid="{CE3D2641-C785-4BBB-A169-73E293CF214F}"/>
    <cellStyle name="Currency 3 2 2 2 3 4" xfId="9269" xr:uid="{AC58FFB0-6002-43B2-94B9-366232E68049}"/>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00F7AE3D-18C5-43BD-AA12-358E830DED9D}"/>
    <cellStyle name="Currency 3 2 2 2 4 2 3" xfId="11827" xr:uid="{D8818DED-6C51-48C3-9FE2-193A02D59F6F}"/>
    <cellStyle name="Currency 3 2 2 2 4 3" xfId="5461" xr:uid="{00000000-0005-0000-0000-0000C60A0000}"/>
    <cellStyle name="Currency 3 2 2 2 4 3 2" xfId="13900" xr:uid="{295B0580-E23C-4BBF-9761-5C9E611E31E6}"/>
    <cellStyle name="Currency 3 2 2 2 4 4" xfId="9682" xr:uid="{01301D6D-DEBA-4B9E-BE7D-4F29F8E57D8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2C798BC5-7CE2-4B2F-976C-46B53A5B8965}"/>
    <cellStyle name="Currency 3 2 2 2 5 2 3" xfId="12240" xr:uid="{873E4636-2A66-4FC4-96E3-5ECD7D577E15}"/>
    <cellStyle name="Currency 3 2 2 2 5 3" xfId="5874" xr:uid="{00000000-0005-0000-0000-0000CA0A0000}"/>
    <cellStyle name="Currency 3 2 2 2 5 3 2" xfId="14313" xr:uid="{BF450748-43E3-403E-848C-6DA457F71941}"/>
    <cellStyle name="Currency 3 2 2 2 5 4" xfId="10095" xr:uid="{A627084A-F6D0-46E9-9EA3-274EFAE93FC5}"/>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FE00C7EE-981E-402F-B980-80AA4E677E4B}"/>
    <cellStyle name="Currency 3 2 2 2 6 2 3" xfId="12653" xr:uid="{B9A63A5C-8456-4E8E-A8DE-E400595B26C3}"/>
    <cellStyle name="Currency 3 2 2 2 6 3" xfId="6287" xr:uid="{00000000-0005-0000-0000-0000CE0A0000}"/>
    <cellStyle name="Currency 3 2 2 2 6 3 2" xfId="14726" xr:uid="{AAD453D6-9196-4892-BE20-5CA2BFF7962A}"/>
    <cellStyle name="Currency 3 2 2 2 6 4" xfId="10508" xr:uid="{7A5E9152-1E99-41E5-9792-0D1AE1704EB9}"/>
    <cellStyle name="Currency 3 2 2 2 7" xfId="2415" xr:uid="{00000000-0005-0000-0000-0000CF0A0000}"/>
    <cellStyle name="Currency 3 2 2 2 7 2" xfId="6700" xr:uid="{00000000-0005-0000-0000-0000D00A0000}"/>
    <cellStyle name="Currency 3 2 2 2 7 2 2" xfId="15139" xr:uid="{1669527F-F385-46DD-80F8-C7A2F00198ED}"/>
    <cellStyle name="Currency 3 2 2 2 7 3" xfId="10921" xr:uid="{132B07DB-8FC3-4817-90A5-659B51851081}"/>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54BC8D21-D755-4A94-9D64-AFBE89BE4CE7}"/>
    <cellStyle name="Currency 3 2 2 2 9 3" xfId="11238" xr:uid="{44C044F5-8D89-4CFB-A0FF-D312CD63F6C7}"/>
    <cellStyle name="Currency 3 2 2 3" xfId="181" xr:uid="{00000000-0005-0000-0000-0000D40A0000}"/>
    <cellStyle name="Currency 3 2 2 3 10" xfId="8857" xr:uid="{8F98B3FB-1634-4481-AEF6-5F26E42192BA}"/>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8B114C19-3FC8-4C8E-A9AA-0E5F0E0862F0}"/>
    <cellStyle name="Currency 3 2 2 3 2 2 3" xfId="11416" xr:uid="{1FFB28A3-7D83-4C09-99E4-2C2F7BEC23A1}"/>
    <cellStyle name="Currency 3 2 2 3 2 3" xfId="5050" xr:uid="{00000000-0005-0000-0000-0000D80A0000}"/>
    <cellStyle name="Currency 3 2 2 3 2 3 2" xfId="13489" xr:uid="{539776D2-DFA0-46D7-9B37-21B3C9416E2C}"/>
    <cellStyle name="Currency 3 2 2 3 2 4" xfId="9271" xr:uid="{C53B8F8C-14E2-4B28-AD74-D7C0DFBB8D4A}"/>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C6AABBF4-56F3-480B-82F9-C609D52FFA94}"/>
    <cellStyle name="Currency 3 2 2 3 3 2 3" xfId="11829" xr:uid="{10C79BD2-FE6F-4C03-BF7D-15EA9F8A5861}"/>
    <cellStyle name="Currency 3 2 2 3 3 3" xfId="5463" xr:uid="{00000000-0005-0000-0000-0000DC0A0000}"/>
    <cellStyle name="Currency 3 2 2 3 3 3 2" xfId="13902" xr:uid="{C5103470-6459-4B7F-976B-5465AAD3EADD}"/>
    <cellStyle name="Currency 3 2 2 3 3 4" xfId="9684" xr:uid="{CB83E5DA-C399-446F-B8C4-326A363D3957}"/>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D84EFDD2-50DF-47F5-9B65-E3A12184FE65}"/>
    <cellStyle name="Currency 3 2 2 3 4 2 3" xfId="12242" xr:uid="{DFFC0784-3AD3-4EEC-B098-85597E37F855}"/>
    <cellStyle name="Currency 3 2 2 3 4 3" xfId="5876" xr:uid="{00000000-0005-0000-0000-0000E00A0000}"/>
    <cellStyle name="Currency 3 2 2 3 4 3 2" xfId="14315" xr:uid="{F918B6A4-BCAB-4EE2-8FA0-8CD667E1376E}"/>
    <cellStyle name="Currency 3 2 2 3 4 4" xfId="10097" xr:uid="{2FD2BEC0-C320-4C22-9572-3F3A0A7131CE}"/>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E94EFE72-101D-463B-BE41-C282FC87DF9D}"/>
    <cellStyle name="Currency 3 2 2 3 5 2 3" xfId="12655" xr:uid="{8844C2D2-655E-474E-BAAA-065D15393AC2}"/>
    <cellStyle name="Currency 3 2 2 3 5 3" xfId="6289" xr:uid="{00000000-0005-0000-0000-0000E40A0000}"/>
    <cellStyle name="Currency 3 2 2 3 5 3 2" xfId="14728" xr:uid="{6D98F866-A224-4646-8224-1D1DA8BBC60B}"/>
    <cellStyle name="Currency 3 2 2 3 5 4" xfId="10510" xr:uid="{2F8A9E2D-E73C-4535-9B00-477C4CD08341}"/>
    <cellStyle name="Currency 3 2 2 3 6" xfId="2417" xr:uid="{00000000-0005-0000-0000-0000E50A0000}"/>
    <cellStyle name="Currency 3 2 2 3 6 2" xfId="6702" xr:uid="{00000000-0005-0000-0000-0000E60A0000}"/>
    <cellStyle name="Currency 3 2 2 3 6 2 2" xfId="15141" xr:uid="{058F9C98-A871-4A3B-B2BD-F665C087BBD7}"/>
    <cellStyle name="Currency 3 2 2 3 6 3" xfId="10923" xr:uid="{63F8DA63-E716-4ABE-9CC0-6B36FBB57796}"/>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0070BE2B-AB95-4570-AE5A-733AB10243C5}"/>
    <cellStyle name="Currency 3 2 2 3 8 3" xfId="11240" xr:uid="{8F12122B-8D4E-4C11-8EF2-384FC17F481A}"/>
    <cellStyle name="Currency 3 2 2 3 9" xfId="4636" xr:uid="{00000000-0005-0000-0000-0000EA0A0000}"/>
    <cellStyle name="Currency 3 2 2 3 9 2" xfId="13075" xr:uid="{4FD5116D-EB99-44B2-AA24-659B327F001B}"/>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00F2C34E-DBFD-4ACC-9A78-E57BCB90A8C5}"/>
    <cellStyle name="Currency 3 2 2 4 2 3" xfId="11413" xr:uid="{CAAA1A52-09F1-41B7-AA95-92857501C585}"/>
    <cellStyle name="Currency 3 2 2 4 3" xfId="5047" xr:uid="{00000000-0005-0000-0000-0000EE0A0000}"/>
    <cellStyle name="Currency 3 2 2 4 3 2" xfId="13486" xr:uid="{C90E02C2-3138-430B-81EE-E7942F6C469E}"/>
    <cellStyle name="Currency 3 2 2 4 4" xfId="9268" xr:uid="{942F0BFD-D525-48E3-8346-31401701FF0D}"/>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D2B18E64-9BE7-4A03-A291-99F2E9127F58}"/>
    <cellStyle name="Currency 3 2 2 5 2 3" xfId="11826" xr:uid="{9487E41F-7018-4205-A192-004912CAA250}"/>
    <cellStyle name="Currency 3 2 2 5 3" xfId="5460" xr:uid="{00000000-0005-0000-0000-0000F20A0000}"/>
    <cellStyle name="Currency 3 2 2 5 3 2" xfId="13899" xr:uid="{D019BD6D-2DCB-4C4A-A071-B05119B248B4}"/>
    <cellStyle name="Currency 3 2 2 5 4" xfId="9681" xr:uid="{8F1F71E6-CE2F-496A-B1E5-E1899C4B2131}"/>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402C4641-D0FB-43C2-AA72-476FFADB0651}"/>
    <cellStyle name="Currency 3 2 2 6 2 3" xfId="12239" xr:uid="{736E0CC1-8BBE-452D-A0F9-B25E4472B265}"/>
    <cellStyle name="Currency 3 2 2 6 3" xfId="5873" xr:uid="{00000000-0005-0000-0000-0000F60A0000}"/>
    <cellStyle name="Currency 3 2 2 6 3 2" xfId="14312" xr:uid="{14E940B1-BD86-47D8-941A-D50BD08C3D5E}"/>
    <cellStyle name="Currency 3 2 2 6 4" xfId="10094" xr:uid="{835F5394-2652-4620-9DCC-6C9317D13BA0}"/>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49221AC0-5B21-46A7-887A-0991522E6BE0}"/>
    <cellStyle name="Currency 3 2 2 7 2 3" xfId="12652" xr:uid="{639CCA29-0DDC-4F6E-9518-52866DE74122}"/>
    <cellStyle name="Currency 3 2 2 7 3" xfId="6286" xr:uid="{00000000-0005-0000-0000-0000FA0A0000}"/>
    <cellStyle name="Currency 3 2 2 7 3 2" xfId="14725" xr:uid="{3C5BDE64-BCC9-46BF-B2E1-C8FF6E47F9AE}"/>
    <cellStyle name="Currency 3 2 2 7 4" xfId="10507" xr:uid="{BD2FA44B-2837-47A6-9257-E4616C7D1C72}"/>
    <cellStyle name="Currency 3 2 2 8" xfId="2414" xr:uid="{00000000-0005-0000-0000-0000FB0A0000}"/>
    <cellStyle name="Currency 3 2 2 8 2" xfId="6699" xr:uid="{00000000-0005-0000-0000-0000FC0A0000}"/>
    <cellStyle name="Currency 3 2 2 8 2 2" xfId="15138" xr:uid="{830DA2A6-7878-4EF5-81C7-AD312CB1EE20}"/>
    <cellStyle name="Currency 3 2 2 8 3" xfId="10920" xr:uid="{AD578A12-ADBF-4138-84AF-86BFC4317F2A}"/>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A0A80F66-7173-41B7-AB23-B71123BFEB62}"/>
    <cellStyle name="Currency 3 2 3 11" xfId="8858" xr:uid="{A71BFB41-73B4-4133-A5B4-8D8C846ADEE7}"/>
    <cellStyle name="Currency 3 2 3 2" xfId="183" xr:uid="{00000000-0005-0000-0000-0000000B0000}"/>
    <cellStyle name="Currency 3 2 3 2 10" xfId="8859" xr:uid="{D601FCBE-D09E-4317-B7F9-E37B7BD57DE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5F5D2E99-DD15-47FA-9911-C0C578066F3B}"/>
    <cellStyle name="Currency 3 2 3 2 2 2 3" xfId="11418" xr:uid="{3B836AC9-BF3C-4678-B24E-A2A55CF1734F}"/>
    <cellStyle name="Currency 3 2 3 2 2 3" xfId="5052" xr:uid="{00000000-0005-0000-0000-0000040B0000}"/>
    <cellStyle name="Currency 3 2 3 2 2 3 2" xfId="13491" xr:uid="{C5EA44BB-9F18-452D-8036-70ECDF13E43C}"/>
    <cellStyle name="Currency 3 2 3 2 2 4" xfId="9273" xr:uid="{DE7B6A1A-2152-46E6-92A5-6AB39D5068AA}"/>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28CD0151-3E69-44F1-B698-1E457B6688CA}"/>
    <cellStyle name="Currency 3 2 3 2 3 2 3" xfId="11831" xr:uid="{F1547E9B-4D45-4846-9F93-038D711F76FD}"/>
    <cellStyle name="Currency 3 2 3 2 3 3" xfId="5465" xr:uid="{00000000-0005-0000-0000-0000080B0000}"/>
    <cellStyle name="Currency 3 2 3 2 3 3 2" xfId="13904" xr:uid="{49DF4260-3F12-435B-9B4C-ADF795E816D5}"/>
    <cellStyle name="Currency 3 2 3 2 3 4" xfId="9686" xr:uid="{480D6A13-EF5D-4482-849E-B620D3B745C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EEE7AFD9-2CEC-458E-A846-45BF44FDE4C4}"/>
    <cellStyle name="Currency 3 2 3 2 4 2 3" xfId="12244" xr:uid="{CB51651F-B7DD-4F4F-B706-6B369EB61D2B}"/>
    <cellStyle name="Currency 3 2 3 2 4 3" xfId="5878" xr:uid="{00000000-0005-0000-0000-00000C0B0000}"/>
    <cellStyle name="Currency 3 2 3 2 4 3 2" xfId="14317" xr:uid="{118DA2F0-D379-43B1-AE4A-92E818DE5C5E}"/>
    <cellStyle name="Currency 3 2 3 2 4 4" xfId="10099" xr:uid="{A6F63304-08CF-41A7-A5D2-5970B82CC24A}"/>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7ECD2217-6454-4D19-B7B7-97D586C0C4C5}"/>
    <cellStyle name="Currency 3 2 3 2 5 2 3" xfId="12657" xr:uid="{5DC3BFD1-F731-4C68-879C-959FF6FB1ACA}"/>
    <cellStyle name="Currency 3 2 3 2 5 3" xfId="6291" xr:uid="{00000000-0005-0000-0000-0000100B0000}"/>
    <cellStyle name="Currency 3 2 3 2 5 3 2" xfId="14730" xr:uid="{6B55C7AE-21F3-4F47-B85F-0F74D71BC85E}"/>
    <cellStyle name="Currency 3 2 3 2 5 4" xfId="10512" xr:uid="{6F28B5BC-2D81-46A9-A0F9-39C0EF8E0ED6}"/>
    <cellStyle name="Currency 3 2 3 2 6" xfId="2419" xr:uid="{00000000-0005-0000-0000-0000110B0000}"/>
    <cellStyle name="Currency 3 2 3 2 6 2" xfId="6704" xr:uid="{00000000-0005-0000-0000-0000120B0000}"/>
    <cellStyle name="Currency 3 2 3 2 6 2 2" xfId="15143" xr:uid="{7761AC59-3FAA-47EE-B381-F655A51745A0}"/>
    <cellStyle name="Currency 3 2 3 2 6 3" xfId="10925" xr:uid="{D56C3878-7EA3-4BF1-9BF6-DA2ABAC49D03}"/>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24831D4E-C4EC-4112-B4ED-28A76F195AAF}"/>
    <cellStyle name="Currency 3 2 3 2 8 3" xfId="11242" xr:uid="{ABBBFDDE-7F12-437B-B4A3-1D26AF317D93}"/>
    <cellStyle name="Currency 3 2 3 2 9" xfId="4638" xr:uid="{00000000-0005-0000-0000-0000160B0000}"/>
    <cellStyle name="Currency 3 2 3 2 9 2" xfId="13077" xr:uid="{26069D26-CB1A-4A57-BE88-4F2273AA131B}"/>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7121294D-CC9E-453E-8822-E27E5F46B3A6}"/>
    <cellStyle name="Currency 3 2 3 3 2 3" xfId="11417" xr:uid="{AF7871B1-38C9-4F76-8F39-992757A9D668}"/>
    <cellStyle name="Currency 3 2 3 3 3" xfId="5051" xr:uid="{00000000-0005-0000-0000-00001A0B0000}"/>
    <cellStyle name="Currency 3 2 3 3 3 2" xfId="13490" xr:uid="{FAC92158-4630-4E7F-821F-BABD7974A411}"/>
    <cellStyle name="Currency 3 2 3 3 4" xfId="9272" xr:uid="{A9FE34DD-073E-41CB-A06F-91B4573200AE}"/>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4D440BBB-849B-45E2-8C18-56648353514C}"/>
    <cellStyle name="Currency 3 2 3 4 2 3" xfId="11830" xr:uid="{A5949F0E-CE12-42D2-813E-1751768C34B5}"/>
    <cellStyle name="Currency 3 2 3 4 3" xfId="5464" xr:uid="{00000000-0005-0000-0000-00001E0B0000}"/>
    <cellStyle name="Currency 3 2 3 4 3 2" xfId="13903" xr:uid="{1E3DDD5D-D81C-4161-B484-138A9BFAC9EE}"/>
    <cellStyle name="Currency 3 2 3 4 4" xfId="9685" xr:uid="{2FCEA5D9-8CD0-4FA1-9C7D-C7997EC98782}"/>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AED04FCD-65D7-458C-B64F-607942A80860}"/>
    <cellStyle name="Currency 3 2 3 5 2 3" xfId="12243" xr:uid="{2F15B117-71F1-418F-A7E0-2314D53150D0}"/>
    <cellStyle name="Currency 3 2 3 5 3" xfId="5877" xr:uid="{00000000-0005-0000-0000-0000220B0000}"/>
    <cellStyle name="Currency 3 2 3 5 3 2" xfId="14316" xr:uid="{075D6610-415F-464C-8AF6-550B175F434B}"/>
    <cellStyle name="Currency 3 2 3 5 4" xfId="10098" xr:uid="{BCC8B3D1-1D1C-4459-AD2D-25405BDE881D}"/>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567A4AC0-779F-4BFF-822D-C202F2DAD1E7}"/>
    <cellStyle name="Currency 3 2 3 6 2 3" xfId="12656" xr:uid="{0F4F73E1-8397-4460-9A82-EA8203983F0B}"/>
    <cellStyle name="Currency 3 2 3 6 3" xfId="6290" xr:uid="{00000000-0005-0000-0000-0000260B0000}"/>
    <cellStyle name="Currency 3 2 3 6 3 2" xfId="14729" xr:uid="{64BDC266-64B9-4303-98BE-23FBE5CCE581}"/>
    <cellStyle name="Currency 3 2 3 6 4" xfId="10511" xr:uid="{90EF0895-9B99-40DF-849B-8B9F246AAF27}"/>
    <cellStyle name="Currency 3 2 3 7" xfId="2418" xr:uid="{00000000-0005-0000-0000-0000270B0000}"/>
    <cellStyle name="Currency 3 2 3 7 2" xfId="6703" xr:uid="{00000000-0005-0000-0000-0000280B0000}"/>
    <cellStyle name="Currency 3 2 3 7 2 2" xfId="15142" xr:uid="{256EE7D6-CEF0-4A6B-9334-983B2B605988}"/>
    <cellStyle name="Currency 3 2 3 7 3" xfId="10924" xr:uid="{86DE8189-1CAF-450E-8908-927D330734D3}"/>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0F9C25D9-0ED4-4FDD-9F19-81E5E0BAAA6B}"/>
    <cellStyle name="Currency 3 2 3 9 3" xfId="11241" xr:uid="{0675EA82-DACE-4887-82D7-244B9A61657E}"/>
    <cellStyle name="Currency 3 2 4" xfId="184" xr:uid="{00000000-0005-0000-0000-00002C0B0000}"/>
    <cellStyle name="Currency 3 2 4 10" xfId="8860" xr:uid="{F2A829E4-2E7E-4EC1-AF77-E77BE6D2801D}"/>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52340DCA-0282-46D8-BB7A-D31395D06264}"/>
    <cellStyle name="Currency 3 2 4 2 2 3" xfId="11419" xr:uid="{FD78427B-4E7C-4D27-B1B0-439B8782D2BC}"/>
    <cellStyle name="Currency 3 2 4 2 3" xfId="5053" xr:uid="{00000000-0005-0000-0000-0000300B0000}"/>
    <cellStyle name="Currency 3 2 4 2 3 2" xfId="13492" xr:uid="{08EDBBDB-5453-411B-B673-42A3A993DCAB}"/>
    <cellStyle name="Currency 3 2 4 2 4" xfId="9274" xr:uid="{8978931F-C35A-4AAD-8218-2AC3AEA666D8}"/>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29185B55-3446-4F3E-BEC9-AD1328A07CC5}"/>
    <cellStyle name="Currency 3 2 4 3 2 3" xfId="11832" xr:uid="{1926886F-59B0-42A9-878A-08842C0F32FB}"/>
    <cellStyle name="Currency 3 2 4 3 3" xfId="5466" xr:uid="{00000000-0005-0000-0000-0000340B0000}"/>
    <cellStyle name="Currency 3 2 4 3 3 2" xfId="13905" xr:uid="{AED078FD-C1E5-495F-8F73-E0944BACF14B}"/>
    <cellStyle name="Currency 3 2 4 3 4" xfId="9687" xr:uid="{45E8D83E-2FDA-401D-B9F9-0CD3850C03A1}"/>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A3B699CA-7D55-4903-ACF0-AB638FB959A4}"/>
    <cellStyle name="Currency 3 2 4 4 2 3" xfId="12245" xr:uid="{7A24A8DE-47B5-4CA4-AB80-6B4BE4938221}"/>
    <cellStyle name="Currency 3 2 4 4 3" xfId="5879" xr:uid="{00000000-0005-0000-0000-0000380B0000}"/>
    <cellStyle name="Currency 3 2 4 4 3 2" xfId="14318" xr:uid="{B7978272-FB68-473F-ACEA-1698D55B2244}"/>
    <cellStyle name="Currency 3 2 4 4 4" xfId="10100" xr:uid="{4E58F7EA-6CBF-46CD-B13D-7CAFE02BF5DF}"/>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2D500611-F8B9-4AE8-BDFA-6F3A19D0BF87}"/>
    <cellStyle name="Currency 3 2 4 5 2 3" xfId="12658" xr:uid="{B9D65638-1FDB-4DFA-8BA9-97CFB92B4553}"/>
    <cellStyle name="Currency 3 2 4 5 3" xfId="6292" xr:uid="{00000000-0005-0000-0000-00003C0B0000}"/>
    <cellStyle name="Currency 3 2 4 5 3 2" xfId="14731" xr:uid="{E6B9D0D7-448E-4AD8-8755-D3D4BC846DD1}"/>
    <cellStyle name="Currency 3 2 4 5 4" xfId="10513" xr:uid="{1EE8360B-206B-4C2C-B2B7-1ACBF02374ED}"/>
    <cellStyle name="Currency 3 2 4 6" xfId="2420" xr:uid="{00000000-0005-0000-0000-00003D0B0000}"/>
    <cellStyle name="Currency 3 2 4 6 2" xfId="6705" xr:uid="{00000000-0005-0000-0000-00003E0B0000}"/>
    <cellStyle name="Currency 3 2 4 6 2 2" xfId="15144" xr:uid="{08F0FE8A-3B28-45A0-968F-D4D7CFC1AFD2}"/>
    <cellStyle name="Currency 3 2 4 6 3" xfId="10926" xr:uid="{29A48942-C845-47B0-B1CB-EFF671DEC538}"/>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7723A1A9-1AC9-4F50-9523-FB37E389CC9F}"/>
    <cellStyle name="Currency 3 2 4 8 3" xfId="11243" xr:uid="{9E2DDB71-0B2A-4647-8717-FF0393CF6686}"/>
    <cellStyle name="Currency 3 2 4 9" xfId="4639" xr:uid="{00000000-0005-0000-0000-0000420B0000}"/>
    <cellStyle name="Currency 3 2 4 9 2" xfId="13078" xr:uid="{A83E5AC1-53D0-462B-BFA8-69417BE45F2D}"/>
    <cellStyle name="Currency 3 2 5" xfId="185" xr:uid="{00000000-0005-0000-0000-0000430B0000}"/>
    <cellStyle name="Currency 3 2 5 10" xfId="8861" xr:uid="{2B0FDCAE-9B22-4EF8-87EB-4B5049008A11}"/>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B7CE08C6-D645-4539-9224-B2717DF9B91B}"/>
    <cellStyle name="Currency 3 2 5 2 2 3" xfId="11420" xr:uid="{1A492CEC-D922-40AF-AFC2-4A8E50B9032D}"/>
    <cellStyle name="Currency 3 2 5 2 3" xfId="5054" xr:uid="{00000000-0005-0000-0000-0000470B0000}"/>
    <cellStyle name="Currency 3 2 5 2 3 2" xfId="13493" xr:uid="{4A0BE27A-FB7D-49E8-A569-76F55320357F}"/>
    <cellStyle name="Currency 3 2 5 2 4" xfId="9275" xr:uid="{3C7D7ADF-80AD-432E-B076-776B3B594F6E}"/>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6271F844-E54E-46CB-92D1-F2723A95BCD8}"/>
    <cellStyle name="Currency 3 2 5 3 2 3" xfId="11833" xr:uid="{A091960D-1F3E-42AE-9350-743229EA7CCB}"/>
    <cellStyle name="Currency 3 2 5 3 3" xfId="5467" xr:uid="{00000000-0005-0000-0000-00004B0B0000}"/>
    <cellStyle name="Currency 3 2 5 3 3 2" xfId="13906" xr:uid="{7CA2E8CA-FF4E-42CE-AA5E-1FF570A86196}"/>
    <cellStyle name="Currency 3 2 5 3 4" xfId="9688" xr:uid="{FD7C8551-C7EA-4CCA-B350-074C8AD2E88A}"/>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DF8C6491-EC9C-4C76-A614-22D734B7DFC2}"/>
    <cellStyle name="Currency 3 2 5 4 2 3" xfId="12246" xr:uid="{14796E57-1C5C-4322-86A8-E442A577CEFB}"/>
    <cellStyle name="Currency 3 2 5 4 3" xfId="5880" xr:uid="{00000000-0005-0000-0000-00004F0B0000}"/>
    <cellStyle name="Currency 3 2 5 4 3 2" xfId="14319" xr:uid="{661B9FD8-4B14-4195-B025-1B4124F3DE33}"/>
    <cellStyle name="Currency 3 2 5 4 4" xfId="10101" xr:uid="{6AEFD520-B110-47D6-8E90-AC0902C19DCA}"/>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61C4D08A-5351-44E9-AB1E-596BC1AEBC12}"/>
    <cellStyle name="Currency 3 2 5 5 2 3" xfId="12659" xr:uid="{232265C5-AAA6-4F8C-A198-0D83EB2F910C}"/>
    <cellStyle name="Currency 3 2 5 5 3" xfId="6293" xr:uid="{00000000-0005-0000-0000-0000530B0000}"/>
    <cellStyle name="Currency 3 2 5 5 3 2" xfId="14732" xr:uid="{C8D2CD57-88DA-480C-9CFE-E92F61798419}"/>
    <cellStyle name="Currency 3 2 5 5 4" xfId="10514" xr:uid="{D824C0B0-841C-46D0-ACFB-90B335C9C511}"/>
    <cellStyle name="Currency 3 2 5 6" xfId="2421" xr:uid="{00000000-0005-0000-0000-0000540B0000}"/>
    <cellStyle name="Currency 3 2 5 6 2" xfId="6706" xr:uid="{00000000-0005-0000-0000-0000550B0000}"/>
    <cellStyle name="Currency 3 2 5 6 2 2" xfId="15145" xr:uid="{80B9482A-BD5C-4C70-BFB7-16C308CCE97C}"/>
    <cellStyle name="Currency 3 2 5 6 3" xfId="10927" xr:uid="{8809DFDD-9227-41F8-907D-AD3683A079B1}"/>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87C4203C-E281-401B-9ABE-D996586F4CE1}"/>
    <cellStyle name="Currency 3 2 5 8 3" xfId="11244" xr:uid="{DD10B3F4-3328-4508-8A76-1E034452E0B2}"/>
    <cellStyle name="Currency 3 2 5 9" xfId="4640" xr:uid="{00000000-0005-0000-0000-0000590B0000}"/>
    <cellStyle name="Currency 3 2 5 9 2" xfId="13079" xr:uid="{9040F6FF-435C-4A0C-B7A6-A3F5723AA81C}"/>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123BCBDC-B9E3-4619-87F2-BDC7E83CCDAA}"/>
    <cellStyle name="Currency 5 2 2 2 10 3" xfId="11245" xr:uid="{7C127B0F-0825-4013-93A2-3F72D054C5BD}"/>
    <cellStyle name="Currency 5 2 2 2 11" xfId="4641" xr:uid="{00000000-0005-0000-0000-00006C0B0000}"/>
    <cellStyle name="Currency 5 2 2 2 11 2" xfId="13080" xr:uid="{724A3B97-A9A6-4295-A486-97B807E2849D}"/>
    <cellStyle name="Currency 5 2 2 2 12" xfId="8862" xr:uid="{19DB6B58-A809-4776-9722-671438BF0F08}"/>
    <cellStyle name="Currency 5 2 2 2 2" xfId="197" xr:uid="{00000000-0005-0000-0000-00006D0B0000}"/>
    <cellStyle name="Currency 5 2 2 2 2 10" xfId="4642" xr:uid="{00000000-0005-0000-0000-00006E0B0000}"/>
    <cellStyle name="Currency 5 2 2 2 2 10 2" xfId="13081" xr:uid="{1A22440E-58EF-4D2A-BC61-41C357A2E08F}"/>
    <cellStyle name="Currency 5 2 2 2 2 11" xfId="8863" xr:uid="{F31F909F-4D25-4853-A624-5E2B94B1F8B6}"/>
    <cellStyle name="Currency 5 2 2 2 2 2" xfId="198" xr:uid="{00000000-0005-0000-0000-00006F0B0000}"/>
    <cellStyle name="Currency 5 2 2 2 2 2 10" xfId="8864" xr:uid="{1BBDB3D9-DF9D-48A4-BB7E-D89F4FED235D}"/>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1E00D333-43AF-45F5-B708-73805AA46E99}"/>
    <cellStyle name="Currency 5 2 2 2 2 2 2 2 3" xfId="11423" xr:uid="{1C7EA928-C9EA-4C62-9E0B-1343B8C9C951}"/>
    <cellStyle name="Currency 5 2 2 2 2 2 2 3" xfId="5057" xr:uid="{00000000-0005-0000-0000-0000730B0000}"/>
    <cellStyle name="Currency 5 2 2 2 2 2 2 3 2" xfId="13496" xr:uid="{64C4A5C9-F8FB-45E0-B1ED-5FE7A4516BDD}"/>
    <cellStyle name="Currency 5 2 2 2 2 2 2 4" xfId="9278" xr:uid="{5E275720-D2B4-43EB-808D-05D10532D265}"/>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04CF5F27-44E8-4228-B2E6-DB38D2469A17}"/>
    <cellStyle name="Currency 5 2 2 2 2 2 3 2 3" xfId="11836" xr:uid="{41E46AA1-46B9-419D-8A60-EFB0432922C3}"/>
    <cellStyle name="Currency 5 2 2 2 2 2 3 3" xfId="5470" xr:uid="{00000000-0005-0000-0000-0000770B0000}"/>
    <cellStyle name="Currency 5 2 2 2 2 2 3 3 2" xfId="13909" xr:uid="{6CE90075-0276-45C2-ABA4-A77A0A0016F6}"/>
    <cellStyle name="Currency 5 2 2 2 2 2 3 4" xfId="9691" xr:uid="{97564400-422D-4EC1-9C23-A4D6F24F6EA2}"/>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EDF2D251-17E1-436E-96E4-1BF750D5515F}"/>
    <cellStyle name="Currency 5 2 2 2 2 2 4 2 3" xfId="12249" xr:uid="{E164FE68-B9A0-4DDD-9E5C-73B893B48A13}"/>
    <cellStyle name="Currency 5 2 2 2 2 2 4 3" xfId="5883" xr:uid="{00000000-0005-0000-0000-00007B0B0000}"/>
    <cellStyle name="Currency 5 2 2 2 2 2 4 3 2" xfId="14322" xr:uid="{4C8E7185-1D67-4E11-AD14-54A92C577A0B}"/>
    <cellStyle name="Currency 5 2 2 2 2 2 4 4" xfId="10104" xr:uid="{C0BAFBB0-977D-48E0-8E2A-09BDADF8F63B}"/>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3DB415B3-6882-4EA5-B719-07DD0AE85B45}"/>
    <cellStyle name="Currency 5 2 2 2 2 2 5 2 3" xfId="12662" xr:uid="{D3D05365-42F5-4FD2-890E-C165705BDE44}"/>
    <cellStyle name="Currency 5 2 2 2 2 2 5 3" xfId="6296" xr:uid="{00000000-0005-0000-0000-00007F0B0000}"/>
    <cellStyle name="Currency 5 2 2 2 2 2 5 3 2" xfId="14735" xr:uid="{D3CB80EF-A493-452F-97E2-00AE04D02081}"/>
    <cellStyle name="Currency 5 2 2 2 2 2 5 4" xfId="10517" xr:uid="{110F35DA-3CE3-498A-A174-5ACE651D61B8}"/>
    <cellStyle name="Currency 5 2 2 2 2 2 6" xfId="2424" xr:uid="{00000000-0005-0000-0000-0000800B0000}"/>
    <cellStyle name="Currency 5 2 2 2 2 2 6 2" xfId="6709" xr:uid="{00000000-0005-0000-0000-0000810B0000}"/>
    <cellStyle name="Currency 5 2 2 2 2 2 6 2 2" xfId="15148" xr:uid="{5682A43D-B2B2-441B-8408-CACCF819628C}"/>
    <cellStyle name="Currency 5 2 2 2 2 2 6 3" xfId="10930" xr:uid="{27BB56EC-6AA4-4156-B655-49142EEB071D}"/>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C084046F-C5E2-4789-82BD-26971381CC1B}"/>
    <cellStyle name="Currency 5 2 2 2 2 2 8 3" xfId="11247" xr:uid="{B9ED4669-CF04-4CAA-848B-E742C39ACF4D}"/>
    <cellStyle name="Currency 5 2 2 2 2 2 9" xfId="4643" xr:uid="{00000000-0005-0000-0000-0000850B0000}"/>
    <cellStyle name="Currency 5 2 2 2 2 2 9 2" xfId="13082" xr:uid="{BB26B881-838C-41FC-A018-6C1DE1D28641}"/>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F8AF27A8-38DD-4553-BBEC-992BB7C582A9}"/>
    <cellStyle name="Currency 5 2 2 2 2 3 2 3" xfId="11422" xr:uid="{355581E4-B4EF-40D8-9DF9-DA21AB57E928}"/>
    <cellStyle name="Currency 5 2 2 2 2 3 3" xfId="5056" xr:uid="{00000000-0005-0000-0000-0000890B0000}"/>
    <cellStyle name="Currency 5 2 2 2 2 3 3 2" xfId="13495" xr:uid="{546D2BE3-EAA6-4CBD-A81D-F768AA51295D}"/>
    <cellStyle name="Currency 5 2 2 2 2 3 4" xfId="9277" xr:uid="{97CCF108-DC36-4531-A456-4BC0FDD187F6}"/>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D15D33C7-2104-4558-A1D4-01467EA16C2F}"/>
    <cellStyle name="Currency 5 2 2 2 2 4 2 3" xfId="11835" xr:uid="{2E2E5D5A-0389-4057-B96F-1D2146A6B7B2}"/>
    <cellStyle name="Currency 5 2 2 2 2 4 3" xfId="5469" xr:uid="{00000000-0005-0000-0000-00008D0B0000}"/>
    <cellStyle name="Currency 5 2 2 2 2 4 3 2" xfId="13908" xr:uid="{82B8F541-17EE-4B61-BD62-0FC8924103E9}"/>
    <cellStyle name="Currency 5 2 2 2 2 4 4" xfId="9690" xr:uid="{BC6DD85E-A0EF-4479-BC31-C9F7E582798D}"/>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3EFCD879-4DD4-487E-951A-3B0BCAE2E7A9}"/>
    <cellStyle name="Currency 5 2 2 2 2 5 2 3" xfId="12248" xr:uid="{EC80465A-905A-4D63-8210-BA97E4EB2883}"/>
    <cellStyle name="Currency 5 2 2 2 2 5 3" xfId="5882" xr:uid="{00000000-0005-0000-0000-0000910B0000}"/>
    <cellStyle name="Currency 5 2 2 2 2 5 3 2" xfId="14321" xr:uid="{D009A83F-F891-4352-9B7D-6354D972FFF5}"/>
    <cellStyle name="Currency 5 2 2 2 2 5 4" xfId="10103" xr:uid="{DFB04D18-CA67-49B1-8DBC-EEBBC92FC8F6}"/>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81731617-82B4-4BB3-A166-751FB027B6F2}"/>
    <cellStyle name="Currency 5 2 2 2 2 6 2 3" xfId="12661" xr:uid="{B3FA3EA5-72F5-4F16-B421-229011EB06C0}"/>
    <cellStyle name="Currency 5 2 2 2 2 6 3" xfId="6295" xr:uid="{00000000-0005-0000-0000-0000950B0000}"/>
    <cellStyle name="Currency 5 2 2 2 2 6 3 2" xfId="14734" xr:uid="{B8F985C5-1E1D-415D-9034-C4B6C42E226B}"/>
    <cellStyle name="Currency 5 2 2 2 2 6 4" xfId="10516" xr:uid="{AA1D6911-A800-4A74-9507-0D4CC7C48365}"/>
    <cellStyle name="Currency 5 2 2 2 2 7" xfId="2423" xr:uid="{00000000-0005-0000-0000-0000960B0000}"/>
    <cellStyle name="Currency 5 2 2 2 2 7 2" xfId="6708" xr:uid="{00000000-0005-0000-0000-0000970B0000}"/>
    <cellStyle name="Currency 5 2 2 2 2 7 2 2" xfId="15147" xr:uid="{DDD883A6-CAC0-4197-8F41-8B3ED80E0082}"/>
    <cellStyle name="Currency 5 2 2 2 2 7 3" xfId="10929" xr:uid="{9D76AF9A-307A-4689-BEAF-38FEA02F9DA7}"/>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5E80B106-DC4F-42A9-A2B6-C123BBF57BBD}"/>
    <cellStyle name="Currency 5 2 2 2 2 9 3" xfId="11246" xr:uid="{30A718E7-B473-4EC1-A27E-F3547091D292}"/>
    <cellStyle name="Currency 5 2 2 2 3" xfId="199" xr:uid="{00000000-0005-0000-0000-00009B0B0000}"/>
    <cellStyle name="Currency 5 2 2 2 3 10" xfId="8865" xr:uid="{450AAE66-4A57-470A-8C29-D3C0372F35FD}"/>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54379739-1A05-47DB-8EA3-BDFCBDB47291}"/>
    <cellStyle name="Currency 5 2 2 2 3 2 2 3" xfId="11424" xr:uid="{A2A01A44-7E97-4C36-8673-40991D40ED09}"/>
    <cellStyle name="Currency 5 2 2 2 3 2 3" xfId="5058" xr:uid="{00000000-0005-0000-0000-00009F0B0000}"/>
    <cellStyle name="Currency 5 2 2 2 3 2 3 2" xfId="13497" xr:uid="{856F6C86-0535-4A85-8EBC-B26596EECE0B}"/>
    <cellStyle name="Currency 5 2 2 2 3 2 4" xfId="9279" xr:uid="{CFD89A76-3EFC-45E4-8F18-5100E3193ADA}"/>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4CB4151A-805B-4CEF-ACB3-6D42A98E464C}"/>
    <cellStyle name="Currency 5 2 2 2 3 3 2 3" xfId="11837" xr:uid="{7998666F-89F6-479B-9061-357BEBA3C82A}"/>
    <cellStyle name="Currency 5 2 2 2 3 3 3" xfId="5471" xr:uid="{00000000-0005-0000-0000-0000A30B0000}"/>
    <cellStyle name="Currency 5 2 2 2 3 3 3 2" xfId="13910" xr:uid="{E08C8C37-EAE0-4F19-BA68-D968BFB5CE5B}"/>
    <cellStyle name="Currency 5 2 2 2 3 3 4" xfId="9692" xr:uid="{8CB3259D-20DB-46D6-A751-D9FEC618B422}"/>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8FBEFD3F-40DA-44E1-B077-8595B7F90356}"/>
    <cellStyle name="Currency 5 2 2 2 3 4 2 3" xfId="12250" xr:uid="{92A7D8E0-BCC4-4254-ADBE-AC88C0EB37D6}"/>
    <cellStyle name="Currency 5 2 2 2 3 4 3" xfId="5884" xr:uid="{00000000-0005-0000-0000-0000A70B0000}"/>
    <cellStyle name="Currency 5 2 2 2 3 4 3 2" xfId="14323" xr:uid="{8D3A1488-2BF4-4072-974F-B832B03734E0}"/>
    <cellStyle name="Currency 5 2 2 2 3 4 4" xfId="10105" xr:uid="{9330B894-F815-424C-AA3A-9B9AA1399454}"/>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A444FFC0-4E4A-4A0B-BE97-4A6757A994AE}"/>
    <cellStyle name="Currency 5 2 2 2 3 5 2 3" xfId="12663" xr:uid="{DA2BCAD6-42BC-466F-AA57-DBD62B14DD60}"/>
    <cellStyle name="Currency 5 2 2 2 3 5 3" xfId="6297" xr:uid="{00000000-0005-0000-0000-0000AB0B0000}"/>
    <cellStyle name="Currency 5 2 2 2 3 5 3 2" xfId="14736" xr:uid="{EAB2B322-5A34-41F9-9A7E-3D54A3A2519F}"/>
    <cellStyle name="Currency 5 2 2 2 3 5 4" xfId="10518" xr:uid="{D2E95D4F-6B22-4646-965B-1FA3F2BAA5D0}"/>
    <cellStyle name="Currency 5 2 2 2 3 6" xfId="2425" xr:uid="{00000000-0005-0000-0000-0000AC0B0000}"/>
    <cellStyle name="Currency 5 2 2 2 3 6 2" xfId="6710" xr:uid="{00000000-0005-0000-0000-0000AD0B0000}"/>
    <cellStyle name="Currency 5 2 2 2 3 6 2 2" xfId="15149" xr:uid="{3A7E256A-6EBF-49F4-82D6-C391F4E670A6}"/>
    <cellStyle name="Currency 5 2 2 2 3 6 3" xfId="10931" xr:uid="{895BC2B0-C42E-49E6-B43A-D698E84E49B3}"/>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C7E71AA3-B897-4BA8-B096-12A9D6AC2816}"/>
    <cellStyle name="Currency 5 2 2 2 3 8 3" xfId="11248" xr:uid="{D7FD19CE-E5A9-423B-9CB5-DC653E90140E}"/>
    <cellStyle name="Currency 5 2 2 2 3 9" xfId="4644" xr:uid="{00000000-0005-0000-0000-0000B10B0000}"/>
    <cellStyle name="Currency 5 2 2 2 3 9 2" xfId="13083" xr:uid="{37CE84CA-FA8D-4860-B288-D69FB49211FE}"/>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186A649F-4B89-4D0E-A56F-717419CBEBCA}"/>
    <cellStyle name="Currency 5 2 2 2 4 2 3" xfId="11421" xr:uid="{23D93A73-DDF3-41BB-9DF0-14A019E3D77E}"/>
    <cellStyle name="Currency 5 2 2 2 4 3" xfId="5055" xr:uid="{00000000-0005-0000-0000-0000B50B0000}"/>
    <cellStyle name="Currency 5 2 2 2 4 3 2" xfId="13494" xr:uid="{1C45AB24-35E4-4C93-AC5E-FBBDA4AF5D39}"/>
    <cellStyle name="Currency 5 2 2 2 4 4" xfId="9276" xr:uid="{920CCB49-880F-492C-94D6-F1EEC09743B9}"/>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213DCBC7-EADD-408D-A3B7-97D40C85E077}"/>
    <cellStyle name="Currency 5 2 2 2 5 2 3" xfId="11834" xr:uid="{8A2598A0-1C25-480F-9C91-3A8192AA4D28}"/>
    <cellStyle name="Currency 5 2 2 2 5 3" xfId="5468" xr:uid="{00000000-0005-0000-0000-0000B90B0000}"/>
    <cellStyle name="Currency 5 2 2 2 5 3 2" xfId="13907" xr:uid="{DEEAAF6B-0C8C-41BC-9B44-FCE4824C88BE}"/>
    <cellStyle name="Currency 5 2 2 2 5 4" xfId="9689" xr:uid="{520A3155-B48F-4D4E-82D0-08DDAE5B98F8}"/>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EBB648D4-7131-4F38-9FD6-C660E1F37A80}"/>
    <cellStyle name="Currency 5 2 2 2 6 2 3" xfId="12247" xr:uid="{7C00D6E1-6966-4474-BDEB-8015A4AD97FD}"/>
    <cellStyle name="Currency 5 2 2 2 6 3" xfId="5881" xr:uid="{00000000-0005-0000-0000-0000BD0B0000}"/>
    <cellStyle name="Currency 5 2 2 2 6 3 2" xfId="14320" xr:uid="{884B5C74-518D-41A8-8505-A749A6AAFD96}"/>
    <cellStyle name="Currency 5 2 2 2 6 4" xfId="10102" xr:uid="{863DB038-2039-4195-B1A8-3DEBD4E7A8B8}"/>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A94A6F48-1E62-4704-BEC8-5E406585A057}"/>
    <cellStyle name="Currency 5 2 2 2 7 2 3" xfId="12660" xr:uid="{CD16A116-1C0A-4C13-84B1-7C95CC924282}"/>
    <cellStyle name="Currency 5 2 2 2 7 3" xfId="6294" xr:uid="{00000000-0005-0000-0000-0000C10B0000}"/>
    <cellStyle name="Currency 5 2 2 2 7 3 2" xfId="14733" xr:uid="{2FCDB2C4-7C39-48FC-979D-6F312882BAFD}"/>
    <cellStyle name="Currency 5 2 2 2 7 4" xfId="10515" xr:uid="{6FADA7EE-794C-402E-861D-0F9AF4327F72}"/>
    <cellStyle name="Currency 5 2 2 2 8" xfId="2422" xr:uid="{00000000-0005-0000-0000-0000C20B0000}"/>
    <cellStyle name="Currency 5 2 2 2 8 2" xfId="6707" xr:uid="{00000000-0005-0000-0000-0000C30B0000}"/>
    <cellStyle name="Currency 5 2 2 2 8 2 2" xfId="15146" xr:uid="{2BC19F7D-BE22-484C-98B0-F7D2711EAE3E}"/>
    <cellStyle name="Currency 5 2 2 2 8 3" xfId="10928" xr:uid="{EB540755-76DD-4A43-86A2-511093AA78AB}"/>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8A1CDAA5-C1C9-46E2-93EF-4BF69D483406}"/>
    <cellStyle name="Currency 5 2 2 3 11" xfId="8866" xr:uid="{F057298D-622A-4809-8C71-0D06645DBEFF}"/>
    <cellStyle name="Currency 5 2 2 3 2" xfId="201" xr:uid="{00000000-0005-0000-0000-0000C70B0000}"/>
    <cellStyle name="Currency 5 2 2 3 2 10" xfId="8867" xr:uid="{2A28DBA7-CA76-4996-91D6-ADCC3EFC48F9}"/>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B641D747-17F5-490A-96D9-4AF7BE08D791}"/>
    <cellStyle name="Currency 5 2 2 3 2 2 2 3" xfId="11426" xr:uid="{7AC6C498-B327-41C7-84F6-481C78888A0B}"/>
    <cellStyle name="Currency 5 2 2 3 2 2 3" xfId="5060" xr:uid="{00000000-0005-0000-0000-0000CB0B0000}"/>
    <cellStyle name="Currency 5 2 2 3 2 2 3 2" xfId="13499" xr:uid="{B208D470-B08C-4FD8-99C6-1098D9149BFB}"/>
    <cellStyle name="Currency 5 2 2 3 2 2 4" xfId="9281" xr:uid="{38D39D91-7AE2-4E29-B724-733F88A8618E}"/>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7708DEB3-00DF-41A4-B026-C7A6FE2360A7}"/>
    <cellStyle name="Currency 5 2 2 3 2 3 2 3" xfId="11839" xr:uid="{F3A70F72-EED8-4541-BAD3-25BE682A547B}"/>
    <cellStyle name="Currency 5 2 2 3 2 3 3" xfId="5473" xr:uid="{00000000-0005-0000-0000-0000CF0B0000}"/>
    <cellStyle name="Currency 5 2 2 3 2 3 3 2" xfId="13912" xr:uid="{6AF8937C-B508-42C5-86D3-34D66DE449C8}"/>
    <cellStyle name="Currency 5 2 2 3 2 3 4" xfId="9694" xr:uid="{C55B12B1-7442-429E-A204-F4B3F2182446}"/>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69696E43-A95C-4AC4-8215-E7EEF21C6ECE}"/>
    <cellStyle name="Currency 5 2 2 3 2 4 2 3" xfId="12252" xr:uid="{67AD04C5-4C24-440D-AE30-19EA9FB8B2CC}"/>
    <cellStyle name="Currency 5 2 2 3 2 4 3" xfId="5886" xr:uid="{00000000-0005-0000-0000-0000D30B0000}"/>
    <cellStyle name="Currency 5 2 2 3 2 4 3 2" xfId="14325" xr:uid="{629E44AF-A908-4357-A515-46A583AC1B48}"/>
    <cellStyle name="Currency 5 2 2 3 2 4 4" xfId="10107" xr:uid="{60348A46-6616-4B11-B584-5A393DEBED19}"/>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C3B50E33-027F-409F-B714-67847B4B7010}"/>
    <cellStyle name="Currency 5 2 2 3 2 5 2 3" xfId="12665" xr:uid="{5C473BA1-5950-40E5-AF06-D71560313EEF}"/>
    <cellStyle name="Currency 5 2 2 3 2 5 3" xfId="6299" xr:uid="{00000000-0005-0000-0000-0000D70B0000}"/>
    <cellStyle name="Currency 5 2 2 3 2 5 3 2" xfId="14738" xr:uid="{1BE571B9-7182-401F-BD07-CFA81907623F}"/>
    <cellStyle name="Currency 5 2 2 3 2 5 4" xfId="10520" xr:uid="{5A35E4CC-6951-47D8-B3B1-3143B582E4BB}"/>
    <cellStyle name="Currency 5 2 2 3 2 6" xfId="2427" xr:uid="{00000000-0005-0000-0000-0000D80B0000}"/>
    <cellStyle name="Currency 5 2 2 3 2 6 2" xfId="6712" xr:uid="{00000000-0005-0000-0000-0000D90B0000}"/>
    <cellStyle name="Currency 5 2 2 3 2 6 2 2" xfId="15151" xr:uid="{1777F789-97E3-416E-9E56-5B9BEC4B8100}"/>
    <cellStyle name="Currency 5 2 2 3 2 6 3" xfId="10933" xr:uid="{6FCC0D2B-4594-4FC5-8474-78379CADD03F}"/>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3DC1B9BE-8D1F-4817-B17F-74964D44F90A}"/>
    <cellStyle name="Currency 5 2 2 3 2 8 3" xfId="11250" xr:uid="{105DAF2D-14C5-4AF4-966A-771772030068}"/>
    <cellStyle name="Currency 5 2 2 3 2 9" xfId="4646" xr:uid="{00000000-0005-0000-0000-0000DD0B0000}"/>
    <cellStyle name="Currency 5 2 2 3 2 9 2" xfId="13085" xr:uid="{CFAAAA18-BE95-46B6-944F-B9254ECDE9A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AF839E69-5B6B-4C34-99C1-7DA2BAF31F15}"/>
    <cellStyle name="Currency 5 2 2 3 3 2 3" xfId="11425" xr:uid="{E4BC71F5-5B68-42D8-ABFC-A8277697B5BA}"/>
    <cellStyle name="Currency 5 2 2 3 3 3" xfId="5059" xr:uid="{00000000-0005-0000-0000-0000E10B0000}"/>
    <cellStyle name="Currency 5 2 2 3 3 3 2" xfId="13498" xr:uid="{970B3A10-D2D1-42AF-8BED-2DE9CE327E52}"/>
    <cellStyle name="Currency 5 2 2 3 3 4" xfId="9280" xr:uid="{11F33676-8888-4816-B1B1-DD48D45E586F}"/>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530C5D0D-4C4E-4F18-BB0E-BF5AFC49A1D9}"/>
    <cellStyle name="Currency 5 2 2 3 4 2 3" xfId="11838" xr:uid="{03E89B16-22B3-4837-9D28-05CE01218FE6}"/>
    <cellStyle name="Currency 5 2 2 3 4 3" xfId="5472" xr:uid="{00000000-0005-0000-0000-0000E50B0000}"/>
    <cellStyle name="Currency 5 2 2 3 4 3 2" xfId="13911" xr:uid="{CC1F155D-D245-4D57-9088-8044FA593D04}"/>
    <cellStyle name="Currency 5 2 2 3 4 4" xfId="9693" xr:uid="{95CAF07D-B11F-417F-A6D1-CF59598BE27B}"/>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78F975AE-B9A9-4B74-8ECA-86BD6D686157}"/>
    <cellStyle name="Currency 5 2 2 3 5 2 3" xfId="12251" xr:uid="{D5BB9BEB-F44E-4A4A-A1E5-AA46126A9A33}"/>
    <cellStyle name="Currency 5 2 2 3 5 3" xfId="5885" xr:uid="{00000000-0005-0000-0000-0000E90B0000}"/>
    <cellStyle name="Currency 5 2 2 3 5 3 2" xfId="14324" xr:uid="{767CE77C-F058-41D1-867E-9F171F58D8C2}"/>
    <cellStyle name="Currency 5 2 2 3 5 4" xfId="10106" xr:uid="{FF568C23-A493-4568-A448-F91FB583B72B}"/>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DD8D0FE3-93D2-46B8-BCF0-D1FECB6F5F12}"/>
    <cellStyle name="Currency 5 2 2 3 6 2 3" xfId="12664" xr:uid="{418B7683-4C16-4C61-8C9D-395011CD7D1C}"/>
    <cellStyle name="Currency 5 2 2 3 6 3" xfId="6298" xr:uid="{00000000-0005-0000-0000-0000ED0B0000}"/>
    <cellStyle name="Currency 5 2 2 3 6 3 2" xfId="14737" xr:uid="{2C3BCBA1-1A8E-4870-9C58-CB144457555A}"/>
    <cellStyle name="Currency 5 2 2 3 6 4" xfId="10519" xr:uid="{FE676672-5231-44B8-8297-8A2DB3DCA5E3}"/>
    <cellStyle name="Currency 5 2 2 3 7" xfId="2426" xr:uid="{00000000-0005-0000-0000-0000EE0B0000}"/>
    <cellStyle name="Currency 5 2 2 3 7 2" xfId="6711" xr:uid="{00000000-0005-0000-0000-0000EF0B0000}"/>
    <cellStyle name="Currency 5 2 2 3 7 2 2" xfId="15150" xr:uid="{35967E47-F2D9-4400-9C5F-B235B308FCEF}"/>
    <cellStyle name="Currency 5 2 2 3 7 3" xfId="10932" xr:uid="{515EF844-30FC-40EF-A5A0-EC3B98A66BEF}"/>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4520769A-8A28-4FE6-9318-65EC68581B4D}"/>
    <cellStyle name="Currency 5 2 2 3 9 3" xfId="11249" xr:uid="{2FE8F5EC-AA60-4924-A065-D3002616A68B}"/>
    <cellStyle name="Currency 5 2 2 4" xfId="202" xr:uid="{00000000-0005-0000-0000-0000F30B0000}"/>
    <cellStyle name="Currency 5 2 2 4 10" xfId="8868" xr:uid="{B7A65EA4-4A10-4394-9E34-DE8E8E28204C}"/>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C54399A7-6F09-40E7-A67B-9CAA122C4060}"/>
    <cellStyle name="Currency 5 2 2 4 2 2 3" xfId="11427" xr:uid="{78A0EAAD-9CBA-4877-B96F-ADA9D23206DB}"/>
    <cellStyle name="Currency 5 2 2 4 2 3" xfId="5061" xr:uid="{00000000-0005-0000-0000-0000F70B0000}"/>
    <cellStyle name="Currency 5 2 2 4 2 3 2" xfId="13500" xr:uid="{1ABEA40C-628D-4C83-8D67-A23706464CD9}"/>
    <cellStyle name="Currency 5 2 2 4 2 4" xfId="9282" xr:uid="{CFC0005F-3D51-45A9-985B-665467F77564}"/>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695B365D-0C40-49EE-82AC-F98B2E909A2B}"/>
    <cellStyle name="Currency 5 2 2 4 3 2 3" xfId="11840" xr:uid="{7B1139EF-2822-4916-93DD-D1E1222971F5}"/>
    <cellStyle name="Currency 5 2 2 4 3 3" xfId="5474" xr:uid="{00000000-0005-0000-0000-0000FB0B0000}"/>
    <cellStyle name="Currency 5 2 2 4 3 3 2" xfId="13913" xr:uid="{2F3D266F-4B9B-4FB3-951A-31B96EA25F48}"/>
    <cellStyle name="Currency 5 2 2 4 3 4" xfId="9695" xr:uid="{97898F56-D426-4E46-AA06-55725BFF7492}"/>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F40C59ED-232A-439B-A351-8FC311193C5B}"/>
    <cellStyle name="Currency 5 2 2 4 4 2 3" xfId="12253" xr:uid="{D4067F34-5759-42F3-8D09-CF03972A5074}"/>
    <cellStyle name="Currency 5 2 2 4 4 3" xfId="5887" xr:uid="{00000000-0005-0000-0000-0000FF0B0000}"/>
    <cellStyle name="Currency 5 2 2 4 4 3 2" xfId="14326" xr:uid="{8C158B57-A536-42CE-A8DA-F03885889B58}"/>
    <cellStyle name="Currency 5 2 2 4 4 4" xfId="10108" xr:uid="{F7D2218C-291B-47FA-A05A-08100DC4979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2C7CA6CB-F970-43E0-A925-98A672D3C813}"/>
    <cellStyle name="Currency 5 2 2 4 5 2 3" xfId="12666" xr:uid="{6A808D5A-BCD9-49B5-B910-C3401F24C91B}"/>
    <cellStyle name="Currency 5 2 2 4 5 3" xfId="6300" xr:uid="{00000000-0005-0000-0000-0000030C0000}"/>
    <cellStyle name="Currency 5 2 2 4 5 3 2" xfId="14739" xr:uid="{071F0CD9-8B8D-43EE-9117-88ACC7BF3A2B}"/>
    <cellStyle name="Currency 5 2 2 4 5 4" xfId="10521" xr:uid="{9EE55778-B773-4F5C-A04E-546CCA4B59A1}"/>
    <cellStyle name="Currency 5 2 2 4 6" xfId="2428" xr:uid="{00000000-0005-0000-0000-0000040C0000}"/>
    <cellStyle name="Currency 5 2 2 4 6 2" xfId="6713" xr:uid="{00000000-0005-0000-0000-0000050C0000}"/>
    <cellStyle name="Currency 5 2 2 4 6 2 2" xfId="15152" xr:uid="{A9F5F4E7-303C-4EA0-B5A1-304377F95711}"/>
    <cellStyle name="Currency 5 2 2 4 6 3" xfId="10934" xr:uid="{BFC47722-D034-408D-AD28-0FBA96189997}"/>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70D1CB61-4ADA-4C11-8497-8351E64DADD2}"/>
    <cellStyle name="Currency 5 2 2 4 8 3" xfId="11251" xr:uid="{B3102151-ADD3-43A2-BED1-B75D0F0B4A06}"/>
    <cellStyle name="Currency 5 2 2 4 9" xfId="4647" xr:uid="{00000000-0005-0000-0000-0000090C0000}"/>
    <cellStyle name="Currency 5 2 2 4 9 2" xfId="13086" xr:uid="{CE8DD95F-1E87-48B8-A063-EF7FD81126E4}"/>
    <cellStyle name="Currency 5 2 2 5" xfId="203" xr:uid="{00000000-0005-0000-0000-00000A0C0000}"/>
    <cellStyle name="Currency 5 2 2 5 10" xfId="8869" xr:uid="{2AD83BA8-3CFC-4CCA-B855-F3CA35902DC9}"/>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7A504F16-B332-442B-8072-7A70C5270452}"/>
    <cellStyle name="Currency 5 2 2 5 2 2 3" xfId="11428" xr:uid="{242C6F2C-5BDB-4B3A-99E6-6DA0C9EFC5AB}"/>
    <cellStyle name="Currency 5 2 2 5 2 3" xfId="5062" xr:uid="{00000000-0005-0000-0000-00000E0C0000}"/>
    <cellStyle name="Currency 5 2 2 5 2 3 2" xfId="13501" xr:uid="{607B0EEA-DB12-4628-ABDD-4FBCA96E7D58}"/>
    <cellStyle name="Currency 5 2 2 5 2 4" xfId="9283" xr:uid="{20E9AA38-9913-4CD4-8FDD-9F0F4BA1428F}"/>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C04180A3-BF7E-4679-BC63-B8AEC0AE8B13}"/>
    <cellStyle name="Currency 5 2 2 5 3 2 3" xfId="11841" xr:uid="{D9D04171-1E73-48BD-AB2A-D175334CB7C5}"/>
    <cellStyle name="Currency 5 2 2 5 3 3" xfId="5475" xr:uid="{00000000-0005-0000-0000-0000120C0000}"/>
    <cellStyle name="Currency 5 2 2 5 3 3 2" xfId="13914" xr:uid="{F8D3A58E-DB03-4AD5-816C-588732B74070}"/>
    <cellStyle name="Currency 5 2 2 5 3 4" xfId="9696" xr:uid="{00EB90C3-F733-428A-B235-91E34AE85A9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BC9FEBB8-5125-4E74-8478-E4817F51EC2F}"/>
    <cellStyle name="Currency 5 2 2 5 4 2 3" xfId="12254" xr:uid="{1B5FB1E0-CFFA-4BF4-83E2-A54C644D7A6E}"/>
    <cellStyle name="Currency 5 2 2 5 4 3" xfId="5888" xr:uid="{00000000-0005-0000-0000-0000160C0000}"/>
    <cellStyle name="Currency 5 2 2 5 4 3 2" xfId="14327" xr:uid="{46E0D472-1799-4C18-9B00-D8CA5B8D79BD}"/>
    <cellStyle name="Currency 5 2 2 5 4 4" xfId="10109" xr:uid="{EC65E680-A52A-4A8B-B0EC-22526FC8D3F3}"/>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1BEA9DB3-8A85-42EF-A03B-F7261B6EFE8F}"/>
    <cellStyle name="Currency 5 2 2 5 5 2 3" xfId="12667" xr:uid="{52A5225B-A139-4EEB-A0C1-188EDC625344}"/>
    <cellStyle name="Currency 5 2 2 5 5 3" xfId="6301" xr:uid="{00000000-0005-0000-0000-00001A0C0000}"/>
    <cellStyle name="Currency 5 2 2 5 5 3 2" xfId="14740" xr:uid="{BAA64824-56B6-4415-8BD1-2E03B250635E}"/>
    <cellStyle name="Currency 5 2 2 5 5 4" xfId="10522" xr:uid="{2880BAD0-2965-4161-8677-D3653F06726D}"/>
    <cellStyle name="Currency 5 2 2 5 6" xfId="2429" xr:uid="{00000000-0005-0000-0000-00001B0C0000}"/>
    <cellStyle name="Currency 5 2 2 5 6 2" xfId="6714" xr:uid="{00000000-0005-0000-0000-00001C0C0000}"/>
    <cellStyle name="Currency 5 2 2 5 6 2 2" xfId="15153" xr:uid="{12D84A82-33AC-48BC-9507-BA44C65F0EE4}"/>
    <cellStyle name="Currency 5 2 2 5 6 3" xfId="10935" xr:uid="{7CAE3EC6-2556-44F5-9AB1-4C0385FEF5A5}"/>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CEF9D578-1A3B-4DDB-956C-A951FEDD0809}"/>
    <cellStyle name="Currency 5 2 2 5 8 3" xfId="11252" xr:uid="{4F062E53-B96E-4829-91E1-95A795D855AC}"/>
    <cellStyle name="Currency 5 2 2 5 9" xfId="4648" xr:uid="{00000000-0005-0000-0000-0000200C0000}"/>
    <cellStyle name="Currency 5 2 2 5 9 2" xfId="13087" xr:uid="{DC506AC0-83FE-43BA-A0AE-90C3F40391B5}"/>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E9D6C41E-5057-492D-A8AE-9E7132607D00}"/>
    <cellStyle name="Currency 5 2 4 11" xfId="8870" xr:uid="{B943FFE8-D093-431F-A8A1-526F7C4E5E70}"/>
    <cellStyle name="Currency 5 2 4 2" xfId="206" xr:uid="{00000000-0005-0000-0000-0000250C0000}"/>
    <cellStyle name="Currency 5 2 4 2 10" xfId="8871" xr:uid="{8C2EC58D-FE4B-4FCE-A5C7-FA70996D1A3F}"/>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65859791-9051-48BA-9695-3F1F1558FC42}"/>
    <cellStyle name="Currency 5 2 4 2 2 2 3" xfId="11430" xr:uid="{156C68D0-A1A3-4554-B6F6-8B510973E2F1}"/>
    <cellStyle name="Currency 5 2 4 2 2 3" xfId="5064" xr:uid="{00000000-0005-0000-0000-0000290C0000}"/>
    <cellStyle name="Currency 5 2 4 2 2 3 2" xfId="13503" xr:uid="{0C88AC98-ECCD-4EB4-84B1-FC25589CD112}"/>
    <cellStyle name="Currency 5 2 4 2 2 4" xfId="9285" xr:uid="{C2C2778E-9E6C-43D6-B722-8F6F3D89BD4E}"/>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5B9601D7-FF66-45B0-AF89-9586417A17C8}"/>
    <cellStyle name="Currency 5 2 4 2 3 2 3" xfId="11843" xr:uid="{ED6CD28A-0EBF-4AF0-9B1F-776DF40894B5}"/>
    <cellStyle name="Currency 5 2 4 2 3 3" xfId="5477" xr:uid="{00000000-0005-0000-0000-00002D0C0000}"/>
    <cellStyle name="Currency 5 2 4 2 3 3 2" xfId="13916" xr:uid="{1F566030-555A-43D1-9C01-44F1371D668F}"/>
    <cellStyle name="Currency 5 2 4 2 3 4" xfId="9698" xr:uid="{86E0855D-2A00-469B-97F5-441A5BDDEF87}"/>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386AB850-AA82-4C13-83A9-4FA5C48A5146}"/>
    <cellStyle name="Currency 5 2 4 2 4 2 3" xfId="12256" xr:uid="{8392371D-FB86-4100-97DB-0803050F194C}"/>
    <cellStyle name="Currency 5 2 4 2 4 3" xfId="5890" xr:uid="{00000000-0005-0000-0000-0000310C0000}"/>
    <cellStyle name="Currency 5 2 4 2 4 3 2" xfId="14329" xr:uid="{E0E7E1BB-3F16-4A48-BA75-8D8615FA8939}"/>
    <cellStyle name="Currency 5 2 4 2 4 4" xfId="10111" xr:uid="{517DA38D-D2E4-4DD1-B9A5-23A01EF93C91}"/>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2A90C1CD-4674-4542-9731-92AA582F3A30}"/>
    <cellStyle name="Currency 5 2 4 2 5 2 3" xfId="12669" xr:uid="{40A0732B-6644-409F-9868-D71B259C7B8A}"/>
    <cellStyle name="Currency 5 2 4 2 5 3" xfId="6303" xr:uid="{00000000-0005-0000-0000-0000350C0000}"/>
    <cellStyle name="Currency 5 2 4 2 5 3 2" xfId="14742" xr:uid="{74F5FE88-CBFE-44BE-BE1B-942F917B13D5}"/>
    <cellStyle name="Currency 5 2 4 2 5 4" xfId="10524" xr:uid="{9295238E-D588-4B8C-B7DB-5AE03E684002}"/>
    <cellStyle name="Currency 5 2 4 2 6" xfId="2431" xr:uid="{00000000-0005-0000-0000-0000360C0000}"/>
    <cellStyle name="Currency 5 2 4 2 6 2" xfId="6716" xr:uid="{00000000-0005-0000-0000-0000370C0000}"/>
    <cellStyle name="Currency 5 2 4 2 6 2 2" xfId="15155" xr:uid="{0C649A25-6A32-48F6-AC44-87921402EAE4}"/>
    <cellStyle name="Currency 5 2 4 2 6 3" xfId="10937" xr:uid="{2F65ED10-CDB2-49AE-B42C-F4CF1EE6A87A}"/>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5210520D-2711-4C06-8C20-0C4A077AC338}"/>
    <cellStyle name="Currency 5 2 4 2 8 3" xfId="11254" xr:uid="{E7A1430C-FF12-4598-9470-D15CFF4817B0}"/>
    <cellStyle name="Currency 5 2 4 2 9" xfId="4650" xr:uid="{00000000-0005-0000-0000-00003B0C0000}"/>
    <cellStyle name="Currency 5 2 4 2 9 2" xfId="13089" xr:uid="{5B5C8ED8-7C37-4213-A13F-CA2818012846}"/>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0B5151B7-A7E0-46FC-830C-74A7BD8F3A0C}"/>
    <cellStyle name="Currency 5 2 4 3 2 3" xfId="11429" xr:uid="{B91ADC08-9E26-479B-8273-9EE0B0EF2402}"/>
    <cellStyle name="Currency 5 2 4 3 3" xfId="5063" xr:uid="{00000000-0005-0000-0000-00003F0C0000}"/>
    <cellStyle name="Currency 5 2 4 3 3 2" xfId="13502" xr:uid="{52B7E6D5-829C-4233-BAC3-17A5777C7854}"/>
    <cellStyle name="Currency 5 2 4 3 4" xfId="9284" xr:uid="{BDACC1B4-69A8-40E8-B9DD-E6B77ECE7CAB}"/>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A21A570B-152A-4BFC-B74D-5E3C94E1C1D8}"/>
    <cellStyle name="Currency 5 2 4 4 2 3" xfId="11842" xr:uid="{52BF6A6E-D516-4003-BEE8-072AB72BF701}"/>
    <cellStyle name="Currency 5 2 4 4 3" xfId="5476" xr:uid="{00000000-0005-0000-0000-0000430C0000}"/>
    <cellStyle name="Currency 5 2 4 4 3 2" xfId="13915" xr:uid="{AB4FBE9D-8D18-4BDE-93E8-A5CFFE84BAF1}"/>
    <cellStyle name="Currency 5 2 4 4 4" xfId="9697" xr:uid="{D63488CF-694F-42BA-86AD-39BB8FE845B0}"/>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D4899E97-13C9-486C-9F1C-387FD6536138}"/>
    <cellStyle name="Currency 5 2 4 5 2 3" xfId="12255" xr:uid="{F5CC1EB7-A059-4E35-B9BB-3538A5FC0F12}"/>
    <cellStyle name="Currency 5 2 4 5 3" xfId="5889" xr:uid="{00000000-0005-0000-0000-0000470C0000}"/>
    <cellStyle name="Currency 5 2 4 5 3 2" xfId="14328" xr:uid="{F54A34F1-9972-4159-A5CA-10469296A9B6}"/>
    <cellStyle name="Currency 5 2 4 5 4" xfId="10110" xr:uid="{7667C706-11BF-44D6-A63C-8E2BABB75414}"/>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100A40E1-6605-4124-8BFD-4CC772B947AE}"/>
    <cellStyle name="Currency 5 2 4 6 2 3" xfId="12668" xr:uid="{68DAA584-627B-4896-AC1B-2D83E08D2665}"/>
    <cellStyle name="Currency 5 2 4 6 3" xfId="6302" xr:uid="{00000000-0005-0000-0000-00004B0C0000}"/>
    <cellStyle name="Currency 5 2 4 6 3 2" xfId="14741" xr:uid="{FDDC521B-3DDE-45B3-AC50-19D0516BF1B8}"/>
    <cellStyle name="Currency 5 2 4 6 4" xfId="10523" xr:uid="{F15AEC29-3879-4302-8505-765E55C9F77C}"/>
    <cellStyle name="Currency 5 2 4 7" xfId="2430" xr:uid="{00000000-0005-0000-0000-00004C0C0000}"/>
    <cellStyle name="Currency 5 2 4 7 2" xfId="6715" xr:uid="{00000000-0005-0000-0000-00004D0C0000}"/>
    <cellStyle name="Currency 5 2 4 7 2 2" xfId="15154" xr:uid="{03533E06-1A29-4394-9D82-AC255D60D05C}"/>
    <cellStyle name="Currency 5 2 4 7 3" xfId="10936" xr:uid="{C318911D-969A-4A8D-84F8-86F90AC8D6CD}"/>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C510D421-35AE-4A78-9361-EAE57BEB5F51}"/>
    <cellStyle name="Currency 5 2 4 9 3" xfId="11253" xr:uid="{D84CCC20-4AB8-4585-8C13-7533F8EE4ACB}"/>
    <cellStyle name="Currency 5 2 5" xfId="207" xr:uid="{00000000-0005-0000-0000-0000510C0000}"/>
    <cellStyle name="Currency 5 2 5 10" xfId="8872" xr:uid="{9BE7A2CA-B2AF-4234-8E1B-259A314F4702}"/>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DB96C1FC-72F3-46AA-B2DD-66BECD9B19C0}"/>
    <cellStyle name="Currency 5 2 5 2 2 3" xfId="11431" xr:uid="{607CBA50-F9D1-4B0D-97A3-2A198E41DA38}"/>
    <cellStyle name="Currency 5 2 5 2 3" xfId="5065" xr:uid="{00000000-0005-0000-0000-0000550C0000}"/>
    <cellStyle name="Currency 5 2 5 2 3 2" xfId="13504" xr:uid="{1889996A-D906-452C-A1BC-641E94BC0C67}"/>
    <cellStyle name="Currency 5 2 5 2 4" xfId="9286" xr:uid="{763A2EF1-C6D8-4ADE-9328-278F6A73F44C}"/>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D187A55C-FCF0-48F7-9713-4386F281DF13}"/>
    <cellStyle name="Currency 5 2 5 3 2 3" xfId="11844" xr:uid="{AB73A757-BB71-45A2-941B-5944FA7D383E}"/>
    <cellStyle name="Currency 5 2 5 3 3" xfId="5478" xr:uid="{00000000-0005-0000-0000-0000590C0000}"/>
    <cellStyle name="Currency 5 2 5 3 3 2" xfId="13917" xr:uid="{EA4B81E4-606D-4DC5-8ED1-FB060B2AC40A}"/>
    <cellStyle name="Currency 5 2 5 3 4" xfId="9699" xr:uid="{A05EABB1-ED71-4D61-965C-558C28AAEB25}"/>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BDDA2281-724A-4D2A-994F-E8094D3CF0DC}"/>
    <cellStyle name="Currency 5 2 5 4 2 3" xfId="12257" xr:uid="{6F0C5F52-B950-40C4-B298-A8038BDB6ADA}"/>
    <cellStyle name="Currency 5 2 5 4 3" xfId="5891" xr:uid="{00000000-0005-0000-0000-00005D0C0000}"/>
    <cellStyle name="Currency 5 2 5 4 3 2" xfId="14330" xr:uid="{11ECF37E-A944-423F-ABAF-46923B1C3C06}"/>
    <cellStyle name="Currency 5 2 5 4 4" xfId="10112" xr:uid="{54D7882D-CCC3-422B-88CF-68EC5389D7D5}"/>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29B28A1D-A08F-4916-9BDE-A8F476FA9FB7}"/>
    <cellStyle name="Currency 5 2 5 5 2 3" xfId="12670" xr:uid="{0997E6ED-3B92-47BA-9F61-5136FAFABFD0}"/>
    <cellStyle name="Currency 5 2 5 5 3" xfId="6304" xr:uid="{00000000-0005-0000-0000-0000610C0000}"/>
    <cellStyle name="Currency 5 2 5 5 3 2" xfId="14743" xr:uid="{85F355D5-6489-438D-967F-C1812731A318}"/>
    <cellStyle name="Currency 5 2 5 5 4" xfId="10525" xr:uid="{FFD0C678-6D64-4BAB-A232-99EC80366DD9}"/>
    <cellStyle name="Currency 5 2 5 6" xfId="2432" xr:uid="{00000000-0005-0000-0000-0000620C0000}"/>
    <cellStyle name="Currency 5 2 5 6 2" xfId="6717" xr:uid="{00000000-0005-0000-0000-0000630C0000}"/>
    <cellStyle name="Currency 5 2 5 6 2 2" xfId="15156" xr:uid="{E2F2FC2D-3E91-4AC8-88C3-211F298D3C5C}"/>
    <cellStyle name="Currency 5 2 5 6 3" xfId="10938" xr:uid="{1B0DD102-4B48-4C10-8CB3-C429D29A56C0}"/>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EB131857-45FC-4D5A-BC2B-27CC8D8F8500}"/>
    <cellStyle name="Currency 5 2 5 8 3" xfId="11255" xr:uid="{388968F2-ED0A-422F-9DFF-EC4DAC1CF141}"/>
    <cellStyle name="Currency 5 2 5 9" xfId="4651" xr:uid="{00000000-0005-0000-0000-0000670C0000}"/>
    <cellStyle name="Currency 5 2 5 9 2" xfId="13090" xr:uid="{F010ED9A-1585-46B2-B6A0-78DD7E02D33E}"/>
    <cellStyle name="Currency 5 2 6" xfId="208" xr:uid="{00000000-0005-0000-0000-0000680C0000}"/>
    <cellStyle name="Currency 5 2 6 10" xfId="8873" xr:uid="{484C3AE0-3953-4BB7-A1B1-55D89038669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1313E2E8-FFCD-4D8C-A6DD-D0BF73590027}"/>
    <cellStyle name="Currency 5 2 6 2 2 3" xfId="11432" xr:uid="{0D05EBFC-DCA6-4BAD-A883-0B4F80CB722A}"/>
    <cellStyle name="Currency 5 2 6 2 3" xfId="5066" xr:uid="{00000000-0005-0000-0000-00006C0C0000}"/>
    <cellStyle name="Currency 5 2 6 2 3 2" xfId="13505" xr:uid="{6CE0F0B1-8B3E-466B-8F7F-C546894B830C}"/>
    <cellStyle name="Currency 5 2 6 2 4" xfId="9287" xr:uid="{C3B9C599-AA05-46E7-8895-F9C853169741}"/>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73DBE0C6-CC6A-459C-BB8D-5D685C169AC6}"/>
    <cellStyle name="Currency 5 2 6 3 2 3" xfId="11845" xr:uid="{D46E6DCC-84F5-47AC-90F7-CA74884797B9}"/>
    <cellStyle name="Currency 5 2 6 3 3" xfId="5479" xr:uid="{00000000-0005-0000-0000-0000700C0000}"/>
    <cellStyle name="Currency 5 2 6 3 3 2" xfId="13918" xr:uid="{CADC5EED-2B7D-44AF-B3C2-F7CCDFEF95BA}"/>
    <cellStyle name="Currency 5 2 6 3 4" xfId="9700" xr:uid="{4AE4AE31-901C-4169-8B86-F42DCCEC0F4B}"/>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2D0231A5-BD6C-4831-A710-BAEF1903E5E2}"/>
    <cellStyle name="Currency 5 2 6 4 2 3" xfId="12258" xr:uid="{0444D4F8-7711-4C36-A2FD-0C537CA92714}"/>
    <cellStyle name="Currency 5 2 6 4 3" xfId="5892" xr:uid="{00000000-0005-0000-0000-0000740C0000}"/>
    <cellStyle name="Currency 5 2 6 4 3 2" xfId="14331" xr:uid="{676CEBD7-DDCF-4321-9030-584E784BAB15}"/>
    <cellStyle name="Currency 5 2 6 4 4" xfId="10113" xr:uid="{3208A1F1-63D0-4367-8125-8D7075F656D1}"/>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92470725-58B1-4DCF-A34D-5F1FE86C0150}"/>
    <cellStyle name="Currency 5 2 6 5 2 3" xfId="12671" xr:uid="{C6BCB310-2C54-486C-9EAB-D36414A6B365}"/>
    <cellStyle name="Currency 5 2 6 5 3" xfId="6305" xr:uid="{00000000-0005-0000-0000-0000780C0000}"/>
    <cellStyle name="Currency 5 2 6 5 3 2" xfId="14744" xr:uid="{677C8AE1-3774-4DC3-A33C-3E997854ADAD}"/>
    <cellStyle name="Currency 5 2 6 5 4" xfId="10526" xr:uid="{FF9E559C-44C5-43F5-8A12-23472C2062C9}"/>
    <cellStyle name="Currency 5 2 6 6" xfId="2433" xr:uid="{00000000-0005-0000-0000-0000790C0000}"/>
    <cellStyle name="Currency 5 2 6 6 2" xfId="6718" xr:uid="{00000000-0005-0000-0000-00007A0C0000}"/>
    <cellStyle name="Currency 5 2 6 6 2 2" xfId="15157" xr:uid="{31E154A4-5813-4A22-8451-FC019D8BDB1C}"/>
    <cellStyle name="Currency 5 2 6 6 3" xfId="10939" xr:uid="{8865F15B-89B0-4A08-9A1F-6DFAFB87D84E}"/>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1AB6E2E4-7451-48D1-A7D4-E0D7A74B1A7C}"/>
    <cellStyle name="Currency 5 2 6 8 3" xfId="11256" xr:uid="{9D89C13A-1675-46EC-8784-416D9D3C84E0}"/>
    <cellStyle name="Currency 5 2 6 9" xfId="4652" xr:uid="{00000000-0005-0000-0000-00007E0C0000}"/>
    <cellStyle name="Currency 5 2 6 9 2" xfId="13091" xr:uid="{6570D0A9-1447-4106-85FC-85D84144F5A6}"/>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AFE13C8E-D2DA-409A-8E4A-20FF23F960D0}"/>
    <cellStyle name="Currency 5 3 2 10 3" xfId="11257" xr:uid="{475343A6-CDC8-443B-A25F-B16C25A87D1C}"/>
    <cellStyle name="Currency 5 3 2 11" xfId="4653" xr:uid="{00000000-0005-0000-0000-0000840C0000}"/>
    <cellStyle name="Currency 5 3 2 11 2" xfId="13092" xr:uid="{38D024B9-AAD2-452F-A006-6ACF0467C7CC}"/>
    <cellStyle name="Currency 5 3 2 12" xfId="8874" xr:uid="{69442B99-69DC-4E46-9884-47CE93BEE4B7}"/>
    <cellStyle name="Currency 5 3 2 2" xfId="211" xr:uid="{00000000-0005-0000-0000-0000850C0000}"/>
    <cellStyle name="Currency 5 3 2 2 10" xfId="4654" xr:uid="{00000000-0005-0000-0000-0000860C0000}"/>
    <cellStyle name="Currency 5 3 2 2 10 2" xfId="13093" xr:uid="{02F6D72A-73E1-42E9-B6E7-4E346904D448}"/>
    <cellStyle name="Currency 5 3 2 2 11" xfId="8875" xr:uid="{F8AD4B53-47A1-49AE-9991-6C8CD3E4440B}"/>
    <cellStyle name="Currency 5 3 2 2 2" xfId="212" xr:uid="{00000000-0005-0000-0000-0000870C0000}"/>
    <cellStyle name="Currency 5 3 2 2 2 10" xfId="8876" xr:uid="{EBAEA6AF-DE05-4F5B-ADB6-531AD248F7F6}"/>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169E7A3B-A0C2-452E-B89E-20A81617BC22}"/>
    <cellStyle name="Currency 5 3 2 2 2 2 2 3" xfId="11435" xr:uid="{C94D8302-E664-4E37-BE4B-70A7DCF1E5A3}"/>
    <cellStyle name="Currency 5 3 2 2 2 2 3" xfId="5069" xr:uid="{00000000-0005-0000-0000-00008B0C0000}"/>
    <cellStyle name="Currency 5 3 2 2 2 2 3 2" xfId="13508" xr:uid="{355F92FE-78B2-469D-96B2-397D72364ECC}"/>
    <cellStyle name="Currency 5 3 2 2 2 2 4" xfId="9290" xr:uid="{E6B741E1-29DB-40EB-99B7-99C6F7193E5B}"/>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436689E1-6364-4A1A-8F16-C843D38C9583}"/>
    <cellStyle name="Currency 5 3 2 2 2 3 2 3" xfId="11848" xr:uid="{03FA305A-EC8E-4B02-B601-869098689BDD}"/>
    <cellStyle name="Currency 5 3 2 2 2 3 3" xfId="5482" xr:uid="{00000000-0005-0000-0000-00008F0C0000}"/>
    <cellStyle name="Currency 5 3 2 2 2 3 3 2" xfId="13921" xr:uid="{964B938C-C25A-47C1-8944-AA02F96B5889}"/>
    <cellStyle name="Currency 5 3 2 2 2 3 4" xfId="9703" xr:uid="{49776A0B-6560-4F59-9CE5-213AE74D8AEB}"/>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BEF60D3B-7B88-4162-8BB8-FFAE180E36B5}"/>
    <cellStyle name="Currency 5 3 2 2 2 4 2 3" xfId="12261" xr:uid="{BC8E355A-CB42-4462-B100-B896B6DE383C}"/>
    <cellStyle name="Currency 5 3 2 2 2 4 3" xfId="5895" xr:uid="{00000000-0005-0000-0000-0000930C0000}"/>
    <cellStyle name="Currency 5 3 2 2 2 4 3 2" xfId="14334" xr:uid="{DD507743-EFEE-4D7F-84D1-EB0ACCBAE4C4}"/>
    <cellStyle name="Currency 5 3 2 2 2 4 4" xfId="10116" xr:uid="{7BA2CECD-361E-4C4B-9967-02D4D292AC0D}"/>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2787FB2B-2F2E-440F-A498-D81CD8ACD7E7}"/>
    <cellStyle name="Currency 5 3 2 2 2 5 2 3" xfId="12674" xr:uid="{31914AAF-D25A-4D8E-A4D2-96A6DD140A7E}"/>
    <cellStyle name="Currency 5 3 2 2 2 5 3" xfId="6308" xr:uid="{00000000-0005-0000-0000-0000970C0000}"/>
    <cellStyle name="Currency 5 3 2 2 2 5 3 2" xfId="14747" xr:uid="{1CAE8784-C3AC-4FC6-BBA8-D1EF0D1CA14F}"/>
    <cellStyle name="Currency 5 3 2 2 2 5 4" xfId="10529" xr:uid="{534D0B27-990C-4702-B55C-4ABE1F213274}"/>
    <cellStyle name="Currency 5 3 2 2 2 6" xfId="2436" xr:uid="{00000000-0005-0000-0000-0000980C0000}"/>
    <cellStyle name="Currency 5 3 2 2 2 6 2" xfId="6721" xr:uid="{00000000-0005-0000-0000-0000990C0000}"/>
    <cellStyle name="Currency 5 3 2 2 2 6 2 2" xfId="15160" xr:uid="{989D46C2-465C-4408-A9AC-8C0E218F7E52}"/>
    <cellStyle name="Currency 5 3 2 2 2 6 3" xfId="10942" xr:uid="{964CF873-82BD-44F3-A0F7-7C66D14ED2A4}"/>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FE294F56-5649-4DC5-AC72-B26ADC6450BF}"/>
    <cellStyle name="Currency 5 3 2 2 2 8 3" xfId="11259" xr:uid="{8EA20C26-65D3-4079-B16E-D9FACE297981}"/>
    <cellStyle name="Currency 5 3 2 2 2 9" xfId="4655" xr:uid="{00000000-0005-0000-0000-00009D0C0000}"/>
    <cellStyle name="Currency 5 3 2 2 2 9 2" xfId="13094" xr:uid="{D65EBC65-6289-479E-950D-B50D86DA5C09}"/>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71018717-9715-4E8F-BF78-9BF4E919B6DF}"/>
    <cellStyle name="Currency 5 3 2 2 3 2 3" xfId="11434" xr:uid="{B78C754B-62B8-4EBE-8EB5-A5B0239F5EC2}"/>
    <cellStyle name="Currency 5 3 2 2 3 3" xfId="5068" xr:uid="{00000000-0005-0000-0000-0000A10C0000}"/>
    <cellStyle name="Currency 5 3 2 2 3 3 2" xfId="13507" xr:uid="{D9277A3E-D12A-4B27-8737-FCD2B600DBA5}"/>
    <cellStyle name="Currency 5 3 2 2 3 4" xfId="9289" xr:uid="{F0901CBE-89E9-410B-8D0F-1B660469BF2E}"/>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96210ABA-B719-465C-8D6E-56B993DA8EBC}"/>
    <cellStyle name="Currency 5 3 2 2 4 2 3" xfId="11847" xr:uid="{A6670251-C9F6-481B-8093-9BEECDD20960}"/>
    <cellStyle name="Currency 5 3 2 2 4 3" xfId="5481" xr:uid="{00000000-0005-0000-0000-0000A50C0000}"/>
    <cellStyle name="Currency 5 3 2 2 4 3 2" xfId="13920" xr:uid="{088ED3E7-0DF5-4723-A941-CD07BE672826}"/>
    <cellStyle name="Currency 5 3 2 2 4 4" xfId="9702" xr:uid="{EEA0A4FC-A8D2-459C-85B8-A74BE837099D}"/>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70427090-1975-4DC2-AA05-45A4B843E004}"/>
    <cellStyle name="Currency 5 3 2 2 5 2 3" xfId="12260" xr:uid="{E7BE00B7-9FC6-4DEE-883A-FC80F100086C}"/>
    <cellStyle name="Currency 5 3 2 2 5 3" xfId="5894" xr:uid="{00000000-0005-0000-0000-0000A90C0000}"/>
    <cellStyle name="Currency 5 3 2 2 5 3 2" xfId="14333" xr:uid="{CC550772-343C-45E9-887E-80CD3E340733}"/>
    <cellStyle name="Currency 5 3 2 2 5 4" xfId="10115" xr:uid="{8E96CCD8-04F9-4155-8E7D-0C00718E7F78}"/>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957D69EF-BA4E-4B24-90B6-974C9C9D1C3C}"/>
    <cellStyle name="Currency 5 3 2 2 6 2 3" xfId="12673" xr:uid="{C63A433C-FDAA-4D37-BA38-B646D7E5D275}"/>
    <cellStyle name="Currency 5 3 2 2 6 3" xfId="6307" xr:uid="{00000000-0005-0000-0000-0000AD0C0000}"/>
    <cellStyle name="Currency 5 3 2 2 6 3 2" xfId="14746" xr:uid="{F02966F9-5B91-43DE-9489-124FBA11F215}"/>
    <cellStyle name="Currency 5 3 2 2 6 4" xfId="10528" xr:uid="{FE56258D-76CF-4A1A-8F11-43F0FCCBA0D6}"/>
    <cellStyle name="Currency 5 3 2 2 7" xfId="2435" xr:uid="{00000000-0005-0000-0000-0000AE0C0000}"/>
    <cellStyle name="Currency 5 3 2 2 7 2" xfId="6720" xr:uid="{00000000-0005-0000-0000-0000AF0C0000}"/>
    <cellStyle name="Currency 5 3 2 2 7 2 2" xfId="15159" xr:uid="{DFE5CDD6-0472-4C12-A0A8-48744A7D80EE}"/>
    <cellStyle name="Currency 5 3 2 2 7 3" xfId="10941" xr:uid="{C2F169C2-3933-4CF6-90DA-A2D71C2EDD68}"/>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4ED8327F-9A22-4DD1-BA50-39737A40B79D}"/>
    <cellStyle name="Currency 5 3 2 2 9 3" xfId="11258" xr:uid="{15A48FF4-6AB6-4AF7-BA78-06974E215F8F}"/>
    <cellStyle name="Currency 5 3 2 3" xfId="213" xr:uid="{00000000-0005-0000-0000-0000B30C0000}"/>
    <cellStyle name="Currency 5 3 2 3 10" xfId="8877" xr:uid="{8F92677E-06D9-4016-8323-74CB190C8ED3}"/>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9CA42207-05C2-4953-B3AD-9A1454C352C7}"/>
    <cellStyle name="Currency 5 3 2 3 2 2 3" xfId="11436" xr:uid="{23B4ECB5-49A6-4C5F-9E3E-925FA9A76C23}"/>
    <cellStyle name="Currency 5 3 2 3 2 3" xfId="5070" xr:uid="{00000000-0005-0000-0000-0000B70C0000}"/>
    <cellStyle name="Currency 5 3 2 3 2 3 2" xfId="13509" xr:uid="{AA5D1E3B-A544-40C2-88BF-E6F35FEF8E32}"/>
    <cellStyle name="Currency 5 3 2 3 2 4" xfId="9291" xr:uid="{2FB37E2A-46DD-4CC9-B991-AF7C9EDF67B7}"/>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81C43441-41E3-4AF9-AE88-01DC9F61DC77}"/>
    <cellStyle name="Currency 5 3 2 3 3 2 3" xfId="11849" xr:uid="{913A89E3-5420-4AF3-B234-691E161C5DDC}"/>
    <cellStyle name="Currency 5 3 2 3 3 3" xfId="5483" xr:uid="{00000000-0005-0000-0000-0000BB0C0000}"/>
    <cellStyle name="Currency 5 3 2 3 3 3 2" xfId="13922" xr:uid="{58D44075-18CF-4361-A40C-F2A6F40B134E}"/>
    <cellStyle name="Currency 5 3 2 3 3 4" xfId="9704" xr:uid="{08D7459C-B125-4BE2-9984-AD9502D299C6}"/>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A095DC87-0EB4-437B-86C0-AB9D1A730880}"/>
    <cellStyle name="Currency 5 3 2 3 4 2 3" xfId="12262" xr:uid="{F6A6970B-8CFC-44F2-A15B-6D4B90BAB00F}"/>
    <cellStyle name="Currency 5 3 2 3 4 3" xfId="5896" xr:uid="{00000000-0005-0000-0000-0000BF0C0000}"/>
    <cellStyle name="Currency 5 3 2 3 4 3 2" xfId="14335" xr:uid="{7FA3B9D8-7538-4F5B-8C8B-48135467DFCA}"/>
    <cellStyle name="Currency 5 3 2 3 4 4" xfId="10117" xr:uid="{3C1C9069-1F2D-40A1-8FBA-5544A83495B6}"/>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B901C393-F9D6-4B4B-91CE-3D140F5AF560}"/>
    <cellStyle name="Currency 5 3 2 3 5 2 3" xfId="12675" xr:uid="{D6765BFE-14F4-4EDA-84CE-913501280135}"/>
    <cellStyle name="Currency 5 3 2 3 5 3" xfId="6309" xr:uid="{00000000-0005-0000-0000-0000C30C0000}"/>
    <cellStyle name="Currency 5 3 2 3 5 3 2" xfId="14748" xr:uid="{4A70CAEC-F5C5-4BA5-843E-1D098BC08B97}"/>
    <cellStyle name="Currency 5 3 2 3 5 4" xfId="10530" xr:uid="{0938DC43-A5E0-4D87-913F-B5A734A832AF}"/>
    <cellStyle name="Currency 5 3 2 3 6" xfId="2437" xr:uid="{00000000-0005-0000-0000-0000C40C0000}"/>
    <cellStyle name="Currency 5 3 2 3 6 2" xfId="6722" xr:uid="{00000000-0005-0000-0000-0000C50C0000}"/>
    <cellStyle name="Currency 5 3 2 3 6 2 2" xfId="15161" xr:uid="{59AF39C8-F03D-461E-97DD-3207F59DC286}"/>
    <cellStyle name="Currency 5 3 2 3 6 3" xfId="10943" xr:uid="{7BB5EDF8-2F19-47D6-B32F-3C735768FDF6}"/>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71EAAE32-39C5-4F35-B1D9-264637974FB7}"/>
    <cellStyle name="Currency 5 3 2 3 8 3" xfId="11260" xr:uid="{2BA19ED4-468E-41F5-9EBD-0CAD0F955AD1}"/>
    <cellStyle name="Currency 5 3 2 3 9" xfId="4656" xr:uid="{00000000-0005-0000-0000-0000C90C0000}"/>
    <cellStyle name="Currency 5 3 2 3 9 2" xfId="13095" xr:uid="{E7373427-078D-4422-96A5-303A9092B725}"/>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BA8CA9B6-E316-442A-9A87-37B0F06537AE}"/>
    <cellStyle name="Currency 5 3 2 4 2 3" xfId="11433" xr:uid="{ACE07F02-41C4-4337-8D8C-ECE8396CB740}"/>
    <cellStyle name="Currency 5 3 2 4 3" xfId="5067" xr:uid="{00000000-0005-0000-0000-0000CD0C0000}"/>
    <cellStyle name="Currency 5 3 2 4 3 2" xfId="13506" xr:uid="{14F8EDBE-391F-4035-9FF8-60C487C1AA73}"/>
    <cellStyle name="Currency 5 3 2 4 4" xfId="9288" xr:uid="{80517320-D6AA-40F9-8AF6-F9BBB32F126A}"/>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5ACC9590-7390-4585-8F98-55A8FFC34614}"/>
    <cellStyle name="Currency 5 3 2 5 2 3" xfId="11846" xr:uid="{E678FEBD-221A-4FFD-BFAB-531A3DD5EF34}"/>
    <cellStyle name="Currency 5 3 2 5 3" xfId="5480" xr:uid="{00000000-0005-0000-0000-0000D10C0000}"/>
    <cellStyle name="Currency 5 3 2 5 3 2" xfId="13919" xr:uid="{E898A017-91BC-47C3-B565-D19D6BC81851}"/>
    <cellStyle name="Currency 5 3 2 5 4" xfId="9701" xr:uid="{ADE7348F-8B14-4E1A-AD99-33C418CA07B0}"/>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EFD20276-84FE-4C14-BB3F-58E3327E2CD0}"/>
    <cellStyle name="Currency 5 3 2 6 2 3" xfId="12259" xr:uid="{E242EAD9-CC3E-4858-88C4-825A849541D2}"/>
    <cellStyle name="Currency 5 3 2 6 3" xfId="5893" xr:uid="{00000000-0005-0000-0000-0000D50C0000}"/>
    <cellStyle name="Currency 5 3 2 6 3 2" xfId="14332" xr:uid="{14FA2E5E-2801-4332-BD48-56CFC59E698B}"/>
    <cellStyle name="Currency 5 3 2 6 4" xfId="10114" xr:uid="{1C331CE5-F2D3-4E22-ACB9-FA2438339E7E}"/>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CEAA061D-F957-43D9-8B4C-268D723D9215}"/>
    <cellStyle name="Currency 5 3 2 7 2 3" xfId="12672" xr:uid="{E50AB87A-6213-42A0-A2B2-45127D4E4C91}"/>
    <cellStyle name="Currency 5 3 2 7 3" xfId="6306" xr:uid="{00000000-0005-0000-0000-0000D90C0000}"/>
    <cellStyle name="Currency 5 3 2 7 3 2" xfId="14745" xr:uid="{C85CFB77-4CBD-42B4-B91F-6F7FB5C788CD}"/>
    <cellStyle name="Currency 5 3 2 7 4" xfId="10527" xr:uid="{25D50CA9-4B38-4440-9C08-50AB4B4DD266}"/>
    <cellStyle name="Currency 5 3 2 8" xfId="2434" xr:uid="{00000000-0005-0000-0000-0000DA0C0000}"/>
    <cellStyle name="Currency 5 3 2 8 2" xfId="6719" xr:uid="{00000000-0005-0000-0000-0000DB0C0000}"/>
    <cellStyle name="Currency 5 3 2 8 2 2" xfId="15158" xr:uid="{88603DB0-6DDF-4950-969B-2EE05F9E0F1C}"/>
    <cellStyle name="Currency 5 3 2 8 3" xfId="10940" xr:uid="{3E73B0A8-7C9F-4B08-8318-1CE0F7CC8FC3}"/>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0AB23A0E-272F-4F53-9E01-E68231228A1B}"/>
    <cellStyle name="Currency 5 3 3 11" xfId="8878" xr:uid="{72DBAA62-63DB-4413-B2F6-DCB0BE69A848}"/>
    <cellStyle name="Currency 5 3 3 2" xfId="215" xr:uid="{00000000-0005-0000-0000-0000DF0C0000}"/>
    <cellStyle name="Currency 5 3 3 2 10" xfId="8879" xr:uid="{C585F5EC-DD30-4DDE-9E11-8715E4920743}"/>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37017B88-49A7-4C89-AB3E-F759B87AA449}"/>
    <cellStyle name="Currency 5 3 3 2 2 2 3" xfId="11438" xr:uid="{12914B69-0037-460C-848D-CFC211F949A4}"/>
    <cellStyle name="Currency 5 3 3 2 2 3" xfId="5072" xr:uid="{00000000-0005-0000-0000-0000E30C0000}"/>
    <cellStyle name="Currency 5 3 3 2 2 3 2" xfId="13511" xr:uid="{CE64FB4E-EC4F-48A7-9643-5B5A8AF119F9}"/>
    <cellStyle name="Currency 5 3 3 2 2 4" xfId="9293" xr:uid="{5C41AB2B-2987-46D8-BCA6-829CE201C58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496B611C-A485-49A4-BCAA-D6DC0141A3D4}"/>
    <cellStyle name="Currency 5 3 3 2 3 2 3" xfId="11851" xr:uid="{6F40C310-4412-4CEF-92DD-B671758826B4}"/>
    <cellStyle name="Currency 5 3 3 2 3 3" xfId="5485" xr:uid="{00000000-0005-0000-0000-0000E70C0000}"/>
    <cellStyle name="Currency 5 3 3 2 3 3 2" xfId="13924" xr:uid="{F4A631F0-FC58-426B-8D94-AB893D3E4A6B}"/>
    <cellStyle name="Currency 5 3 3 2 3 4" xfId="9706" xr:uid="{B5CD9266-70FF-4AFA-AB90-157955D4BA5D}"/>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331D8473-38B8-4627-8AC5-5F80D2223897}"/>
    <cellStyle name="Currency 5 3 3 2 4 2 3" xfId="12264" xr:uid="{7FDE483B-0049-47E0-AAF1-6E91B4C90969}"/>
    <cellStyle name="Currency 5 3 3 2 4 3" xfId="5898" xr:uid="{00000000-0005-0000-0000-0000EB0C0000}"/>
    <cellStyle name="Currency 5 3 3 2 4 3 2" xfId="14337" xr:uid="{E574E1A2-A2C6-4CDB-AD94-7D25A051EF54}"/>
    <cellStyle name="Currency 5 3 3 2 4 4" xfId="10119" xr:uid="{716FF2D0-4093-4A56-BF73-0D5B7A5A87C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16DE85F8-78DD-45D3-B871-FED5AC99294F}"/>
    <cellStyle name="Currency 5 3 3 2 5 2 3" xfId="12677" xr:uid="{2A35753F-F7E9-4370-AF82-D772F6F080B5}"/>
    <cellStyle name="Currency 5 3 3 2 5 3" xfId="6311" xr:uid="{00000000-0005-0000-0000-0000EF0C0000}"/>
    <cellStyle name="Currency 5 3 3 2 5 3 2" xfId="14750" xr:uid="{189D9747-EB73-44FF-8F40-2DC0DFA14DEA}"/>
    <cellStyle name="Currency 5 3 3 2 5 4" xfId="10532" xr:uid="{21173DA6-3D6E-4321-9741-D35BE018AAD2}"/>
    <cellStyle name="Currency 5 3 3 2 6" xfId="2439" xr:uid="{00000000-0005-0000-0000-0000F00C0000}"/>
    <cellStyle name="Currency 5 3 3 2 6 2" xfId="6724" xr:uid="{00000000-0005-0000-0000-0000F10C0000}"/>
    <cellStyle name="Currency 5 3 3 2 6 2 2" xfId="15163" xr:uid="{BC7A2D38-BB0D-450A-85B6-2C0AEB7D72B6}"/>
    <cellStyle name="Currency 5 3 3 2 6 3" xfId="10945" xr:uid="{94CA85E9-BF29-49FC-9845-9317D02086DB}"/>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5816DC07-6E61-4E2D-BE00-B515F9771289}"/>
    <cellStyle name="Currency 5 3 3 2 8 3" xfId="11262" xr:uid="{3A58FBC7-01B3-4403-B1AC-851C3041D620}"/>
    <cellStyle name="Currency 5 3 3 2 9" xfId="4658" xr:uid="{00000000-0005-0000-0000-0000F50C0000}"/>
    <cellStyle name="Currency 5 3 3 2 9 2" xfId="13097" xr:uid="{AF0595DE-BD7C-439D-A189-404BECC03671}"/>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9BCB21B6-6CEC-4912-83BF-939AF0788FE9}"/>
    <cellStyle name="Currency 5 3 3 3 2 3" xfId="11437" xr:uid="{3B74CBEE-A0F4-4DCB-903E-0D42D1B0FB3B}"/>
    <cellStyle name="Currency 5 3 3 3 3" xfId="5071" xr:uid="{00000000-0005-0000-0000-0000F90C0000}"/>
    <cellStyle name="Currency 5 3 3 3 3 2" xfId="13510" xr:uid="{714C9D07-AA8B-4787-B4A2-DC16B8237DFB}"/>
    <cellStyle name="Currency 5 3 3 3 4" xfId="9292" xr:uid="{FE8A2B8F-13B5-4356-ADD8-435DEFA5C544}"/>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AEE2EC28-2B20-4478-8E0A-5443386BCA25}"/>
    <cellStyle name="Currency 5 3 3 4 2 3" xfId="11850" xr:uid="{60FF58DB-A553-4E26-8F32-AA1E39B670F0}"/>
    <cellStyle name="Currency 5 3 3 4 3" xfId="5484" xr:uid="{00000000-0005-0000-0000-0000FD0C0000}"/>
    <cellStyle name="Currency 5 3 3 4 3 2" xfId="13923" xr:uid="{047D3E10-217A-43A9-ABBD-8185AFB69B9C}"/>
    <cellStyle name="Currency 5 3 3 4 4" xfId="9705" xr:uid="{15B63BE9-E03A-4487-8206-C618C16A424E}"/>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A1765B1F-1422-4AD6-ABEB-A11C860ADBD5}"/>
    <cellStyle name="Currency 5 3 3 5 2 3" xfId="12263" xr:uid="{0EE28300-0DB9-4675-B892-5240A62B275D}"/>
    <cellStyle name="Currency 5 3 3 5 3" xfId="5897" xr:uid="{00000000-0005-0000-0000-0000010D0000}"/>
    <cellStyle name="Currency 5 3 3 5 3 2" xfId="14336" xr:uid="{79A74139-A049-4602-B8A9-CC3B0686501A}"/>
    <cellStyle name="Currency 5 3 3 5 4" xfId="10118" xr:uid="{D1F256F5-7932-4D1E-BB78-5991B74616B4}"/>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51C6BB0E-34CD-4F03-B5DB-5D4CAC95998A}"/>
    <cellStyle name="Currency 5 3 3 6 2 3" xfId="12676" xr:uid="{15F6881B-CB3A-4159-B227-AD579C2E5058}"/>
    <cellStyle name="Currency 5 3 3 6 3" xfId="6310" xr:uid="{00000000-0005-0000-0000-0000050D0000}"/>
    <cellStyle name="Currency 5 3 3 6 3 2" xfId="14749" xr:uid="{77DF15A5-DF8F-4CEC-94EC-13207420DFCE}"/>
    <cellStyle name="Currency 5 3 3 6 4" xfId="10531" xr:uid="{0F7900C0-6E64-4E1E-8B61-9E199EAAD2B9}"/>
    <cellStyle name="Currency 5 3 3 7" xfId="2438" xr:uid="{00000000-0005-0000-0000-0000060D0000}"/>
    <cellStyle name="Currency 5 3 3 7 2" xfId="6723" xr:uid="{00000000-0005-0000-0000-0000070D0000}"/>
    <cellStyle name="Currency 5 3 3 7 2 2" xfId="15162" xr:uid="{7DD7A065-2FF4-44B5-A602-3457D04490ED}"/>
    <cellStyle name="Currency 5 3 3 7 3" xfId="10944" xr:uid="{6BE8C0E1-CB17-46DC-A8EF-BC6F98A76742}"/>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8B34DD2C-C037-44C1-8815-691DC122F2DC}"/>
    <cellStyle name="Currency 5 3 3 9 3" xfId="11261" xr:uid="{1DDA5A54-16E3-439A-B029-CBA4993CD63D}"/>
    <cellStyle name="Currency 5 3 4" xfId="216" xr:uid="{00000000-0005-0000-0000-00000B0D0000}"/>
    <cellStyle name="Currency 5 3 4 10" xfId="8880" xr:uid="{2E9B8A6C-8117-4B37-BDE7-BBAEDDB9F3C8}"/>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680A0847-2728-4FD1-901F-60C9A8F1E886}"/>
    <cellStyle name="Currency 5 3 4 2 2 3" xfId="11439" xr:uid="{D57EC298-AD48-4964-ABAE-AA7719318648}"/>
    <cellStyle name="Currency 5 3 4 2 3" xfId="5073" xr:uid="{00000000-0005-0000-0000-00000F0D0000}"/>
    <cellStyle name="Currency 5 3 4 2 3 2" xfId="13512" xr:uid="{1F4E446F-7B28-44A9-84CC-69E306F326E5}"/>
    <cellStyle name="Currency 5 3 4 2 4" xfId="9294" xr:uid="{AE841DEF-3DA3-47B4-BCC5-6F9DB375D19F}"/>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30753623-92E6-4467-BA19-0EB6E641FE1D}"/>
    <cellStyle name="Currency 5 3 4 3 2 3" xfId="11852" xr:uid="{378A2DC4-0455-4A8A-94DC-4C206B39F50F}"/>
    <cellStyle name="Currency 5 3 4 3 3" xfId="5486" xr:uid="{00000000-0005-0000-0000-0000130D0000}"/>
    <cellStyle name="Currency 5 3 4 3 3 2" xfId="13925" xr:uid="{AE35B0A9-8F31-4DF8-A439-657AD7B7BDDF}"/>
    <cellStyle name="Currency 5 3 4 3 4" xfId="9707" xr:uid="{5579B8AF-BA6D-4232-A27F-9D64F142AED2}"/>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3B9EF64B-C368-4F33-9CE4-1F8759294C04}"/>
    <cellStyle name="Currency 5 3 4 4 2 3" xfId="12265" xr:uid="{08038BE0-4A8F-4AF4-A7B6-EB27AF97C9F5}"/>
    <cellStyle name="Currency 5 3 4 4 3" xfId="5899" xr:uid="{00000000-0005-0000-0000-0000170D0000}"/>
    <cellStyle name="Currency 5 3 4 4 3 2" xfId="14338" xr:uid="{0B2A5526-D0AD-4C33-8673-4B524D5AB6E1}"/>
    <cellStyle name="Currency 5 3 4 4 4" xfId="10120" xr:uid="{A6273B58-23FB-464B-A9AD-6B26B3FBBAD4}"/>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54316E1B-77AE-48AE-ABAF-38EDAF0FF1FB}"/>
    <cellStyle name="Currency 5 3 4 5 2 3" xfId="12678" xr:uid="{5AABFC54-5499-4CE5-A1AD-9649626A6522}"/>
    <cellStyle name="Currency 5 3 4 5 3" xfId="6312" xr:uid="{00000000-0005-0000-0000-00001B0D0000}"/>
    <cellStyle name="Currency 5 3 4 5 3 2" xfId="14751" xr:uid="{D7C1C926-BB01-44FB-9A0F-CAE91F320214}"/>
    <cellStyle name="Currency 5 3 4 5 4" xfId="10533" xr:uid="{DBF9F989-D152-463F-8A1F-47B12986F8A8}"/>
    <cellStyle name="Currency 5 3 4 6" xfId="2440" xr:uid="{00000000-0005-0000-0000-00001C0D0000}"/>
    <cellStyle name="Currency 5 3 4 6 2" xfId="6725" xr:uid="{00000000-0005-0000-0000-00001D0D0000}"/>
    <cellStyle name="Currency 5 3 4 6 2 2" xfId="15164" xr:uid="{5C90791F-F934-4EF1-BDF9-0BD257CEA559}"/>
    <cellStyle name="Currency 5 3 4 6 3" xfId="10946" xr:uid="{DF45BBF5-F747-476B-8550-947CFE10893A}"/>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D4A2AF8D-7073-4D2B-B881-045B5B9D0BF4}"/>
    <cellStyle name="Currency 5 3 4 8 3" xfId="11263" xr:uid="{45F1A6FF-57B1-4C43-BEDA-00C032821BEF}"/>
    <cellStyle name="Currency 5 3 4 9" xfId="4659" xr:uid="{00000000-0005-0000-0000-0000210D0000}"/>
    <cellStyle name="Currency 5 3 4 9 2" xfId="13098" xr:uid="{E7A6E620-EDDB-48A2-908A-7DAED5F02261}"/>
    <cellStyle name="Currency 5 3 5" xfId="217" xr:uid="{00000000-0005-0000-0000-0000220D0000}"/>
    <cellStyle name="Currency 5 3 5 10" xfId="8881" xr:uid="{5BF00310-9D75-498B-8F1B-9C858145E5E7}"/>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BCCDCAD1-9130-4FD3-8B3E-2DF2FBD179E7}"/>
    <cellStyle name="Currency 5 3 5 2 2 3" xfId="11440" xr:uid="{94369EE8-3EFE-4114-9431-E9EA612E453A}"/>
    <cellStyle name="Currency 5 3 5 2 3" xfId="5074" xr:uid="{00000000-0005-0000-0000-0000260D0000}"/>
    <cellStyle name="Currency 5 3 5 2 3 2" xfId="13513" xr:uid="{F0CDB584-B283-4475-A9AA-FF868AEAE3DA}"/>
    <cellStyle name="Currency 5 3 5 2 4" xfId="9295" xr:uid="{46A8A65D-A209-4D7D-BAEB-FF6CF82A91DA}"/>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85016D5E-6753-48C2-BACE-470104636BDB}"/>
    <cellStyle name="Currency 5 3 5 3 2 3" xfId="11853" xr:uid="{EA0D1B62-8978-4217-B849-E3C0D9F459D6}"/>
    <cellStyle name="Currency 5 3 5 3 3" xfId="5487" xr:uid="{00000000-0005-0000-0000-00002A0D0000}"/>
    <cellStyle name="Currency 5 3 5 3 3 2" xfId="13926" xr:uid="{E70F21BC-5DCE-4624-B2BB-86C3E8D1871B}"/>
    <cellStyle name="Currency 5 3 5 3 4" xfId="9708" xr:uid="{DA1956F5-4554-4533-8C49-206A1C47BBFE}"/>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7D9ED4A4-C531-463B-A2D6-5D302549035B}"/>
    <cellStyle name="Currency 5 3 5 4 2 3" xfId="12266" xr:uid="{CCD22A93-7FEF-4514-82F0-B63027DC70BE}"/>
    <cellStyle name="Currency 5 3 5 4 3" xfId="5900" xr:uid="{00000000-0005-0000-0000-00002E0D0000}"/>
    <cellStyle name="Currency 5 3 5 4 3 2" xfId="14339" xr:uid="{08091077-EABF-4537-87C8-4DFB5E2A1E6C}"/>
    <cellStyle name="Currency 5 3 5 4 4" xfId="10121" xr:uid="{D0DBE740-73C0-4C26-8AC3-4E1E51D7102B}"/>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F9F881B5-52C3-4014-BE42-DFA1610B8EBC}"/>
    <cellStyle name="Currency 5 3 5 5 2 3" xfId="12679" xr:uid="{DE8AC268-C3EF-4804-8D6A-45A2F65E2A17}"/>
    <cellStyle name="Currency 5 3 5 5 3" xfId="6313" xr:uid="{00000000-0005-0000-0000-0000320D0000}"/>
    <cellStyle name="Currency 5 3 5 5 3 2" xfId="14752" xr:uid="{486AB4C6-2BCD-4E72-B675-C5821D0E59BD}"/>
    <cellStyle name="Currency 5 3 5 5 4" xfId="10534" xr:uid="{08AE312E-A895-4A3F-867E-AE9904841047}"/>
    <cellStyle name="Currency 5 3 5 6" xfId="2441" xr:uid="{00000000-0005-0000-0000-0000330D0000}"/>
    <cellStyle name="Currency 5 3 5 6 2" xfId="6726" xr:uid="{00000000-0005-0000-0000-0000340D0000}"/>
    <cellStyle name="Currency 5 3 5 6 2 2" xfId="15165" xr:uid="{88E0B94B-8653-4478-AD03-BFD87A66DE45}"/>
    <cellStyle name="Currency 5 3 5 6 3" xfId="10947" xr:uid="{EA76CF83-7E32-41DC-A5B6-5878A24A48FC}"/>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CD2B1449-5372-4D02-A5FE-E3BBDEE456D7}"/>
    <cellStyle name="Currency 5 3 5 8 3" xfId="11264" xr:uid="{7BBCFA75-703F-4F82-A8B4-6434261043F8}"/>
    <cellStyle name="Currency 5 3 5 9" xfId="4660" xr:uid="{00000000-0005-0000-0000-0000380D0000}"/>
    <cellStyle name="Currency 5 3 5 9 2" xfId="13099" xr:uid="{C29F1802-C463-40AF-8E9C-F57F2835949C}"/>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3A178335-A54B-446D-BAFD-E2E7C87B2B25}"/>
    <cellStyle name="Currency 5 5 11" xfId="8882" xr:uid="{56685823-0DC5-4DCF-87AC-6A1DEB7E88E9}"/>
    <cellStyle name="Currency 5 5 2" xfId="220" xr:uid="{00000000-0005-0000-0000-00003D0D0000}"/>
    <cellStyle name="Currency 5 5 2 10" xfId="8883" xr:uid="{3514B16D-6DC9-4990-ACA4-C42ED1446476}"/>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5A033C8B-57D3-40B2-9CBB-AE6115CF18EF}"/>
    <cellStyle name="Currency 5 5 2 2 2 3" xfId="11442" xr:uid="{CDCF09B2-0A63-449A-8E86-E8A5F9939AF8}"/>
    <cellStyle name="Currency 5 5 2 2 3" xfId="5076" xr:uid="{00000000-0005-0000-0000-0000410D0000}"/>
    <cellStyle name="Currency 5 5 2 2 3 2" xfId="13515" xr:uid="{C7E98DF8-A60C-4C21-96E7-1A18A4174E79}"/>
    <cellStyle name="Currency 5 5 2 2 4" xfId="9297" xr:uid="{4ACB6E8B-C7AD-4032-86A7-9ECADAF978B8}"/>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430D7C3B-ED3E-4478-B478-4FFCCC2E46A7}"/>
    <cellStyle name="Currency 5 5 2 3 2 3" xfId="11855" xr:uid="{B1A36364-4712-4233-9492-B7EB45F020E0}"/>
    <cellStyle name="Currency 5 5 2 3 3" xfId="5489" xr:uid="{00000000-0005-0000-0000-0000450D0000}"/>
    <cellStyle name="Currency 5 5 2 3 3 2" xfId="13928" xr:uid="{BE74F5A0-C350-452C-A101-7A65FFD6C666}"/>
    <cellStyle name="Currency 5 5 2 3 4" xfId="9710" xr:uid="{D57D2AFE-1952-40D1-8805-EC7762E696D2}"/>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8487CFCE-4FE9-4DBC-AAE9-FB1F9D1C128F}"/>
    <cellStyle name="Currency 5 5 2 4 2 3" xfId="12268" xr:uid="{4BA736C0-CB05-478C-9107-9B0685A6C1A1}"/>
    <cellStyle name="Currency 5 5 2 4 3" xfId="5902" xr:uid="{00000000-0005-0000-0000-0000490D0000}"/>
    <cellStyle name="Currency 5 5 2 4 3 2" xfId="14341" xr:uid="{5AB25C92-7ECD-482D-AB13-C36EE8CEB414}"/>
    <cellStyle name="Currency 5 5 2 4 4" xfId="10123" xr:uid="{C0B4E518-1908-4CB0-8820-719ECAE0FE1A}"/>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68895D7F-FF98-45F1-B8D3-24CE14C2137F}"/>
    <cellStyle name="Currency 5 5 2 5 2 3" xfId="12681" xr:uid="{0CC5F0A4-67CA-4E46-997D-F865A6AF3982}"/>
    <cellStyle name="Currency 5 5 2 5 3" xfId="6315" xr:uid="{00000000-0005-0000-0000-00004D0D0000}"/>
    <cellStyle name="Currency 5 5 2 5 3 2" xfId="14754" xr:uid="{4B4C0671-7A1E-4695-BFCE-840759A2A02E}"/>
    <cellStyle name="Currency 5 5 2 5 4" xfId="10536" xr:uid="{BC4B6E2D-C5BA-48EA-8944-D44D80E16CC4}"/>
    <cellStyle name="Currency 5 5 2 6" xfId="2443" xr:uid="{00000000-0005-0000-0000-00004E0D0000}"/>
    <cellStyle name="Currency 5 5 2 6 2" xfId="6728" xr:uid="{00000000-0005-0000-0000-00004F0D0000}"/>
    <cellStyle name="Currency 5 5 2 6 2 2" xfId="15167" xr:uid="{807ADB72-3C09-4B1D-B431-4D109AE4BA0A}"/>
    <cellStyle name="Currency 5 5 2 6 3" xfId="10949" xr:uid="{27E6998E-99FF-4B99-89D6-85A69925E3DE}"/>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0A03C2C6-40E5-43EE-A3D7-B4F9A7E3989B}"/>
    <cellStyle name="Currency 5 5 2 8 3" xfId="11266" xr:uid="{167EC0E9-BE34-4F48-BEFD-9CAFC99092E3}"/>
    <cellStyle name="Currency 5 5 2 9" xfId="4662" xr:uid="{00000000-0005-0000-0000-0000530D0000}"/>
    <cellStyle name="Currency 5 5 2 9 2" xfId="13101" xr:uid="{19BCD17A-0ADC-4FF8-A95C-FE4F1B3E9EC9}"/>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0F81CC82-1F31-405D-9485-226E6631AC21}"/>
    <cellStyle name="Currency 5 5 3 2 3" xfId="11441" xr:uid="{D15249F2-79BE-4F05-A191-77C635589FF6}"/>
    <cellStyle name="Currency 5 5 3 3" xfId="5075" xr:uid="{00000000-0005-0000-0000-0000570D0000}"/>
    <cellStyle name="Currency 5 5 3 3 2" xfId="13514" xr:uid="{02271454-374E-4699-BDC9-1135AEB2843B}"/>
    <cellStyle name="Currency 5 5 3 4" xfId="9296" xr:uid="{4527BD1D-76C1-4ACF-A084-A1126D6770BE}"/>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9948D095-CA87-45D5-A9E0-62610F8CE852}"/>
    <cellStyle name="Currency 5 5 4 2 3" xfId="11854" xr:uid="{559BF8B2-F177-4CD4-B448-C264663A3865}"/>
    <cellStyle name="Currency 5 5 4 3" xfId="5488" xr:uid="{00000000-0005-0000-0000-00005B0D0000}"/>
    <cellStyle name="Currency 5 5 4 3 2" xfId="13927" xr:uid="{C0DB503E-2327-4324-BFB9-98D249A45FBA}"/>
    <cellStyle name="Currency 5 5 4 4" xfId="9709" xr:uid="{C2521FFA-B6B8-43A1-88CA-474A42A1F551}"/>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490A1F7C-C53A-4636-9476-C54F4389F760}"/>
    <cellStyle name="Currency 5 5 5 2 3" xfId="12267" xr:uid="{495D9F01-0FA4-4D18-B563-1B39D4AA96E9}"/>
    <cellStyle name="Currency 5 5 5 3" xfId="5901" xr:uid="{00000000-0005-0000-0000-00005F0D0000}"/>
    <cellStyle name="Currency 5 5 5 3 2" xfId="14340" xr:uid="{81472775-C429-4A03-AB94-A1E79126E246}"/>
    <cellStyle name="Currency 5 5 5 4" xfId="10122" xr:uid="{FC425280-0824-407C-9F72-3CEA3AC644D3}"/>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6071F04A-CFEB-4576-A5A2-05E44BDF89F1}"/>
    <cellStyle name="Currency 5 5 6 2 3" xfId="12680" xr:uid="{02A1357A-870D-4099-B0E0-AA0D758D4B25}"/>
    <cellStyle name="Currency 5 5 6 3" xfId="6314" xr:uid="{00000000-0005-0000-0000-0000630D0000}"/>
    <cellStyle name="Currency 5 5 6 3 2" xfId="14753" xr:uid="{F92B5572-4AF4-4EBB-AC28-369112164110}"/>
    <cellStyle name="Currency 5 5 6 4" xfId="10535" xr:uid="{DAFB62FD-F848-4B66-969F-80004A04EF60}"/>
    <cellStyle name="Currency 5 5 7" xfId="2442" xr:uid="{00000000-0005-0000-0000-0000640D0000}"/>
    <cellStyle name="Currency 5 5 7 2" xfId="6727" xr:uid="{00000000-0005-0000-0000-0000650D0000}"/>
    <cellStyle name="Currency 5 5 7 2 2" xfId="15166" xr:uid="{6373F3D6-E45F-4E4E-9EE5-00DE367DADAB}"/>
    <cellStyle name="Currency 5 5 7 3" xfId="10948" xr:uid="{8496C429-CB0D-4ECA-8692-7D7B76001612}"/>
    <cellStyle name="Currency 5 5 8" xfId="2739" xr:uid="{00000000-0005-0000-0000-0000660D0000}"/>
    <cellStyle name="Currency 5 5 9" xfId="2820" xr:uid="{00000000-0005-0000-0000-0000670D0000}"/>
    <cellStyle name="Currency 5 5 9 2" xfId="7044" xr:uid="{00000000-0005-0000-0000-0000680D0000}"/>
    <cellStyle name="Currency 5 5 9 2 2" xfId="15483" xr:uid="{131523A6-0396-4197-9518-E769C600ADC7}"/>
    <cellStyle name="Currency 5 5 9 3" xfId="11265" xr:uid="{FF8A8D60-CC20-4F5A-ACB7-89F43CD653B1}"/>
    <cellStyle name="Currency 5 6" xfId="221" xr:uid="{00000000-0005-0000-0000-0000690D0000}"/>
    <cellStyle name="Currency 5 6 10" xfId="8884" xr:uid="{A3A1C42B-ECC6-4021-B513-13F77188A5C1}"/>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31149E91-CC04-41CB-8E19-0327BE5A9B25}"/>
    <cellStyle name="Currency 5 6 2 2 3" xfId="11443" xr:uid="{4BD098A1-0FA2-4A07-82B5-A41C9A6786CB}"/>
    <cellStyle name="Currency 5 6 2 3" xfId="5077" xr:uid="{00000000-0005-0000-0000-00006D0D0000}"/>
    <cellStyle name="Currency 5 6 2 3 2" xfId="13516" xr:uid="{C35B0914-1EAB-49C7-AF51-BBFBF03F464D}"/>
    <cellStyle name="Currency 5 6 2 4" xfId="9298" xr:uid="{99F21AC0-D444-4B67-9952-0102803171EA}"/>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1058C303-5B6F-430F-832F-D535A8C0B0B8}"/>
    <cellStyle name="Currency 5 6 3 2 3" xfId="11856" xr:uid="{EA07289F-9087-49B1-85FC-71A19190EAAE}"/>
    <cellStyle name="Currency 5 6 3 3" xfId="5490" xr:uid="{00000000-0005-0000-0000-0000710D0000}"/>
    <cellStyle name="Currency 5 6 3 3 2" xfId="13929" xr:uid="{E05BDE73-D958-4AA1-898B-D852583328C3}"/>
    <cellStyle name="Currency 5 6 3 4" xfId="9711" xr:uid="{EB3B66CC-C1C8-4CD9-A5FF-7AB158A2AB98}"/>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90ECCB0E-4367-4EE4-B912-0CA051F1EEE5}"/>
    <cellStyle name="Currency 5 6 4 2 3" xfId="12269" xr:uid="{4EC5A3CF-CB57-4A9D-8B4A-5D2FA963EE13}"/>
    <cellStyle name="Currency 5 6 4 3" xfId="5903" xr:uid="{00000000-0005-0000-0000-0000750D0000}"/>
    <cellStyle name="Currency 5 6 4 3 2" xfId="14342" xr:uid="{320E5313-2DA0-4DF4-BD80-DB30CD2FA814}"/>
    <cellStyle name="Currency 5 6 4 4" xfId="10124" xr:uid="{E220DACD-C815-4BBC-A581-728C883CF8E2}"/>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81572A23-5E65-4B0D-A7B2-7F17D164F4CF}"/>
    <cellStyle name="Currency 5 6 5 2 3" xfId="12682" xr:uid="{80598F8C-619D-4A95-88B6-2D16BC7F8850}"/>
    <cellStyle name="Currency 5 6 5 3" xfId="6316" xr:uid="{00000000-0005-0000-0000-0000790D0000}"/>
    <cellStyle name="Currency 5 6 5 3 2" xfId="14755" xr:uid="{3EAB213B-187F-46A1-91F9-BD92B61670EA}"/>
    <cellStyle name="Currency 5 6 5 4" xfId="10537" xr:uid="{9C7A64D2-0C51-4129-A86E-CCEE8BF34ABB}"/>
    <cellStyle name="Currency 5 6 6" xfId="2444" xr:uid="{00000000-0005-0000-0000-00007A0D0000}"/>
    <cellStyle name="Currency 5 6 6 2" xfId="6729" xr:uid="{00000000-0005-0000-0000-00007B0D0000}"/>
    <cellStyle name="Currency 5 6 6 2 2" xfId="15168" xr:uid="{701EE0C2-5EA9-4584-94A4-D510E6EA606A}"/>
    <cellStyle name="Currency 5 6 6 3" xfId="10950" xr:uid="{0DE4606D-C954-47D8-AA98-7DD15C5942F1}"/>
    <cellStyle name="Currency 5 6 7" xfId="2741" xr:uid="{00000000-0005-0000-0000-00007C0D0000}"/>
    <cellStyle name="Currency 5 6 8" xfId="2822" xr:uid="{00000000-0005-0000-0000-00007D0D0000}"/>
    <cellStyle name="Currency 5 6 8 2" xfId="7046" xr:uid="{00000000-0005-0000-0000-00007E0D0000}"/>
    <cellStyle name="Currency 5 6 8 2 2" xfId="15485" xr:uid="{6BFD3F0B-6A94-48F3-ACB5-4062DD1A4FA3}"/>
    <cellStyle name="Currency 5 6 8 3" xfId="11267" xr:uid="{8B792A34-6839-4261-BF10-F486BFF18112}"/>
    <cellStyle name="Currency 5 6 9" xfId="4663" xr:uid="{00000000-0005-0000-0000-00007F0D0000}"/>
    <cellStyle name="Currency 5 6 9 2" xfId="13102" xr:uid="{C6CCD07B-A0DB-4B47-AFC8-8DDDD1925A69}"/>
    <cellStyle name="Currency 5 7" xfId="222" xr:uid="{00000000-0005-0000-0000-0000800D0000}"/>
    <cellStyle name="Currency 5 7 10" xfId="8885" xr:uid="{5C3153DA-3744-4125-8825-A0FD3101EEC4}"/>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635323BC-D88B-4549-8C74-9452D23A961D}"/>
    <cellStyle name="Currency 5 7 2 2 3" xfId="11444" xr:uid="{865B5763-4DCE-4A74-B183-35210AAED4ED}"/>
    <cellStyle name="Currency 5 7 2 3" xfId="5078" xr:uid="{00000000-0005-0000-0000-0000840D0000}"/>
    <cellStyle name="Currency 5 7 2 3 2" xfId="13517" xr:uid="{DDD72B8A-C90C-42C3-9077-D9B8F46A6426}"/>
    <cellStyle name="Currency 5 7 2 4" xfId="9299" xr:uid="{4CBB1130-DA27-4010-BDE2-567319F8C8CF}"/>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B5B5C968-3E06-47F7-8FAF-504188C888E8}"/>
    <cellStyle name="Currency 5 7 3 2 3" xfId="11857" xr:uid="{A5C9C411-C676-4639-9FE0-A2D394C265A6}"/>
    <cellStyle name="Currency 5 7 3 3" xfId="5491" xr:uid="{00000000-0005-0000-0000-0000880D0000}"/>
    <cellStyle name="Currency 5 7 3 3 2" xfId="13930" xr:uid="{2A3C6C78-E284-4960-BAAC-969F6012C1F1}"/>
    <cellStyle name="Currency 5 7 3 4" xfId="9712" xr:uid="{2CA68676-9440-4E82-8746-CA6353DC2007}"/>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92CFA5D4-71D6-45C5-9FE0-C1FBFCE1427C}"/>
    <cellStyle name="Currency 5 7 4 2 3" xfId="12270" xr:uid="{21DA933A-6121-4FD1-BBD3-C6EC542277C7}"/>
    <cellStyle name="Currency 5 7 4 3" xfId="5904" xr:uid="{00000000-0005-0000-0000-00008C0D0000}"/>
    <cellStyle name="Currency 5 7 4 3 2" xfId="14343" xr:uid="{32FEF758-ACA2-46EF-A889-176CF92AE79E}"/>
    <cellStyle name="Currency 5 7 4 4" xfId="10125" xr:uid="{90E3CA77-7947-4534-95D2-A4CD43B1E683}"/>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A6377D51-79DE-46E2-A3C9-1B957F27DE3C}"/>
    <cellStyle name="Currency 5 7 5 2 3" xfId="12683" xr:uid="{FA182CC5-C736-4622-80EB-1047BB51FD27}"/>
    <cellStyle name="Currency 5 7 5 3" xfId="6317" xr:uid="{00000000-0005-0000-0000-0000900D0000}"/>
    <cellStyle name="Currency 5 7 5 3 2" xfId="14756" xr:uid="{AE67FFE1-1C89-40FD-8230-74A67A139280}"/>
    <cellStyle name="Currency 5 7 5 4" xfId="10538" xr:uid="{E1D86E5B-3882-4A7A-AD25-8E6CFDAD2E46}"/>
    <cellStyle name="Currency 5 7 6" xfId="2445" xr:uid="{00000000-0005-0000-0000-0000910D0000}"/>
    <cellStyle name="Currency 5 7 6 2" xfId="6730" xr:uid="{00000000-0005-0000-0000-0000920D0000}"/>
    <cellStyle name="Currency 5 7 6 2 2" xfId="15169" xr:uid="{B678B051-1BAE-4A02-8843-07E5A987FEC0}"/>
    <cellStyle name="Currency 5 7 6 3" xfId="10951" xr:uid="{494E3D5F-F2E5-4716-B86D-7D6F12E06FC7}"/>
    <cellStyle name="Currency 5 7 7" xfId="2742" xr:uid="{00000000-0005-0000-0000-0000930D0000}"/>
    <cellStyle name="Currency 5 7 8" xfId="2823" xr:uid="{00000000-0005-0000-0000-0000940D0000}"/>
    <cellStyle name="Currency 5 7 8 2" xfId="7047" xr:uid="{00000000-0005-0000-0000-0000950D0000}"/>
    <cellStyle name="Currency 5 7 8 2 2" xfId="15486" xr:uid="{1A9BFAD6-E838-4581-84AB-3650085315B3}"/>
    <cellStyle name="Currency 5 7 8 3" xfId="11268" xr:uid="{99537B4F-440B-4783-BAD0-E2AC18CBE210}"/>
    <cellStyle name="Currency 5 7 9" xfId="4664" xr:uid="{00000000-0005-0000-0000-0000960D0000}"/>
    <cellStyle name="Currency 5 7 9 2" xfId="13103" xr:uid="{E26AE521-20A0-41DE-9868-577DA1D19243}"/>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A0B4D18C-4B20-4520-A1DC-83B24BB02EC0}"/>
    <cellStyle name="Normal 12 10 3" xfId="10952" xr:uid="{974D0A57-E759-4162-8CEC-4E35FBA75A3E}"/>
    <cellStyle name="Normal 12 11" xfId="4665" xr:uid="{00000000-0005-0000-0000-0000CC0D0000}"/>
    <cellStyle name="Normal 12 11 2" xfId="13104" xr:uid="{7B75CC26-1284-4235-B600-D0D4A98F61F5}"/>
    <cellStyle name="Normal 12 12" xfId="8886" xr:uid="{4C5EF60A-F9CE-4CE2-81E0-78B167D94D96}"/>
    <cellStyle name="Normal 12 2" xfId="260" xr:uid="{00000000-0005-0000-0000-0000CD0D0000}"/>
    <cellStyle name="Normal 12 2 10" xfId="8887" xr:uid="{BC2C6CB8-C43B-407E-9AB5-9EB1AE661BC8}"/>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96963675-0936-4CF8-8308-FA7DB46F299E}"/>
    <cellStyle name="Normal 12 2 2 2 2 2 3" xfId="11448" xr:uid="{4442EA63-A427-41AC-BF4D-3DC321482BA2}"/>
    <cellStyle name="Normal 12 2 2 2 2 3" xfId="5082" xr:uid="{00000000-0005-0000-0000-0000D30D0000}"/>
    <cellStyle name="Normal 12 2 2 2 2 3 2" xfId="13521" xr:uid="{5E72CF20-CCCE-4A77-9D29-836253D0C370}"/>
    <cellStyle name="Normal 12 2 2 2 2 4" xfId="9303" xr:uid="{A60BFB81-F2A4-472B-A4D2-3F2C4C965A6E}"/>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FEF7F798-4644-4933-A5D0-224F0E6F900D}"/>
    <cellStyle name="Normal 12 2 2 2 3 2 3" xfId="11861" xr:uid="{618F9C06-BBB4-4C6C-A2B7-A5958160E569}"/>
    <cellStyle name="Normal 12 2 2 2 3 3" xfId="5495" xr:uid="{00000000-0005-0000-0000-0000D70D0000}"/>
    <cellStyle name="Normal 12 2 2 2 3 3 2" xfId="13934" xr:uid="{7355CC64-9753-4544-963E-F748E98D153C}"/>
    <cellStyle name="Normal 12 2 2 2 3 4" xfId="9716" xr:uid="{C83DE993-5FB7-41B8-8792-D0059887EC7A}"/>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C307AFC8-714B-437C-915E-9F58CE9E20FC}"/>
    <cellStyle name="Normal 12 2 2 2 4 2 3" xfId="12274" xr:uid="{90F1D7BC-301C-4B2B-8CC5-8E1737232A50}"/>
    <cellStyle name="Normal 12 2 2 2 4 3" xfId="5908" xr:uid="{00000000-0005-0000-0000-0000DB0D0000}"/>
    <cellStyle name="Normal 12 2 2 2 4 3 2" xfId="14347" xr:uid="{A527C364-6F0A-416F-B945-C1A86BA0B331}"/>
    <cellStyle name="Normal 12 2 2 2 4 4" xfId="10129" xr:uid="{76011B00-53C1-4E68-BC0D-0F6D099849A8}"/>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5A4558F7-9DD6-40E4-9BB7-D8725B16E0AF}"/>
    <cellStyle name="Normal 12 2 2 2 5 2 3" xfId="12687" xr:uid="{D0AD7739-3A72-483A-80B5-DBA0E53115D9}"/>
    <cellStyle name="Normal 12 2 2 2 5 3" xfId="6321" xr:uid="{00000000-0005-0000-0000-0000DF0D0000}"/>
    <cellStyle name="Normal 12 2 2 2 5 3 2" xfId="14760" xr:uid="{1BE05DC6-5BC1-444A-A78B-319C2110D7C6}"/>
    <cellStyle name="Normal 12 2 2 2 5 4" xfId="10542" xr:uid="{9666BAD0-1A60-46B2-AAC8-12C9FAD25817}"/>
    <cellStyle name="Normal 12 2 2 2 6" xfId="2450" xr:uid="{00000000-0005-0000-0000-0000E00D0000}"/>
    <cellStyle name="Normal 12 2 2 2 6 2" xfId="6734" xr:uid="{00000000-0005-0000-0000-0000E10D0000}"/>
    <cellStyle name="Normal 12 2 2 2 6 2 2" xfId="15173" xr:uid="{AB732892-AA7B-4E64-AD96-1A2719DE84AB}"/>
    <cellStyle name="Normal 12 2 2 2 6 3" xfId="10955" xr:uid="{CDCF4B93-0E5E-49C1-9BCF-40DE9D72EEF8}"/>
    <cellStyle name="Normal 12 2 2 2 7" xfId="4668" xr:uid="{00000000-0005-0000-0000-0000E20D0000}"/>
    <cellStyle name="Normal 12 2 2 2 7 2" xfId="13107" xr:uid="{45DC9D5A-C244-40BE-A473-13FC80D2D4EF}"/>
    <cellStyle name="Normal 12 2 2 2 8" xfId="8889" xr:uid="{57D2F966-79F2-4ECE-91FB-3B80C28346B4}"/>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43159A42-9E24-45A8-85D7-608912528624}"/>
    <cellStyle name="Normal 12 2 2 3 2 3" xfId="11447" xr:uid="{AA6735CC-05DA-443C-BDAF-5EB943EDCB96}"/>
    <cellStyle name="Normal 12 2 2 3 3" xfId="5081" xr:uid="{00000000-0005-0000-0000-0000E60D0000}"/>
    <cellStyle name="Normal 12 2 2 3 3 2" xfId="13520" xr:uid="{C05CD85F-23E7-431E-AA1A-B7B028D0C133}"/>
    <cellStyle name="Normal 12 2 2 3 4" xfId="9302" xr:uid="{D5A049AA-61C9-4340-A340-ABE435875EDE}"/>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59AB33C9-C54E-4401-BA50-1ABAEDD6EFFA}"/>
    <cellStyle name="Normal 12 2 2 4 2 3" xfId="11860" xr:uid="{5CA64B7C-7D1B-4943-8B65-7FDD37DA557A}"/>
    <cellStyle name="Normal 12 2 2 4 3" xfId="5494" xr:uid="{00000000-0005-0000-0000-0000EA0D0000}"/>
    <cellStyle name="Normal 12 2 2 4 3 2" xfId="13933" xr:uid="{7FF4B97B-E12E-4850-A597-8ADF3E807CBD}"/>
    <cellStyle name="Normal 12 2 2 4 4" xfId="9715" xr:uid="{AC002207-53D3-4282-AA17-2465FA415825}"/>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DF220A58-ABC4-4C13-801B-86DD997B3D72}"/>
    <cellStyle name="Normal 12 2 2 5 2 3" xfId="12273" xr:uid="{8AF4B2F9-B9CD-46EB-8923-3F2EA76DCF5A}"/>
    <cellStyle name="Normal 12 2 2 5 3" xfId="5907" xr:uid="{00000000-0005-0000-0000-0000EE0D0000}"/>
    <cellStyle name="Normal 12 2 2 5 3 2" xfId="14346" xr:uid="{48AE245D-6F1A-4866-8A55-9617D98BD18B}"/>
    <cellStyle name="Normal 12 2 2 5 4" xfId="10128" xr:uid="{47744057-67DA-4AB0-9904-BD668E1A91F3}"/>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403621E6-7ACE-481A-BC8A-E84469B9D89E}"/>
    <cellStyle name="Normal 12 2 2 6 2 3" xfId="12686" xr:uid="{77E14F66-B3D5-4986-9313-20528A990F5D}"/>
    <cellStyle name="Normal 12 2 2 6 3" xfId="6320" xr:uid="{00000000-0005-0000-0000-0000F20D0000}"/>
    <cellStyle name="Normal 12 2 2 6 3 2" xfId="14759" xr:uid="{7CC10794-3D9F-4585-A6D4-4FA4912BFB2B}"/>
    <cellStyle name="Normal 12 2 2 6 4" xfId="10541" xr:uid="{F823F033-CC62-4831-A971-2B8A8C4CE265}"/>
    <cellStyle name="Normal 12 2 2 7" xfId="2449" xr:uid="{00000000-0005-0000-0000-0000F30D0000}"/>
    <cellStyle name="Normal 12 2 2 7 2" xfId="6733" xr:uid="{00000000-0005-0000-0000-0000F40D0000}"/>
    <cellStyle name="Normal 12 2 2 7 2 2" xfId="15172" xr:uid="{99870EA0-A5C3-4CC2-B60E-057202C3DB01}"/>
    <cellStyle name="Normal 12 2 2 7 3" xfId="10954" xr:uid="{F966CE6F-9644-4302-AEEA-6D0491F15280}"/>
    <cellStyle name="Normal 12 2 2 8" xfId="4667" xr:uid="{00000000-0005-0000-0000-0000F50D0000}"/>
    <cellStyle name="Normal 12 2 2 8 2" xfId="13106" xr:uid="{CF19F781-67CD-40E5-A2CD-4FA3D3476242}"/>
    <cellStyle name="Normal 12 2 2 9" xfId="8888" xr:uid="{0736827F-1402-4C0B-96D8-8F80CC602BA6}"/>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FD744BFE-6AB0-430C-B549-075A564434DF}"/>
    <cellStyle name="Normal 12 2 3 2 2 3" xfId="11449" xr:uid="{FE9BA15B-D192-467C-BA3A-102CA90DC402}"/>
    <cellStyle name="Normal 12 2 3 2 3" xfId="5083" xr:uid="{00000000-0005-0000-0000-0000FA0D0000}"/>
    <cellStyle name="Normal 12 2 3 2 3 2" xfId="13522" xr:uid="{38B63F45-C035-4A42-B555-B3C93D289B76}"/>
    <cellStyle name="Normal 12 2 3 2 4" xfId="9304" xr:uid="{A16A7AF6-5AE0-4101-8BB5-5ED37A1B2516}"/>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BE8534F0-BF00-4CA5-805C-7DCBE3EF8BAD}"/>
    <cellStyle name="Normal 12 2 3 3 2 3" xfId="11862" xr:uid="{E83100A5-BCFB-4737-ABE4-BBA2E08AAACD}"/>
    <cellStyle name="Normal 12 2 3 3 3" xfId="5496" xr:uid="{00000000-0005-0000-0000-0000FE0D0000}"/>
    <cellStyle name="Normal 12 2 3 3 3 2" xfId="13935" xr:uid="{F63DA93D-BF76-4FC9-920A-0412A177DE39}"/>
    <cellStyle name="Normal 12 2 3 3 4" xfId="9717" xr:uid="{A4EA1B7D-4365-4E03-B2C4-3D9F9B60B48A}"/>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9E5228C1-36C5-4170-9C44-4BA4E737F141}"/>
    <cellStyle name="Normal 12 2 3 4 2 3" xfId="12275" xr:uid="{34D627C2-8C36-4D9F-9363-465FC45681C8}"/>
    <cellStyle name="Normal 12 2 3 4 3" xfId="5909" xr:uid="{00000000-0005-0000-0000-0000020E0000}"/>
    <cellStyle name="Normal 12 2 3 4 3 2" xfId="14348" xr:uid="{70D06188-42A2-45D7-AFA9-0A891A09543B}"/>
    <cellStyle name="Normal 12 2 3 4 4" xfId="10130" xr:uid="{BCC0B46B-6C49-4E1F-B674-58211CD333CF}"/>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E39032B7-8C33-4E48-9E5A-A941B539F387}"/>
    <cellStyle name="Normal 12 2 3 5 2 3" xfId="12688" xr:uid="{31EAD5C4-C0AA-455D-B9E6-790DFBEEB676}"/>
    <cellStyle name="Normal 12 2 3 5 3" xfId="6322" xr:uid="{00000000-0005-0000-0000-0000060E0000}"/>
    <cellStyle name="Normal 12 2 3 5 3 2" xfId="14761" xr:uid="{4532FF69-1A17-44DD-B020-6C672CDEC46F}"/>
    <cellStyle name="Normal 12 2 3 5 4" xfId="10543" xr:uid="{0CB58FD8-BDA2-46F1-8DC3-4BB1AB55CD1E}"/>
    <cellStyle name="Normal 12 2 3 6" xfId="2451" xr:uid="{00000000-0005-0000-0000-0000070E0000}"/>
    <cellStyle name="Normal 12 2 3 6 2" xfId="6735" xr:uid="{00000000-0005-0000-0000-0000080E0000}"/>
    <cellStyle name="Normal 12 2 3 6 2 2" xfId="15174" xr:uid="{353A541C-853A-487B-8D68-8D969D5FEB4A}"/>
    <cellStyle name="Normal 12 2 3 6 3" xfId="10956" xr:uid="{DD2CB4C7-B0DA-4571-8078-5C466535BA3F}"/>
    <cellStyle name="Normal 12 2 3 7" xfId="4669" xr:uid="{00000000-0005-0000-0000-0000090E0000}"/>
    <cellStyle name="Normal 12 2 3 7 2" xfId="13108" xr:uid="{3B55AB45-6B8E-4792-BC54-DE78EFD6517D}"/>
    <cellStyle name="Normal 12 2 3 8" xfId="8890" xr:uid="{18679518-C61B-4B45-AE07-0A1C6426EEE4}"/>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578B6D3D-4552-4571-A365-4E509CE26D3D}"/>
    <cellStyle name="Normal 12 2 4 2 3" xfId="11446" xr:uid="{B055A86E-A260-4019-BDE7-B60403A8CE80}"/>
    <cellStyle name="Normal 12 2 4 3" xfId="5080" xr:uid="{00000000-0005-0000-0000-00000D0E0000}"/>
    <cellStyle name="Normal 12 2 4 3 2" xfId="13519" xr:uid="{77E60160-4309-4BBB-A873-DA10056B87E0}"/>
    <cellStyle name="Normal 12 2 4 4" xfId="9301" xr:uid="{6EDA36CF-5A2E-4CF3-9407-891177507374}"/>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3EF7180C-B455-47A9-838D-5F387A07F4C1}"/>
    <cellStyle name="Normal 12 2 5 2 3" xfId="11859" xr:uid="{D070539C-8116-4C2E-9DFA-2748041F47FB}"/>
    <cellStyle name="Normal 12 2 5 3" xfId="5493" xr:uid="{00000000-0005-0000-0000-0000110E0000}"/>
    <cellStyle name="Normal 12 2 5 3 2" xfId="13932" xr:uid="{4ABAC583-A0A3-4DCA-97B5-67520A219E9F}"/>
    <cellStyle name="Normal 12 2 5 4" xfId="9714" xr:uid="{1B03FA3A-C233-4919-9EE9-E06846D599B1}"/>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C4B53D2C-6AEA-446A-8FA0-6F5296FD1088}"/>
    <cellStyle name="Normal 12 2 6 2 3" xfId="12272" xr:uid="{9A98F768-F5DE-4169-B245-69B55C0F9A1E}"/>
    <cellStyle name="Normal 12 2 6 3" xfId="5906" xr:uid="{00000000-0005-0000-0000-0000150E0000}"/>
    <cellStyle name="Normal 12 2 6 3 2" xfId="14345" xr:uid="{34CA3CDF-7919-45C6-843C-AFB4F1F8CD56}"/>
    <cellStyle name="Normal 12 2 6 4" xfId="10127" xr:uid="{982671E4-7455-4809-AB67-9A9962E123E8}"/>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B1A5662F-9977-4E5C-8AE9-63A65D0F2C03}"/>
    <cellStyle name="Normal 12 2 7 2 3" xfId="12685" xr:uid="{5EF6242B-F2B6-4B6B-977A-436AC4C6C35C}"/>
    <cellStyle name="Normal 12 2 7 3" xfId="6319" xr:uid="{00000000-0005-0000-0000-0000190E0000}"/>
    <cellStyle name="Normal 12 2 7 3 2" xfId="14758" xr:uid="{FE3181ED-1683-44E8-AFE2-C8118E0D3BAC}"/>
    <cellStyle name="Normal 12 2 7 4" xfId="10540" xr:uid="{C0E87ABB-B9A3-478F-BAD7-4E65A961C493}"/>
    <cellStyle name="Normal 12 2 8" xfId="2448" xr:uid="{00000000-0005-0000-0000-00001A0E0000}"/>
    <cellStyle name="Normal 12 2 8 2" xfId="6732" xr:uid="{00000000-0005-0000-0000-00001B0E0000}"/>
    <cellStyle name="Normal 12 2 8 2 2" xfId="15171" xr:uid="{73140D07-0FC5-432F-87F7-377BCCD1F6A1}"/>
    <cellStyle name="Normal 12 2 8 3" xfId="10953" xr:uid="{3220CB18-A977-4A60-8AFF-42E2CB8FD3B8}"/>
    <cellStyle name="Normal 12 2 9" xfId="4666" xr:uid="{00000000-0005-0000-0000-00001C0E0000}"/>
    <cellStyle name="Normal 12 2 9 2" xfId="13105" xr:uid="{5DFD9657-6C44-4C6D-8F52-F0CE34E4D557}"/>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A6997930-E54A-4561-8A14-C9E146267179}"/>
    <cellStyle name="Normal 12 3 2 2 2 3" xfId="11451" xr:uid="{C9911724-8C4F-4CC2-A5E4-3B74ECF4202B}"/>
    <cellStyle name="Normal 12 3 2 2 3" xfId="5085" xr:uid="{00000000-0005-0000-0000-0000220E0000}"/>
    <cellStyle name="Normal 12 3 2 2 3 2" xfId="13524" xr:uid="{A69C4CFC-C1B2-4ED1-9DAD-D437D645C3D2}"/>
    <cellStyle name="Normal 12 3 2 2 4" xfId="9306" xr:uid="{3B874549-A709-489B-8133-DD610AA9D79C}"/>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3D0DD404-D526-48E4-9022-C8260D0FB3AD}"/>
    <cellStyle name="Normal 12 3 2 3 2 3" xfId="11864" xr:uid="{03C6D2D4-3B9E-4709-8058-B86BA1F18A16}"/>
    <cellStyle name="Normal 12 3 2 3 3" xfId="5498" xr:uid="{00000000-0005-0000-0000-0000260E0000}"/>
    <cellStyle name="Normal 12 3 2 3 3 2" xfId="13937" xr:uid="{14461AD2-27BD-479B-A1A7-B65A2A022C3C}"/>
    <cellStyle name="Normal 12 3 2 3 4" xfId="9719" xr:uid="{84221DD6-5A5E-41DC-9C0D-43B2C01CF04C}"/>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608BEAE3-22A5-4111-AFDB-E2D29DD01474}"/>
    <cellStyle name="Normal 12 3 2 4 2 3" xfId="12277" xr:uid="{716DA0BB-DC79-4885-91E5-8B2F53D762E1}"/>
    <cellStyle name="Normal 12 3 2 4 3" xfId="5911" xr:uid="{00000000-0005-0000-0000-00002A0E0000}"/>
    <cellStyle name="Normal 12 3 2 4 3 2" xfId="14350" xr:uid="{D44A3C69-DE09-4639-900C-5D2722467245}"/>
    <cellStyle name="Normal 12 3 2 4 4" xfId="10132" xr:uid="{A19BC2D6-F5B9-47FC-A80A-74C4D1781B74}"/>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32C38044-7F56-4F89-B228-E6CBD69E403C}"/>
    <cellStyle name="Normal 12 3 2 5 2 3" xfId="12690" xr:uid="{540AF9AB-1FEA-4784-A53F-4F282B4DC9B0}"/>
    <cellStyle name="Normal 12 3 2 5 3" xfId="6324" xr:uid="{00000000-0005-0000-0000-00002E0E0000}"/>
    <cellStyle name="Normal 12 3 2 5 3 2" xfId="14763" xr:uid="{9C0E8C24-255F-4361-8F1E-889DBFC20BF4}"/>
    <cellStyle name="Normal 12 3 2 5 4" xfId="10545" xr:uid="{AD026F4E-9EDD-4D28-8246-899157D4806D}"/>
    <cellStyle name="Normal 12 3 2 6" xfId="2453" xr:uid="{00000000-0005-0000-0000-00002F0E0000}"/>
    <cellStyle name="Normal 12 3 2 6 2" xfId="6737" xr:uid="{00000000-0005-0000-0000-0000300E0000}"/>
    <cellStyle name="Normal 12 3 2 6 2 2" xfId="15176" xr:uid="{C82973CD-6440-45C2-A6C9-8067DC8BCCDE}"/>
    <cellStyle name="Normal 12 3 2 6 3" xfId="10958" xr:uid="{DC6FA60D-C28A-4D03-B32E-5D1C5638B7B1}"/>
    <cellStyle name="Normal 12 3 2 7" xfId="4671" xr:uid="{00000000-0005-0000-0000-0000310E0000}"/>
    <cellStyle name="Normal 12 3 2 7 2" xfId="13110" xr:uid="{C5A0020B-6431-4403-A1FF-A525F3F7F058}"/>
    <cellStyle name="Normal 12 3 2 8" xfId="8892" xr:uid="{12C425C4-6330-4F5F-B0FD-AF3F0131B6A4}"/>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BD4C57A5-1606-4C95-97C4-380B8E189445}"/>
    <cellStyle name="Normal 12 3 3 2 3" xfId="11450" xr:uid="{50CDCA7C-CA36-4E01-A3B6-D3B87A26C0D7}"/>
    <cellStyle name="Normal 12 3 3 3" xfId="5084" xr:uid="{00000000-0005-0000-0000-0000350E0000}"/>
    <cellStyle name="Normal 12 3 3 3 2" xfId="13523" xr:uid="{A8B8B6B1-F90A-4C9A-B9D1-0F0973B45BED}"/>
    <cellStyle name="Normal 12 3 3 4" xfId="9305" xr:uid="{B3EDBBE0-54FB-410C-8330-0DFE9D6430A9}"/>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A6831BC5-1688-4CF8-83B7-669CC010F4AE}"/>
    <cellStyle name="Normal 12 3 4 2 3" xfId="11863" xr:uid="{60D36994-80E3-4652-96B4-ADFFAF3ED063}"/>
    <cellStyle name="Normal 12 3 4 3" xfId="5497" xr:uid="{00000000-0005-0000-0000-0000390E0000}"/>
    <cellStyle name="Normal 12 3 4 3 2" xfId="13936" xr:uid="{64157D6F-172A-46ED-8055-B232F2713FC5}"/>
    <cellStyle name="Normal 12 3 4 4" xfId="9718" xr:uid="{6EC18ED5-58BA-43F6-B8F2-429099577992}"/>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DCCCB821-F2DB-4979-86F8-505E6BC31D6F}"/>
    <cellStyle name="Normal 12 3 5 2 3" xfId="12276" xr:uid="{0A276020-16AD-4264-8886-C70D4E67AC9D}"/>
    <cellStyle name="Normal 12 3 5 3" xfId="5910" xr:uid="{00000000-0005-0000-0000-00003D0E0000}"/>
    <cellStyle name="Normal 12 3 5 3 2" xfId="14349" xr:uid="{E5CE729B-718C-4CCF-98E5-3D01B22110FC}"/>
    <cellStyle name="Normal 12 3 5 4" xfId="10131" xr:uid="{897B20A1-FA01-4964-A866-EFA89FD08B4D}"/>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32FB2B04-BC14-4B07-B41C-9F853A3B4CDE}"/>
    <cellStyle name="Normal 12 3 6 2 3" xfId="12689" xr:uid="{9FD89088-02F8-4219-98B8-776356BE89FF}"/>
    <cellStyle name="Normal 12 3 6 3" xfId="6323" xr:uid="{00000000-0005-0000-0000-0000410E0000}"/>
    <cellStyle name="Normal 12 3 6 3 2" xfId="14762" xr:uid="{5C0C1EC3-E49E-476A-9DE6-0F2BEEFDECD1}"/>
    <cellStyle name="Normal 12 3 6 4" xfId="10544" xr:uid="{5CD1BA12-D50B-4B49-BB9F-5D7D61D058D6}"/>
    <cellStyle name="Normal 12 3 7" xfId="2452" xr:uid="{00000000-0005-0000-0000-0000420E0000}"/>
    <cellStyle name="Normal 12 3 7 2" xfId="6736" xr:uid="{00000000-0005-0000-0000-0000430E0000}"/>
    <cellStyle name="Normal 12 3 7 2 2" xfId="15175" xr:uid="{C544E1F4-EE42-4CA7-B918-66B0F35EF20F}"/>
    <cellStyle name="Normal 12 3 7 3" xfId="10957" xr:uid="{4AF3DCB0-6063-4895-8C28-126B733D4B58}"/>
    <cellStyle name="Normal 12 3 8" xfId="4670" xr:uid="{00000000-0005-0000-0000-0000440E0000}"/>
    <cellStyle name="Normal 12 3 8 2" xfId="13109" xr:uid="{616CFFE6-28CA-4037-9EEF-82FCB06C99C0}"/>
    <cellStyle name="Normal 12 3 9" xfId="8891" xr:uid="{1E955E13-E72D-43AA-A648-FA9326953DD1}"/>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043E7EA2-7F09-4E85-A432-EC955744945D}"/>
    <cellStyle name="Normal 12 4 2 2 3" xfId="11452" xr:uid="{C93D4AA7-35C6-4B60-BB18-BD1862C3B957}"/>
    <cellStyle name="Normal 12 4 2 3" xfId="5086" xr:uid="{00000000-0005-0000-0000-0000490E0000}"/>
    <cellStyle name="Normal 12 4 2 3 2" xfId="13525" xr:uid="{B8960C73-66CD-47DA-A9B0-690660370B6B}"/>
    <cellStyle name="Normal 12 4 2 4" xfId="9307" xr:uid="{CB65CD9A-0CBD-4EE4-81BF-14A7A2BA9B08}"/>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C550437F-C904-4A9A-926A-5DD7E71F9767}"/>
    <cellStyle name="Normal 12 4 3 2 3" xfId="11865" xr:uid="{96D0E552-3F29-41CF-9B84-AB29F32E4D14}"/>
    <cellStyle name="Normal 12 4 3 3" xfId="5499" xr:uid="{00000000-0005-0000-0000-00004D0E0000}"/>
    <cellStyle name="Normal 12 4 3 3 2" xfId="13938" xr:uid="{4E0056FF-8C1B-43FF-91CA-70ACF4F52E2A}"/>
    <cellStyle name="Normal 12 4 3 4" xfId="9720" xr:uid="{AB24D1AF-5F1F-4C03-A919-FE14A7DFE239}"/>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BD3A66A4-8D25-4EFB-99EC-C506EB21A12B}"/>
    <cellStyle name="Normal 12 4 4 2 3" xfId="12278" xr:uid="{CD3EAE95-9432-4C2D-8820-4AD570BD3555}"/>
    <cellStyle name="Normal 12 4 4 3" xfId="5912" xr:uid="{00000000-0005-0000-0000-0000510E0000}"/>
    <cellStyle name="Normal 12 4 4 3 2" xfId="14351" xr:uid="{4FD9132F-EFA0-43D5-9E2A-5129CFEA72BA}"/>
    <cellStyle name="Normal 12 4 4 4" xfId="10133" xr:uid="{0C86CB6C-D17F-4450-9222-43713B1C3370}"/>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AB4D9A8B-97F2-4E3B-8865-B48BC331A0D4}"/>
    <cellStyle name="Normal 12 4 5 2 3" xfId="12691" xr:uid="{445849F9-C25B-4C7B-A408-0A6184906C72}"/>
    <cellStyle name="Normal 12 4 5 3" xfId="6325" xr:uid="{00000000-0005-0000-0000-0000550E0000}"/>
    <cellStyle name="Normal 12 4 5 3 2" xfId="14764" xr:uid="{FDA2E959-CDBD-42E6-B67A-1B0CE63D940F}"/>
    <cellStyle name="Normal 12 4 5 4" xfId="10546" xr:uid="{B9BEB4FA-7579-4C3D-966C-66E1948ECF5F}"/>
    <cellStyle name="Normal 12 4 6" xfId="2454" xr:uid="{00000000-0005-0000-0000-0000560E0000}"/>
    <cellStyle name="Normal 12 4 6 2" xfId="6738" xr:uid="{00000000-0005-0000-0000-0000570E0000}"/>
    <cellStyle name="Normal 12 4 6 2 2" xfId="15177" xr:uid="{37127524-1AAA-49A2-9C48-00126A66FD63}"/>
    <cellStyle name="Normal 12 4 6 3" xfId="10959" xr:uid="{CE9F5937-6CD5-4C7C-8C51-1D5B74C04263}"/>
    <cellStyle name="Normal 12 4 7" xfId="4672" xr:uid="{00000000-0005-0000-0000-0000580E0000}"/>
    <cellStyle name="Normal 12 4 7 2" xfId="13111" xr:uid="{ACCCDE64-F3EF-410B-877D-AC0A786B9A84}"/>
    <cellStyle name="Normal 12 4 8" xfId="8893" xr:uid="{621EADF7-C203-4E1B-A794-FCC5E34463EF}"/>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568596E2-CA63-4E99-9F5F-2FC2756C9F58}"/>
    <cellStyle name="Normal 12 6 2 3" xfId="11445" xr:uid="{B9F389B6-E647-4609-B476-806950351A56}"/>
    <cellStyle name="Normal 12 6 3" xfId="5079" xr:uid="{00000000-0005-0000-0000-00005D0E0000}"/>
    <cellStyle name="Normal 12 6 3 2" xfId="13518" xr:uid="{21015BFC-4B30-4394-99B9-089D065D4900}"/>
    <cellStyle name="Normal 12 6 4" xfId="9300" xr:uid="{50957A4A-9FE4-4066-A00C-100758900EAB}"/>
    <cellStyle name="Normal 12 7" xfId="1183" xr:uid="{00000000-0005-0000-0000-00005E0E0000}"/>
    <cellStyle name="Normal 12 7 2" xfId="3414" xr:uid="{00000000-0005-0000-0000-00005F0E0000}"/>
    <cellStyle name="Normal 12 7 2 2" xfId="7637" xr:uid="{00000000-0005-0000-0000-0000600E0000}"/>
    <cellStyle name="Normal 12 7 2 2 2" xfId="16076" xr:uid="{18A73CAA-2CF0-42C5-BA97-D0256888FD0F}"/>
    <cellStyle name="Normal 12 7 2 3" xfId="11858" xr:uid="{99431C77-3A89-41AA-80F6-2877A8E3AE4D}"/>
    <cellStyle name="Normal 12 7 3" xfId="5492" xr:uid="{00000000-0005-0000-0000-0000610E0000}"/>
    <cellStyle name="Normal 12 7 3 2" xfId="13931" xr:uid="{C6E5D607-9246-4FAD-AFE9-16BE90CB1DEA}"/>
    <cellStyle name="Normal 12 7 4" xfId="9713" xr:uid="{4FD32C41-11F4-4B84-8FBA-CB27066F7912}"/>
    <cellStyle name="Normal 12 8" xfId="1597" xr:uid="{00000000-0005-0000-0000-0000620E0000}"/>
    <cellStyle name="Normal 12 8 2" xfId="3827" xr:uid="{00000000-0005-0000-0000-0000630E0000}"/>
    <cellStyle name="Normal 12 8 2 2" xfId="8050" xr:uid="{00000000-0005-0000-0000-0000640E0000}"/>
    <cellStyle name="Normal 12 8 2 2 2" xfId="16489" xr:uid="{B412AFC8-9C8A-4047-9C3D-6C6A287B3837}"/>
    <cellStyle name="Normal 12 8 2 3" xfId="12271" xr:uid="{7A454557-6801-4117-B018-A5D9BB11BAA8}"/>
    <cellStyle name="Normal 12 8 3" xfId="5905" xr:uid="{00000000-0005-0000-0000-0000650E0000}"/>
    <cellStyle name="Normal 12 8 3 2" xfId="14344" xr:uid="{0B3BEDA3-4FE4-4C88-AA8E-C0C86ADD66BB}"/>
    <cellStyle name="Normal 12 8 4" xfId="10126" xr:uid="{97EAD0B1-5A6C-4746-B937-977F962F3936}"/>
    <cellStyle name="Normal 12 9" xfId="2011" xr:uid="{00000000-0005-0000-0000-0000660E0000}"/>
    <cellStyle name="Normal 12 9 2" xfId="4240" xr:uid="{00000000-0005-0000-0000-0000670E0000}"/>
    <cellStyle name="Normal 12 9 2 2" xfId="8463" xr:uid="{00000000-0005-0000-0000-0000680E0000}"/>
    <cellStyle name="Normal 12 9 2 2 2" xfId="16902" xr:uid="{517E74BD-2BA5-4E58-A418-E1044229EFE2}"/>
    <cellStyle name="Normal 12 9 2 3" xfId="12684" xr:uid="{B840F8A7-24E9-49B0-8447-ECA0541E3EA5}"/>
    <cellStyle name="Normal 12 9 3" xfId="6318" xr:uid="{00000000-0005-0000-0000-0000690E0000}"/>
    <cellStyle name="Normal 12 9 3 2" xfId="14757" xr:uid="{8723E548-9F97-4050-9564-8045BADC2869}"/>
    <cellStyle name="Normal 12 9 4" xfId="10539" xr:uid="{A4E6708B-A3B2-41C0-9A08-5C1F769BA9FC}"/>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474B38ED-11B4-4EEC-A601-0EB90CA67870}"/>
    <cellStyle name="Normal 14 2 2 3" xfId="11453" xr:uid="{DB0B10E0-2625-45D0-ACFF-E3E2D524454E}"/>
    <cellStyle name="Normal 14 2 3" xfId="5087" xr:uid="{00000000-0005-0000-0000-0000700E0000}"/>
    <cellStyle name="Normal 14 2 3 2" xfId="13526" xr:uid="{70C8B20B-F977-4612-B352-6F35A6ACA224}"/>
    <cellStyle name="Normal 14 2 4" xfId="9308" xr:uid="{6EC88630-DAE5-4D18-92CC-67D9B2EACB07}"/>
    <cellStyle name="Normal 14 3" xfId="1191" xr:uid="{00000000-0005-0000-0000-0000710E0000}"/>
    <cellStyle name="Normal 14 3 2" xfId="3422" xr:uid="{00000000-0005-0000-0000-0000720E0000}"/>
    <cellStyle name="Normal 14 3 2 2" xfId="7645" xr:uid="{00000000-0005-0000-0000-0000730E0000}"/>
    <cellStyle name="Normal 14 3 2 2 2" xfId="16084" xr:uid="{CF07C42E-994B-4898-9145-7EC50A3A5636}"/>
    <cellStyle name="Normal 14 3 2 3" xfId="11866" xr:uid="{1546B739-CA2A-49DD-AE8F-D4FB3FD120B2}"/>
    <cellStyle name="Normal 14 3 3" xfId="5500" xr:uid="{00000000-0005-0000-0000-0000740E0000}"/>
    <cellStyle name="Normal 14 3 3 2" xfId="13939" xr:uid="{CC2736A9-3FEE-4DFE-A3BC-91949866B04B}"/>
    <cellStyle name="Normal 14 3 4" xfId="9721" xr:uid="{7219ECE4-2143-4D32-926F-79ADCE6BA2F2}"/>
    <cellStyle name="Normal 14 4" xfId="1605" xr:uid="{00000000-0005-0000-0000-0000750E0000}"/>
    <cellStyle name="Normal 14 4 2" xfId="3835" xr:uid="{00000000-0005-0000-0000-0000760E0000}"/>
    <cellStyle name="Normal 14 4 2 2" xfId="8058" xr:uid="{00000000-0005-0000-0000-0000770E0000}"/>
    <cellStyle name="Normal 14 4 2 2 2" xfId="16497" xr:uid="{3FD0E2CD-2ADB-4C52-A396-F8EA716ABAC0}"/>
    <cellStyle name="Normal 14 4 2 3" xfId="12279" xr:uid="{B94E38DD-E2B7-448E-9306-E4412CA6E880}"/>
    <cellStyle name="Normal 14 4 3" xfId="5913" xr:uid="{00000000-0005-0000-0000-0000780E0000}"/>
    <cellStyle name="Normal 14 4 3 2" xfId="14352" xr:uid="{D4F1FF1C-011E-47F6-9A65-A3621795C216}"/>
    <cellStyle name="Normal 14 4 4" xfId="10134" xr:uid="{41993D8E-A6E0-4235-9827-6132D10DBD3A}"/>
    <cellStyle name="Normal 14 5" xfId="2019" xr:uid="{00000000-0005-0000-0000-0000790E0000}"/>
    <cellStyle name="Normal 14 5 2" xfId="4248" xr:uid="{00000000-0005-0000-0000-00007A0E0000}"/>
    <cellStyle name="Normal 14 5 2 2" xfId="8471" xr:uid="{00000000-0005-0000-0000-00007B0E0000}"/>
    <cellStyle name="Normal 14 5 2 2 2" xfId="16910" xr:uid="{1A57AB7A-F349-4C1D-AFF1-C07E30BBDC86}"/>
    <cellStyle name="Normal 14 5 2 3" xfId="12692" xr:uid="{D5896495-B9BE-41F8-B58C-A50749C08A35}"/>
    <cellStyle name="Normal 14 5 3" xfId="6326" xr:uid="{00000000-0005-0000-0000-00007C0E0000}"/>
    <cellStyle name="Normal 14 5 3 2" xfId="14765" xr:uid="{E8D13830-4833-4284-8E39-B2E29A9741CA}"/>
    <cellStyle name="Normal 14 5 4" xfId="10547" xr:uid="{4DD5A58F-361F-4B23-AAA6-7F15B3696554}"/>
    <cellStyle name="Normal 14 6" xfId="2455" xr:uid="{00000000-0005-0000-0000-00007D0E0000}"/>
    <cellStyle name="Normal 14 6 2" xfId="6739" xr:uid="{00000000-0005-0000-0000-00007E0E0000}"/>
    <cellStyle name="Normal 14 6 2 2" xfId="15178" xr:uid="{89293457-62AC-4F81-AFDA-D089233EDF96}"/>
    <cellStyle name="Normal 14 6 3" xfId="10960" xr:uid="{3BF24DB5-00D4-4D3C-A4B1-62BA2F4B3AE7}"/>
    <cellStyle name="Normal 14 7" xfId="4673" xr:uid="{00000000-0005-0000-0000-00007F0E0000}"/>
    <cellStyle name="Normal 14 7 2" xfId="13112" xr:uid="{30336EC9-66BC-4346-87D3-8E882A9F4605}"/>
    <cellStyle name="Normal 14 8" xfId="8894" xr:uid="{EF0B4B6C-3DDB-4D13-A8BD-382C2CA5521F}"/>
    <cellStyle name="Normal 15" xfId="4496" xr:uid="{00000000-0005-0000-0000-0000800E0000}"/>
    <cellStyle name="Normal 15 2" xfId="12938" xr:uid="{A896EE95-8BA9-4B14-A4B3-F98FB122EAC5}"/>
    <cellStyle name="Normal 16" xfId="4500" xr:uid="{00000000-0005-0000-0000-0000810E0000}"/>
    <cellStyle name="Normal 16 2" xfId="8716" xr:uid="{00000000-0005-0000-0000-0000820E0000}"/>
    <cellStyle name="Normal 16 2 2" xfId="17155" xr:uid="{CCFE5417-C79F-44C0-8238-AF937AFC17FE}"/>
    <cellStyle name="Normal 16 3" xfId="8719" xr:uid="{3DE1BEEB-61FA-4094-B10F-9E0444F68763}"/>
    <cellStyle name="Normal 16 3 2" xfId="8723" xr:uid="{FE0BC069-4698-40B2-814D-8E09719245E9}"/>
    <cellStyle name="Normal 16 3 3" xfId="17158" xr:uid="{F4AC9115-D375-48DD-94C6-875C6A1F0BD5}"/>
    <cellStyle name="Normal 16 4" xfId="12941" xr:uid="{548CDD29-EFC4-43AB-8CEE-9EF9B784643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D2E71D10-1BDC-46A7-9224-4787A26D1D93}"/>
    <cellStyle name="Normal 2 4 2 10 2 3" xfId="12693" xr:uid="{828E9058-FC51-4311-AEA9-92220C347B34}"/>
    <cellStyle name="Normal 2 4 2 10 3" xfId="6327" xr:uid="{00000000-0005-0000-0000-0000910E0000}"/>
    <cellStyle name="Normal 2 4 2 10 3 2" xfId="14766" xr:uid="{19F54432-1BB2-41B0-8196-AA1C08CCA70C}"/>
    <cellStyle name="Normal 2 4 2 10 4" xfId="10548" xr:uid="{BACE8B90-4463-47A4-84DE-2DEB6D023AC9}"/>
    <cellStyle name="Normal 2 4 2 11" xfId="2456" xr:uid="{00000000-0005-0000-0000-0000920E0000}"/>
    <cellStyle name="Normal 2 4 2 11 2" xfId="6740" xr:uid="{00000000-0005-0000-0000-0000930E0000}"/>
    <cellStyle name="Normal 2 4 2 11 2 2" xfId="15179" xr:uid="{9646F8A9-ADBE-4806-BC95-29781D0D8D73}"/>
    <cellStyle name="Normal 2 4 2 11 3" xfId="10961" xr:uid="{C3537185-29C2-4471-BA67-4D4D826F1B6D}"/>
    <cellStyle name="Normal 2 4 2 12" xfId="4674" xr:uid="{00000000-0005-0000-0000-0000940E0000}"/>
    <cellStyle name="Normal 2 4 2 12 2" xfId="13113" xr:uid="{306BE6A5-232E-4323-A13D-B2F5CDD5C244}"/>
    <cellStyle name="Normal 2 4 2 13" xfId="8895" xr:uid="{EF5B6A6E-53C5-4F3B-AAAF-B588C3700DAA}"/>
    <cellStyle name="Normal 2 4 2 2" xfId="280" xr:uid="{00000000-0005-0000-0000-0000950E0000}"/>
    <cellStyle name="Normal 2 4 2 3" xfId="281" xr:uid="{00000000-0005-0000-0000-0000960E0000}"/>
    <cellStyle name="Normal 2 4 2 3 10" xfId="4675" xr:uid="{00000000-0005-0000-0000-0000970E0000}"/>
    <cellStyle name="Normal 2 4 2 3 10 2" xfId="13114" xr:uid="{5988503C-78B1-4FC7-A657-03BF8607EEBD}"/>
    <cellStyle name="Normal 2 4 2 3 11" xfId="8896" xr:uid="{3AFB542F-46EB-45DF-87D4-7028CFF73FA8}"/>
    <cellStyle name="Normal 2 4 2 3 2" xfId="282" xr:uid="{00000000-0005-0000-0000-0000980E0000}"/>
    <cellStyle name="Normal 2 4 2 3 2 10" xfId="8897" xr:uid="{A2802085-810D-4E38-BE86-8C64E2B8033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8E41DFD6-41E9-456B-92F1-434FDD4F37F1}"/>
    <cellStyle name="Normal 2 4 2 3 2 2 2 2 2 3" xfId="11458" xr:uid="{5CD6777E-95AA-4DCD-9334-B7F632D32512}"/>
    <cellStyle name="Normal 2 4 2 3 2 2 2 2 3" xfId="5092" xr:uid="{00000000-0005-0000-0000-00009E0E0000}"/>
    <cellStyle name="Normal 2 4 2 3 2 2 2 2 3 2" xfId="13531" xr:uid="{1601B61C-9BA6-4F32-94B3-2F73DB953D16}"/>
    <cellStyle name="Normal 2 4 2 3 2 2 2 2 4" xfId="9313" xr:uid="{AA7E1EEE-E958-4BB6-9693-4A9B76267F09}"/>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4DBA84E8-D4CA-48B0-9692-61BF3EF14591}"/>
    <cellStyle name="Normal 2 4 2 3 2 2 2 3 2 3" xfId="11871" xr:uid="{35E6D9BD-BE2E-426E-8CBE-C732CEC71AAF}"/>
    <cellStyle name="Normal 2 4 2 3 2 2 2 3 3" xfId="5505" xr:uid="{00000000-0005-0000-0000-0000A20E0000}"/>
    <cellStyle name="Normal 2 4 2 3 2 2 2 3 3 2" xfId="13944" xr:uid="{41CD661D-E5C2-46F0-BB82-878EA06A53BD}"/>
    <cellStyle name="Normal 2 4 2 3 2 2 2 3 4" xfId="9726" xr:uid="{1CF4D7E7-6132-4D50-A54A-A1C9F1893119}"/>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194FE6B5-7F2E-4FCD-909F-5ACAAD325571}"/>
    <cellStyle name="Normal 2 4 2 3 2 2 2 4 2 3" xfId="12284" xr:uid="{9173C548-6072-4BDE-8041-B7B76F862575}"/>
    <cellStyle name="Normal 2 4 2 3 2 2 2 4 3" xfId="5918" xr:uid="{00000000-0005-0000-0000-0000A60E0000}"/>
    <cellStyle name="Normal 2 4 2 3 2 2 2 4 3 2" xfId="14357" xr:uid="{45A73381-367B-426B-96ED-82DA2D24FB2F}"/>
    <cellStyle name="Normal 2 4 2 3 2 2 2 4 4" xfId="10139" xr:uid="{24E0DEFF-D612-4574-AEDF-BE75AC200978}"/>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03CD1023-AAB0-437E-89CC-A4A63FBB8A2E}"/>
    <cellStyle name="Normal 2 4 2 3 2 2 2 5 2 3" xfId="12697" xr:uid="{B0F83155-4AA8-48DE-A74B-629F8EFC0705}"/>
    <cellStyle name="Normal 2 4 2 3 2 2 2 5 3" xfId="6331" xr:uid="{00000000-0005-0000-0000-0000AA0E0000}"/>
    <cellStyle name="Normal 2 4 2 3 2 2 2 5 3 2" xfId="14770" xr:uid="{C7C278E7-34F9-418C-B2D5-0F5268BF03C3}"/>
    <cellStyle name="Normal 2 4 2 3 2 2 2 5 4" xfId="10552" xr:uid="{45593FCE-405F-45EF-8C22-49536A83623A}"/>
    <cellStyle name="Normal 2 4 2 3 2 2 2 6" xfId="2460" xr:uid="{00000000-0005-0000-0000-0000AB0E0000}"/>
    <cellStyle name="Normal 2 4 2 3 2 2 2 6 2" xfId="6744" xr:uid="{00000000-0005-0000-0000-0000AC0E0000}"/>
    <cellStyle name="Normal 2 4 2 3 2 2 2 6 2 2" xfId="15183" xr:uid="{BBF4F34D-4A45-4394-95C3-3DFFB899F8CB}"/>
    <cellStyle name="Normal 2 4 2 3 2 2 2 6 3" xfId="10965" xr:uid="{AD155E95-D7C1-4720-BBE7-0436C07A773F}"/>
    <cellStyle name="Normal 2 4 2 3 2 2 2 7" xfId="4678" xr:uid="{00000000-0005-0000-0000-0000AD0E0000}"/>
    <cellStyle name="Normal 2 4 2 3 2 2 2 7 2" xfId="13117" xr:uid="{04E1DEFE-81CB-4809-98DF-FB2DA84AFD13}"/>
    <cellStyle name="Normal 2 4 2 3 2 2 2 8" xfId="8899" xr:uid="{DC84F57D-918D-43A8-A099-8847536C8FE3}"/>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25005F3A-0741-4A62-87E6-F6C0E81166B3}"/>
    <cellStyle name="Normal 2 4 2 3 2 2 3 2 3" xfId="11457" xr:uid="{60348778-96C0-4A99-90D9-77E89F9DF5D4}"/>
    <cellStyle name="Normal 2 4 2 3 2 2 3 3" xfId="5091" xr:uid="{00000000-0005-0000-0000-0000B10E0000}"/>
    <cellStyle name="Normal 2 4 2 3 2 2 3 3 2" xfId="13530" xr:uid="{5E6ED64A-198D-4204-B7A1-F111A556D960}"/>
    <cellStyle name="Normal 2 4 2 3 2 2 3 4" xfId="9312" xr:uid="{7394F551-0E38-4FC8-BDC8-291F825318B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5FCE272E-B827-4DD3-B898-8F8C71FC54CC}"/>
    <cellStyle name="Normal 2 4 2 3 2 2 4 2 3" xfId="11870" xr:uid="{6DE8BC3C-FA39-4177-80D0-35F36E831AF9}"/>
    <cellStyle name="Normal 2 4 2 3 2 2 4 3" xfId="5504" xr:uid="{00000000-0005-0000-0000-0000B50E0000}"/>
    <cellStyle name="Normal 2 4 2 3 2 2 4 3 2" xfId="13943" xr:uid="{C4EF0C37-CB56-4AC4-B8F0-447A35531542}"/>
    <cellStyle name="Normal 2 4 2 3 2 2 4 4" xfId="9725" xr:uid="{704FE0D5-5652-43F3-9326-9185178D68B3}"/>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242FBF52-1BFC-422C-AF56-02261F8FAD6B}"/>
    <cellStyle name="Normal 2 4 2 3 2 2 5 2 3" xfId="12283" xr:uid="{83B9B40F-8949-4721-AF8B-49EF58F167B6}"/>
    <cellStyle name="Normal 2 4 2 3 2 2 5 3" xfId="5917" xr:uid="{00000000-0005-0000-0000-0000B90E0000}"/>
    <cellStyle name="Normal 2 4 2 3 2 2 5 3 2" xfId="14356" xr:uid="{7B7AF5F7-F55D-4337-8C9B-C9C27CA93594}"/>
    <cellStyle name="Normal 2 4 2 3 2 2 5 4" xfId="10138" xr:uid="{770DC707-C7ED-4046-9430-BFB69A190366}"/>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C610E5E0-1181-4BBC-9837-80FB1EDF6D6E}"/>
    <cellStyle name="Normal 2 4 2 3 2 2 6 2 3" xfId="12696" xr:uid="{A4994FB7-E1EE-4195-A784-6382D8B3DE4B}"/>
    <cellStyle name="Normal 2 4 2 3 2 2 6 3" xfId="6330" xr:uid="{00000000-0005-0000-0000-0000BD0E0000}"/>
    <cellStyle name="Normal 2 4 2 3 2 2 6 3 2" xfId="14769" xr:uid="{401359C8-BCFC-4F5F-983E-5063A13080F2}"/>
    <cellStyle name="Normal 2 4 2 3 2 2 6 4" xfId="10551" xr:uid="{86826071-F70F-4C32-A014-60C8F31647E6}"/>
    <cellStyle name="Normal 2 4 2 3 2 2 7" xfId="2459" xr:uid="{00000000-0005-0000-0000-0000BE0E0000}"/>
    <cellStyle name="Normal 2 4 2 3 2 2 7 2" xfId="6743" xr:uid="{00000000-0005-0000-0000-0000BF0E0000}"/>
    <cellStyle name="Normal 2 4 2 3 2 2 7 2 2" xfId="15182" xr:uid="{B5E7BC5D-C45B-4D33-AE24-D830EC79CB88}"/>
    <cellStyle name="Normal 2 4 2 3 2 2 7 3" xfId="10964" xr:uid="{3667AEBE-4C75-441D-82E5-75B962EE8F5E}"/>
    <cellStyle name="Normal 2 4 2 3 2 2 8" xfId="4677" xr:uid="{00000000-0005-0000-0000-0000C00E0000}"/>
    <cellStyle name="Normal 2 4 2 3 2 2 8 2" xfId="13116" xr:uid="{148BEC55-A13F-4942-B50D-502854CD130D}"/>
    <cellStyle name="Normal 2 4 2 3 2 2 9" xfId="8898" xr:uid="{FFA19D9C-AE17-4BAA-99B4-E9940D8FCF5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CDE6D9D7-7E45-47FF-9CE3-52D11541DF92}"/>
    <cellStyle name="Normal 2 4 2 3 2 3 2 2 3" xfId="11459" xr:uid="{8B1046B7-793C-48B5-84B0-781C10A883DC}"/>
    <cellStyle name="Normal 2 4 2 3 2 3 2 3" xfId="5093" xr:uid="{00000000-0005-0000-0000-0000C50E0000}"/>
    <cellStyle name="Normal 2 4 2 3 2 3 2 3 2" xfId="13532" xr:uid="{2251A4AC-5918-4AFC-9499-AAB4A463F908}"/>
    <cellStyle name="Normal 2 4 2 3 2 3 2 4" xfId="9314" xr:uid="{951354CD-D476-4643-93AF-F177CF821FB3}"/>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650D6D25-5A31-4351-AB9D-B5D0F3A73356}"/>
    <cellStyle name="Normal 2 4 2 3 2 3 3 2 3" xfId="11872" xr:uid="{54B1390E-4D59-4C28-BBA5-AC3307CC11E4}"/>
    <cellStyle name="Normal 2 4 2 3 2 3 3 3" xfId="5506" xr:uid="{00000000-0005-0000-0000-0000C90E0000}"/>
    <cellStyle name="Normal 2 4 2 3 2 3 3 3 2" xfId="13945" xr:uid="{8A1352C9-4FFB-40E4-BF91-8136BD557EF6}"/>
    <cellStyle name="Normal 2 4 2 3 2 3 3 4" xfId="9727" xr:uid="{6788678D-5A27-402E-B010-87608A06C623}"/>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F160BF31-382A-4CFC-85AD-805921022489}"/>
    <cellStyle name="Normal 2 4 2 3 2 3 4 2 3" xfId="12285" xr:uid="{C7CE2993-8776-4AA8-8D90-DDF59F98CD14}"/>
    <cellStyle name="Normal 2 4 2 3 2 3 4 3" xfId="5919" xr:uid="{00000000-0005-0000-0000-0000CD0E0000}"/>
    <cellStyle name="Normal 2 4 2 3 2 3 4 3 2" xfId="14358" xr:uid="{B6034F3A-0441-46B7-B52B-DC05AF097D22}"/>
    <cellStyle name="Normal 2 4 2 3 2 3 4 4" xfId="10140" xr:uid="{7BF97CE2-E870-46D3-9BF1-DE25FA9FD7E5}"/>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CEDF9A96-DB6B-48C6-9174-E11CD13B3174}"/>
    <cellStyle name="Normal 2 4 2 3 2 3 5 2 3" xfId="12698" xr:uid="{7E1F5F4C-E578-4F64-99CD-501B31FACD86}"/>
    <cellStyle name="Normal 2 4 2 3 2 3 5 3" xfId="6332" xr:uid="{00000000-0005-0000-0000-0000D10E0000}"/>
    <cellStyle name="Normal 2 4 2 3 2 3 5 3 2" xfId="14771" xr:uid="{44C478AA-4FB7-44A1-A551-8A9FF6E36919}"/>
    <cellStyle name="Normal 2 4 2 3 2 3 5 4" xfId="10553" xr:uid="{1F83AFB2-530B-4F21-81FB-C92A3772A6D5}"/>
    <cellStyle name="Normal 2 4 2 3 2 3 6" xfId="2461" xr:uid="{00000000-0005-0000-0000-0000D20E0000}"/>
    <cellStyle name="Normal 2 4 2 3 2 3 6 2" xfId="6745" xr:uid="{00000000-0005-0000-0000-0000D30E0000}"/>
    <cellStyle name="Normal 2 4 2 3 2 3 6 2 2" xfId="15184" xr:uid="{37D253A6-752A-4999-A4B4-2FCA17F92240}"/>
    <cellStyle name="Normal 2 4 2 3 2 3 6 3" xfId="10966" xr:uid="{0C4474FD-825E-4151-A55A-48EB821D3E13}"/>
    <cellStyle name="Normal 2 4 2 3 2 3 7" xfId="4679" xr:uid="{00000000-0005-0000-0000-0000D40E0000}"/>
    <cellStyle name="Normal 2 4 2 3 2 3 7 2" xfId="13118" xr:uid="{26C0B242-F03E-4379-B5D5-BFCD38ECAE18}"/>
    <cellStyle name="Normal 2 4 2 3 2 3 8" xfId="8900" xr:uid="{9560D483-6162-4FBB-8FD5-ABCAE080DCB6}"/>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E6F4A95A-3538-43B1-95AD-BF8480A0EFE8}"/>
    <cellStyle name="Normal 2 4 2 3 2 4 2 3" xfId="11456" xr:uid="{F868F633-2F6B-418C-9C9A-0F9C41CD1AB4}"/>
    <cellStyle name="Normal 2 4 2 3 2 4 3" xfId="5090" xr:uid="{00000000-0005-0000-0000-0000D80E0000}"/>
    <cellStyle name="Normal 2 4 2 3 2 4 3 2" xfId="13529" xr:uid="{05674B2A-4E6F-493B-B6F1-71D1721B92F4}"/>
    <cellStyle name="Normal 2 4 2 3 2 4 4" xfId="9311" xr:uid="{4349D599-5211-4067-98A6-8236ACB3E7E5}"/>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D5CB33E7-7418-4400-AB6E-FBE262985F18}"/>
    <cellStyle name="Normal 2 4 2 3 2 5 2 3" xfId="11869" xr:uid="{56C85615-4016-47A3-8580-85843A9FFFB9}"/>
    <cellStyle name="Normal 2 4 2 3 2 5 3" xfId="5503" xr:uid="{00000000-0005-0000-0000-0000DC0E0000}"/>
    <cellStyle name="Normal 2 4 2 3 2 5 3 2" xfId="13942" xr:uid="{002FD882-6699-4D6F-88ED-A1E1047A91E7}"/>
    <cellStyle name="Normal 2 4 2 3 2 5 4" xfId="9724" xr:uid="{7F627A3A-111C-4B79-9B0E-786BF9173D7F}"/>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314A4F30-F57A-4353-B14A-FCA4FB0AB227}"/>
    <cellStyle name="Normal 2 4 2 3 2 6 2 3" xfId="12282" xr:uid="{C3FFD2AC-5DC0-4B0D-82CC-DDCCFF3C046C}"/>
    <cellStyle name="Normal 2 4 2 3 2 6 3" xfId="5916" xr:uid="{00000000-0005-0000-0000-0000E00E0000}"/>
    <cellStyle name="Normal 2 4 2 3 2 6 3 2" xfId="14355" xr:uid="{926C652D-035D-45C0-A695-3C858980B189}"/>
    <cellStyle name="Normal 2 4 2 3 2 6 4" xfId="10137" xr:uid="{3373ADF2-7FDA-49BD-AE39-BDBCFE199ACF}"/>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D3EB6374-3B38-48F6-B7E3-E93E96EA2668}"/>
    <cellStyle name="Normal 2 4 2 3 2 7 2 3" xfId="12695" xr:uid="{E740BE22-5A92-4096-B64F-4F5C4477EED4}"/>
    <cellStyle name="Normal 2 4 2 3 2 7 3" xfId="6329" xr:uid="{00000000-0005-0000-0000-0000E40E0000}"/>
    <cellStyle name="Normal 2 4 2 3 2 7 3 2" xfId="14768" xr:uid="{59DFCFA5-D33D-4D2D-A01A-2FCD61FAFFE6}"/>
    <cellStyle name="Normal 2 4 2 3 2 7 4" xfId="10550" xr:uid="{D7E22DFF-D6F7-4F69-A488-236982345BAC}"/>
    <cellStyle name="Normal 2 4 2 3 2 8" xfId="2458" xr:uid="{00000000-0005-0000-0000-0000E50E0000}"/>
    <cellStyle name="Normal 2 4 2 3 2 8 2" xfId="6742" xr:uid="{00000000-0005-0000-0000-0000E60E0000}"/>
    <cellStyle name="Normal 2 4 2 3 2 8 2 2" xfId="15181" xr:uid="{F747492B-3B98-4122-B4AD-648A9C84BD8B}"/>
    <cellStyle name="Normal 2 4 2 3 2 8 3" xfId="10963" xr:uid="{D9C10961-BB43-4CE0-9416-E5BE1DA66A8D}"/>
    <cellStyle name="Normal 2 4 2 3 2 9" xfId="4676" xr:uid="{00000000-0005-0000-0000-0000E70E0000}"/>
    <cellStyle name="Normal 2 4 2 3 2 9 2" xfId="13115" xr:uid="{EE89BB1F-2954-43F1-BC40-72CBEADA62AD}"/>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B26B417D-7EE6-477E-A306-1ADE991235AA}"/>
    <cellStyle name="Normal 2 4 2 3 3 2 2 2 3" xfId="11461" xr:uid="{FAE5CA17-08AB-4DB7-ADB0-006CB8D5C92E}"/>
    <cellStyle name="Normal 2 4 2 3 3 2 2 3" xfId="5095" xr:uid="{00000000-0005-0000-0000-0000ED0E0000}"/>
    <cellStyle name="Normal 2 4 2 3 3 2 2 3 2" xfId="13534" xr:uid="{96BFF3C2-6065-4CD7-9C73-27FBB4FB1106}"/>
    <cellStyle name="Normal 2 4 2 3 3 2 2 4" xfId="9316" xr:uid="{B29D9664-68E5-4364-B451-3920632FDB03}"/>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EB5BE9A0-D530-4CE3-AD3F-A6D2C705873A}"/>
    <cellStyle name="Normal 2 4 2 3 3 2 3 2 3" xfId="11874" xr:uid="{31BAE860-7FAC-4EEB-A2DA-7E4B1F7DF68C}"/>
    <cellStyle name="Normal 2 4 2 3 3 2 3 3" xfId="5508" xr:uid="{00000000-0005-0000-0000-0000F10E0000}"/>
    <cellStyle name="Normal 2 4 2 3 3 2 3 3 2" xfId="13947" xr:uid="{1392F0E0-0651-45CF-A65D-11F5BFED851C}"/>
    <cellStyle name="Normal 2 4 2 3 3 2 3 4" xfId="9729" xr:uid="{A35CA676-90BF-49DF-9FA4-96802ECA8394}"/>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E1E568FF-8991-4EB7-AF81-1A7406C96C87}"/>
    <cellStyle name="Normal 2 4 2 3 3 2 4 2 3" xfId="12287" xr:uid="{BC1175D5-5275-4BAD-B701-C5F64A655E4C}"/>
    <cellStyle name="Normal 2 4 2 3 3 2 4 3" xfId="5921" xr:uid="{00000000-0005-0000-0000-0000F50E0000}"/>
    <cellStyle name="Normal 2 4 2 3 3 2 4 3 2" xfId="14360" xr:uid="{4441D53C-AF08-4CEB-AD6D-A2C5499139C3}"/>
    <cellStyle name="Normal 2 4 2 3 3 2 4 4" xfId="10142" xr:uid="{0F73CA41-CBA1-4B75-988E-0DFE9C1641D7}"/>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812B6986-BEEE-4F85-B111-6814D71C7C4E}"/>
    <cellStyle name="Normal 2 4 2 3 3 2 5 2 3" xfId="12700" xr:uid="{8010F2EF-26B2-4B7A-81AA-DAEB8B47B9B8}"/>
    <cellStyle name="Normal 2 4 2 3 3 2 5 3" xfId="6334" xr:uid="{00000000-0005-0000-0000-0000F90E0000}"/>
    <cellStyle name="Normal 2 4 2 3 3 2 5 3 2" xfId="14773" xr:uid="{779C1892-041C-449D-A13F-92587B6E2BE3}"/>
    <cellStyle name="Normal 2 4 2 3 3 2 5 4" xfId="10555" xr:uid="{22039250-F16E-432D-80C4-AB868C5493AD}"/>
    <cellStyle name="Normal 2 4 2 3 3 2 6" xfId="2463" xr:uid="{00000000-0005-0000-0000-0000FA0E0000}"/>
    <cellStyle name="Normal 2 4 2 3 3 2 6 2" xfId="6747" xr:uid="{00000000-0005-0000-0000-0000FB0E0000}"/>
    <cellStyle name="Normal 2 4 2 3 3 2 6 2 2" xfId="15186" xr:uid="{25BACAFE-0D62-4225-A1A6-968952C31187}"/>
    <cellStyle name="Normal 2 4 2 3 3 2 6 3" xfId="10968" xr:uid="{29B1013A-4BE0-4C28-AB4B-5346149F789B}"/>
    <cellStyle name="Normal 2 4 2 3 3 2 7" xfId="4681" xr:uid="{00000000-0005-0000-0000-0000FC0E0000}"/>
    <cellStyle name="Normal 2 4 2 3 3 2 7 2" xfId="13120" xr:uid="{F0541528-9813-4E2F-9B1C-75691C36B1F8}"/>
    <cellStyle name="Normal 2 4 2 3 3 2 8" xfId="8902" xr:uid="{979ACBE2-3890-425D-9FFB-CF0E4C54782A}"/>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1FA029A0-82F3-4502-BABC-13C472558D4D}"/>
    <cellStyle name="Normal 2 4 2 3 3 3 2 3" xfId="11460" xr:uid="{FB6A8D13-0719-4245-9EBA-4FEB3FD5BA9C}"/>
    <cellStyle name="Normal 2 4 2 3 3 3 3" xfId="5094" xr:uid="{00000000-0005-0000-0000-0000000F0000}"/>
    <cellStyle name="Normal 2 4 2 3 3 3 3 2" xfId="13533" xr:uid="{EBE0D4DF-7CAD-4674-86A0-E8C33C90EC9B}"/>
    <cellStyle name="Normal 2 4 2 3 3 3 4" xfId="9315" xr:uid="{0409995C-050B-4CAB-8640-E5436E4C8FC7}"/>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4EA72B0B-1A20-4DCF-A6D8-24D8AC18D9B8}"/>
    <cellStyle name="Normal 2 4 2 3 3 4 2 3" xfId="11873" xr:uid="{3E303800-C49F-49C3-9013-7DDEBCF9A20B}"/>
    <cellStyle name="Normal 2 4 2 3 3 4 3" xfId="5507" xr:uid="{00000000-0005-0000-0000-0000040F0000}"/>
    <cellStyle name="Normal 2 4 2 3 3 4 3 2" xfId="13946" xr:uid="{CBCD18E6-AB15-4695-8D35-01A4797B269C}"/>
    <cellStyle name="Normal 2 4 2 3 3 4 4" xfId="9728" xr:uid="{5ADCE38B-B16F-4134-9EA5-A5C1C5A6424B}"/>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4A4D8D12-25E0-4208-8DD6-17BBFE3F5C31}"/>
    <cellStyle name="Normal 2 4 2 3 3 5 2 3" xfId="12286" xr:uid="{EA100806-4ABB-4424-8BAE-E4800680671D}"/>
    <cellStyle name="Normal 2 4 2 3 3 5 3" xfId="5920" xr:uid="{00000000-0005-0000-0000-0000080F0000}"/>
    <cellStyle name="Normal 2 4 2 3 3 5 3 2" xfId="14359" xr:uid="{2E4F4A40-AE06-4832-BAE8-D341E0241A95}"/>
    <cellStyle name="Normal 2 4 2 3 3 5 4" xfId="10141" xr:uid="{E860C05E-60A6-4A92-9E5D-C29FFF977313}"/>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2B6945A6-2EB7-40DA-B757-76C3713D77B2}"/>
    <cellStyle name="Normal 2 4 2 3 3 6 2 3" xfId="12699" xr:uid="{FAA16891-C067-457B-A88B-B42FBB2D53FB}"/>
    <cellStyle name="Normal 2 4 2 3 3 6 3" xfId="6333" xr:uid="{00000000-0005-0000-0000-00000C0F0000}"/>
    <cellStyle name="Normal 2 4 2 3 3 6 3 2" xfId="14772" xr:uid="{0E520AB7-03BA-444D-8F9C-385F55F7CB29}"/>
    <cellStyle name="Normal 2 4 2 3 3 6 4" xfId="10554" xr:uid="{B1AA9B13-5DDD-40F0-87A5-130474F7537C}"/>
    <cellStyle name="Normal 2 4 2 3 3 7" xfId="2462" xr:uid="{00000000-0005-0000-0000-00000D0F0000}"/>
    <cellStyle name="Normal 2 4 2 3 3 7 2" xfId="6746" xr:uid="{00000000-0005-0000-0000-00000E0F0000}"/>
    <cellStyle name="Normal 2 4 2 3 3 7 2 2" xfId="15185" xr:uid="{94FA758B-30D6-41D0-A77A-E5805E7A00E3}"/>
    <cellStyle name="Normal 2 4 2 3 3 7 3" xfId="10967" xr:uid="{343576BE-957B-4990-A716-08A2E36121F6}"/>
    <cellStyle name="Normal 2 4 2 3 3 8" xfId="4680" xr:uid="{00000000-0005-0000-0000-00000F0F0000}"/>
    <cellStyle name="Normal 2 4 2 3 3 8 2" xfId="13119" xr:uid="{FBE89FA7-295A-46EC-9884-362CA9E9C7E5}"/>
    <cellStyle name="Normal 2 4 2 3 3 9" xfId="8901" xr:uid="{7098F0C7-8402-40CA-B8A4-26DA973352DE}"/>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967F592E-624D-4848-8602-35470B3F34E5}"/>
    <cellStyle name="Normal 2 4 2 3 4 2 2 3" xfId="11462" xr:uid="{CC5760C5-65CF-45A2-B1ED-32AB7AA6883F}"/>
    <cellStyle name="Normal 2 4 2 3 4 2 3" xfId="5096" xr:uid="{00000000-0005-0000-0000-0000140F0000}"/>
    <cellStyle name="Normal 2 4 2 3 4 2 3 2" xfId="13535" xr:uid="{AFCBDC27-AFE1-4B73-87AB-6C8A58005FB1}"/>
    <cellStyle name="Normal 2 4 2 3 4 2 4" xfId="9317" xr:uid="{DBCB328F-CCB3-47BA-B3C9-EEC8A6C9358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753D7CCF-CBF0-4814-A75B-1E1E30759AF8}"/>
    <cellStyle name="Normal 2 4 2 3 4 3 2 3" xfId="11875" xr:uid="{E24E8B7C-6C4D-41D5-B377-E7B5AC8F3290}"/>
    <cellStyle name="Normal 2 4 2 3 4 3 3" xfId="5509" xr:uid="{00000000-0005-0000-0000-0000180F0000}"/>
    <cellStyle name="Normal 2 4 2 3 4 3 3 2" xfId="13948" xr:uid="{C8FFEFBC-EA78-49C8-B708-DD550A2ADF99}"/>
    <cellStyle name="Normal 2 4 2 3 4 3 4" xfId="9730" xr:uid="{F1FD7A25-61A3-4E25-AD61-8CDE937ADFAA}"/>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FD0784C0-D399-47C0-AD60-7E4C10F83D59}"/>
    <cellStyle name="Normal 2 4 2 3 4 4 2 3" xfId="12288" xr:uid="{5FB83F9A-7293-444C-A999-61653BCF3043}"/>
    <cellStyle name="Normal 2 4 2 3 4 4 3" xfId="5922" xr:uid="{00000000-0005-0000-0000-00001C0F0000}"/>
    <cellStyle name="Normal 2 4 2 3 4 4 3 2" xfId="14361" xr:uid="{47C131A0-F77A-400D-81F4-6BBB230BEC97}"/>
    <cellStyle name="Normal 2 4 2 3 4 4 4" xfId="10143" xr:uid="{7D384CEA-DA50-4420-A508-B23E711B46DC}"/>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10A51BE4-C192-413F-98EA-0DE2FDEAE364}"/>
    <cellStyle name="Normal 2 4 2 3 4 5 2 3" xfId="12701" xr:uid="{BCDEABF0-A06D-416B-AB4C-59EEFF41C90E}"/>
    <cellStyle name="Normal 2 4 2 3 4 5 3" xfId="6335" xr:uid="{00000000-0005-0000-0000-0000200F0000}"/>
    <cellStyle name="Normal 2 4 2 3 4 5 3 2" xfId="14774" xr:uid="{46650B13-DC46-4838-A2FF-6DB9FBE375FA}"/>
    <cellStyle name="Normal 2 4 2 3 4 5 4" xfId="10556" xr:uid="{854530FF-D2D6-4940-8D10-C667415A66C7}"/>
    <cellStyle name="Normal 2 4 2 3 4 6" xfId="2464" xr:uid="{00000000-0005-0000-0000-0000210F0000}"/>
    <cellStyle name="Normal 2 4 2 3 4 6 2" xfId="6748" xr:uid="{00000000-0005-0000-0000-0000220F0000}"/>
    <cellStyle name="Normal 2 4 2 3 4 6 2 2" xfId="15187" xr:uid="{8B429296-F2A4-4874-A7C9-C59005991737}"/>
    <cellStyle name="Normal 2 4 2 3 4 6 3" xfId="10969" xr:uid="{C7A484E3-A99A-4573-8BDE-EFAB3EAED4CA}"/>
    <cellStyle name="Normal 2 4 2 3 4 7" xfId="4682" xr:uid="{00000000-0005-0000-0000-0000230F0000}"/>
    <cellStyle name="Normal 2 4 2 3 4 7 2" xfId="13121" xr:uid="{9E3A07EC-3101-4CAF-AEB0-574B05FD01C4}"/>
    <cellStyle name="Normal 2 4 2 3 4 8" xfId="8903" xr:uid="{C6EE7792-385F-41EF-B1F8-74FC73DD3BB5}"/>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68FBFF08-BC33-4CCD-A561-ABD475BD6D41}"/>
    <cellStyle name="Normal 2 4 2 3 5 2 3" xfId="11455" xr:uid="{C85D6D29-36E2-43BA-9EF0-2112A0765B7F}"/>
    <cellStyle name="Normal 2 4 2 3 5 3" xfId="5089" xr:uid="{00000000-0005-0000-0000-0000270F0000}"/>
    <cellStyle name="Normal 2 4 2 3 5 3 2" xfId="13528" xr:uid="{2067C1D5-1CB0-4F6A-84B8-81380015AC01}"/>
    <cellStyle name="Normal 2 4 2 3 5 4" xfId="9310" xr:uid="{EC9F802C-6F4C-4B10-AFB3-D525F4D7BB0B}"/>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D1BE8601-5C9B-480A-8DFB-8541B6197DC1}"/>
    <cellStyle name="Normal 2 4 2 3 6 2 3" xfId="11868" xr:uid="{F7C6B420-EA85-4BD3-972B-873F53038E4A}"/>
    <cellStyle name="Normal 2 4 2 3 6 3" xfId="5502" xr:uid="{00000000-0005-0000-0000-00002B0F0000}"/>
    <cellStyle name="Normal 2 4 2 3 6 3 2" xfId="13941" xr:uid="{79D68CA7-B9D4-484E-BA51-2007ABE58FB3}"/>
    <cellStyle name="Normal 2 4 2 3 6 4" xfId="9723" xr:uid="{14F7C51C-A811-49C5-B8AC-536251DCFDB4}"/>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F5B1CE6F-E0FF-4852-8F36-B6DD4B009EB0}"/>
    <cellStyle name="Normal 2 4 2 3 7 2 3" xfId="12281" xr:uid="{824962BE-8BC1-4EDE-B5A5-D4589088A090}"/>
    <cellStyle name="Normal 2 4 2 3 7 3" xfId="5915" xr:uid="{00000000-0005-0000-0000-00002F0F0000}"/>
    <cellStyle name="Normal 2 4 2 3 7 3 2" xfId="14354" xr:uid="{4E5BE5A8-AC0F-4588-BEDA-23C66D33BDF6}"/>
    <cellStyle name="Normal 2 4 2 3 7 4" xfId="10136" xr:uid="{14E73B3B-CB94-411E-8DEF-BB99CA63AFC0}"/>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39C743C6-F23F-4FAA-B226-BD5546402E0F}"/>
    <cellStyle name="Normal 2 4 2 3 8 2 3" xfId="12694" xr:uid="{5D5E4777-E89C-4293-9DCB-E8C10E38CA8D}"/>
    <cellStyle name="Normal 2 4 2 3 8 3" xfId="6328" xr:uid="{00000000-0005-0000-0000-0000330F0000}"/>
    <cellStyle name="Normal 2 4 2 3 8 3 2" xfId="14767" xr:uid="{73A0AC7C-77E5-44C3-AB94-85390E3149A6}"/>
    <cellStyle name="Normal 2 4 2 3 8 4" xfId="10549" xr:uid="{627920B1-3ED8-4127-9759-06923F2C26B2}"/>
    <cellStyle name="Normal 2 4 2 3 9" xfId="2457" xr:uid="{00000000-0005-0000-0000-0000340F0000}"/>
    <cellStyle name="Normal 2 4 2 3 9 2" xfId="6741" xr:uid="{00000000-0005-0000-0000-0000350F0000}"/>
    <cellStyle name="Normal 2 4 2 3 9 2 2" xfId="15180" xr:uid="{50323412-D7D0-4E27-BB3B-5A5ADDA72325}"/>
    <cellStyle name="Normal 2 4 2 3 9 3" xfId="10962" xr:uid="{B6DD9B92-D6DC-40CA-A0B9-52CDCBD7FDF1}"/>
    <cellStyle name="Normal 2 4 2 4" xfId="289" xr:uid="{00000000-0005-0000-0000-0000360F0000}"/>
    <cellStyle name="Normal 2 4 2 4 10" xfId="8904" xr:uid="{A0747A99-6635-4493-A5D7-2D23091594E8}"/>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882097E0-71DE-4317-BD15-C68093B8A6FA}"/>
    <cellStyle name="Normal 2 4 2 4 2 2 2 2 3" xfId="11465" xr:uid="{DD4C0B89-11B6-47FF-A352-3DC38293E697}"/>
    <cellStyle name="Normal 2 4 2 4 2 2 2 3" xfId="5099" xr:uid="{00000000-0005-0000-0000-00003C0F0000}"/>
    <cellStyle name="Normal 2 4 2 4 2 2 2 3 2" xfId="13538" xr:uid="{3E4C495B-A344-4933-BBC1-2DAE0DDD3650}"/>
    <cellStyle name="Normal 2 4 2 4 2 2 2 4" xfId="9320" xr:uid="{C0CA09D2-B03C-4319-AC4A-E38FE1984EB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022C6089-1CB4-4565-92F6-88D7700B9285}"/>
    <cellStyle name="Normal 2 4 2 4 2 2 3 2 3" xfId="11878" xr:uid="{8FD36002-0B17-417C-BF94-D7D218634974}"/>
    <cellStyle name="Normal 2 4 2 4 2 2 3 3" xfId="5512" xr:uid="{00000000-0005-0000-0000-0000400F0000}"/>
    <cellStyle name="Normal 2 4 2 4 2 2 3 3 2" xfId="13951" xr:uid="{4EE19E86-EC10-4B76-B9E0-5407C22DB85D}"/>
    <cellStyle name="Normal 2 4 2 4 2 2 3 4" xfId="9733" xr:uid="{D135A97C-B330-4C26-AD16-F8887004A6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F2272EC9-4734-4F9B-82FB-3AB2BDB4F05E}"/>
    <cellStyle name="Normal 2 4 2 4 2 2 4 2 3" xfId="12291" xr:uid="{A5A8D5F0-CCD3-4CDD-970B-25751FF3D12E}"/>
    <cellStyle name="Normal 2 4 2 4 2 2 4 3" xfId="5925" xr:uid="{00000000-0005-0000-0000-0000440F0000}"/>
    <cellStyle name="Normal 2 4 2 4 2 2 4 3 2" xfId="14364" xr:uid="{D6224AE1-094F-4203-8582-59FA0D26FAD6}"/>
    <cellStyle name="Normal 2 4 2 4 2 2 4 4" xfId="10146" xr:uid="{9BB3AD15-99AE-48EC-ADD2-5429725F9B88}"/>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1139BDCD-AFE5-4F74-B6AA-FBD5218D15FF}"/>
    <cellStyle name="Normal 2 4 2 4 2 2 5 2 3" xfId="12704" xr:uid="{C05270D8-A8E7-4976-840F-1C9DC8F8D0BD}"/>
    <cellStyle name="Normal 2 4 2 4 2 2 5 3" xfId="6338" xr:uid="{00000000-0005-0000-0000-0000480F0000}"/>
    <cellStyle name="Normal 2 4 2 4 2 2 5 3 2" xfId="14777" xr:uid="{99E620A1-5AE3-499C-B9E2-E37D464F0580}"/>
    <cellStyle name="Normal 2 4 2 4 2 2 5 4" xfId="10559" xr:uid="{B02356DA-ADA0-4A57-BE81-E196B708B71D}"/>
    <cellStyle name="Normal 2 4 2 4 2 2 6" xfId="2467" xr:uid="{00000000-0005-0000-0000-0000490F0000}"/>
    <cellStyle name="Normal 2 4 2 4 2 2 6 2" xfId="6751" xr:uid="{00000000-0005-0000-0000-00004A0F0000}"/>
    <cellStyle name="Normal 2 4 2 4 2 2 6 2 2" xfId="15190" xr:uid="{52BC57A3-6BD3-41E0-9A60-001C3EC2EDC3}"/>
    <cellStyle name="Normal 2 4 2 4 2 2 6 3" xfId="10972" xr:uid="{E9DFC8D2-63B8-44F6-8DAC-0B3B1A6176A3}"/>
    <cellStyle name="Normal 2 4 2 4 2 2 7" xfId="4685" xr:uid="{00000000-0005-0000-0000-00004B0F0000}"/>
    <cellStyle name="Normal 2 4 2 4 2 2 7 2" xfId="13124" xr:uid="{D8CBF6C5-0A4B-4B77-B6FB-95CDEE11E4A8}"/>
    <cellStyle name="Normal 2 4 2 4 2 2 8" xfId="8906" xr:uid="{8CD5D98F-6A7A-4E53-9B96-2FF631886288}"/>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7F803316-7620-4CF2-815F-C3AE6AA58A9C}"/>
    <cellStyle name="Normal 2 4 2 4 2 3 2 3" xfId="11464" xr:uid="{4B3BEB21-A7F2-4F25-9C3E-D1EA25140F80}"/>
    <cellStyle name="Normal 2 4 2 4 2 3 3" xfId="5098" xr:uid="{00000000-0005-0000-0000-00004F0F0000}"/>
    <cellStyle name="Normal 2 4 2 4 2 3 3 2" xfId="13537" xr:uid="{A9212B33-6620-42E9-97AA-CAA79B9B2048}"/>
    <cellStyle name="Normal 2 4 2 4 2 3 4" xfId="9319" xr:uid="{F4FC8706-CC98-484E-BE29-C559182E9AC5}"/>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7D666815-982A-42B4-896E-01025EFC8E10}"/>
    <cellStyle name="Normal 2 4 2 4 2 4 2 3" xfId="11877" xr:uid="{1F55FD7B-AF47-4771-9CE5-A842C35009BF}"/>
    <cellStyle name="Normal 2 4 2 4 2 4 3" xfId="5511" xr:uid="{00000000-0005-0000-0000-0000530F0000}"/>
    <cellStyle name="Normal 2 4 2 4 2 4 3 2" xfId="13950" xr:uid="{CFF8DDAC-955C-4D80-85A0-67B62C0B49B2}"/>
    <cellStyle name="Normal 2 4 2 4 2 4 4" xfId="9732" xr:uid="{3F25B1AA-9707-441C-AD81-A9A33FBA7CD4}"/>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FF50E180-8A2E-4F17-844B-6B1614D0E3E4}"/>
    <cellStyle name="Normal 2 4 2 4 2 5 2 3" xfId="12290" xr:uid="{5EC5C118-50E5-4CE8-B7AB-AFFBEF8F436F}"/>
    <cellStyle name="Normal 2 4 2 4 2 5 3" xfId="5924" xr:uid="{00000000-0005-0000-0000-0000570F0000}"/>
    <cellStyle name="Normal 2 4 2 4 2 5 3 2" xfId="14363" xr:uid="{516EF2C7-85EA-47F9-AA41-807CDC4D2D12}"/>
    <cellStyle name="Normal 2 4 2 4 2 5 4" xfId="10145" xr:uid="{2A8629FF-C24A-4B7E-B781-974E487D8842}"/>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F09FD6BE-8B5D-4087-B1E3-B9667EFACD8B}"/>
    <cellStyle name="Normal 2 4 2 4 2 6 2 3" xfId="12703" xr:uid="{D35DD8CF-83CB-460E-A027-C8654457AA04}"/>
    <cellStyle name="Normal 2 4 2 4 2 6 3" xfId="6337" xr:uid="{00000000-0005-0000-0000-00005B0F0000}"/>
    <cellStyle name="Normal 2 4 2 4 2 6 3 2" xfId="14776" xr:uid="{D66E04F7-3F93-4DC1-B89E-3A7BA597EAEE}"/>
    <cellStyle name="Normal 2 4 2 4 2 6 4" xfId="10558" xr:uid="{7DE454F2-265F-48D9-AFB4-382751E39E73}"/>
    <cellStyle name="Normal 2 4 2 4 2 7" xfId="2466" xr:uid="{00000000-0005-0000-0000-00005C0F0000}"/>
    <cellStyle name="Normal 2 4 2 4 2 7 2" xfId="6750" xr:uid="{00000000-0005-0000-0000-00005D0F0000}"/>
    <cellStyle name="Normal 2 4 2 4 2 7 2 2" xfId="15189" xr:uid="{E804F1D2-354D-4FEC-AF5B-BE412218C6A4}"/>
    <cellStyle name="Normal 2 4 2 4 2 7 3" xfId="10971" xr:uid="{C1CA14F9-2C07-40AA-B123-1F0DC8129EC5}"/>
    <cellStyle name="Normal 2 4 2 4 2 8" xfId="4684" xr:uid="{00000000-0005-0000-0000-00005E0F0000}"/>
    <cellStyle name="Normal 2 4 2 4 2 8 2" xfId="13123" xr:uid="{6CA52C16-042A-4DC9-9E63-25F1FC65DD82}"/>
    <cellStyle name="Normal 2 4 2 4 2 9" xfId="8905" xr:uid="{A14F3C8E-62A5-4BF4-B445-27DCCEE1507D}"/>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89387982-B21A-438D-89A3-659F639F38B4}"/>
    <cellStyle name="Normal 2 4 2 4 3 2 2 3" xfId="11466" xr:uid="{13370D92-EC3F-48EA-B4AA-A0866696C537}"/>
    <cellStyle name="Normal 2 4 2 4 3 2 3" xfId="5100" xr:uid="{00000000-0005-0000-0000-0000630F0000}"/>
    <cellStyle name="Normal 2 4 2 4 3 2 3 2" xfId="13539" xr:uid="{B9679C23-594E-4D4E-A83E-706CDEEE0183}"/>
    <cellStyle name="Normal 2 4 2 4 3 2 4" xfId="9321" xr:uid="{633DCAA6-519C-45A1-94DA-643ABD8A66C7}"/>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1F216C9E-CF12-4819-A437-1930E30599F7}"/>
    <cellStyle name="Normal 2 4 2 4 3 3 2 3" xfId="11879" xr:uid="{E1788089-C73C-4E75-9932-54C724E3B539}"/>
    <cellStyle name="Normal 2 4 2 4 3 3 3" xfId="5513" xr:uid="{00000000-0005-0000-0000-0000670F0000}"/>
    <cellStyle name="Normal 2 4 2 4 3 3 3 2" xfId="13952" xr:uid="{F4EF9DB2-04ED-4CA7-818E-1F8C3E75CD95}"/>
    <cellStyle name="Normal 2 4 2 4 3 3 4" xfId="9734" xr:uid="{193EDE52-4C08-45B6-8904-D80F4DC3226E}"/>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D09D822D-9C6A-4B44-89B2-CADE1FABF445}"/>
    <cellStyle name="Normal 2 4 2 4 3 4 2 3" xfId="12292" xr:uid="{63A32D9D-7368-4AC8-AF6B-FA40C4123B4C}"/>
    <cellStyle name="Normal 2 4 2 4 3 4 3" xfId="5926" xr:uid="{00000000-0005-0000-0000-00006B0F0000}"/>
    <cellStyle name="Normal 2 4 2 4 3 4 3 2" xfId="14365" xr:uid="{30FA790E-1101-4B21-AD73-86320B5C4131}"/>
    <cellStyle name="Normal 2 4 2 4 3 4 4" xfId="10147" xr:uid="{D87DB052-18C8-42B7-8FF3-6AB78230C2EE}"/>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98F52264-50CA-4299-9D34-8FEC9039560B}"/>
    <cellStyle name="Normal 2 4 2 4 3 5 2 3" xfId="12705" xr:uid="{15D7B9E3-F282-49BF-96C1-8CDDF6AD2C39}"/>
    <cellStyle name="Normal 2 4 2 4 3 5 3" xfId="6339" xr:uid="{00000000-0005-0000-0000-00006F0F0000}"/>
    <cellStyle name="Normal 2 4 2 4 3 5 3 2" xfId="14778" xr:uid="{6964D197-1712-46E6-9D05-53A0EBE0D6B9}"/>
    <cellStyle name="Normal 2 4 2 4 3 5 4" xfId="10560" xr:uid="{D148D215-1C77-4471-8188-2A22EEF38F7C}"/>
    <cellStyle name="Normal 2 4 2 4 3 6" xfId="2468" xr:uid="{00000000-0005-0000-0000-0000700F0000}"/>
    <cellStyle name="Normal 2 4 2 4 3 6 2" xfId="6752" xr:uid="{00000000-0005-0000-0000-0000710F0000}"/>
    <cellStyle name="Normal 2 4 2 4 3 6 2 2" xfId="15191" xr:uid="{658D8748-F950-49BE-97EB-371872974410}"/>
    <cellStyle name="Normal 2 4 2 4 3 6 3" xfId="10973" xr:uid="{7AAAAF57-A934-415C-B30E-299FF4794CEC}"/>
    <cellStyle name="Normal 2 4 2 4 3 7" xfId="4686" xr:uid="{00000000-0005-0000-0000-0000720F0000}"/>
    <cellStyle name="Normal 2 4 2 4 3 7 2" xfId="13125" xr:uid="{CEF84BCC-E41E-4C00-841C-13C5600B5B92}"/>
    <cellStyle name="Normal 2 4 2 4 3 8" xfId="8907" xr:uid="{6BEDA46F-50F4-49FA-87D7-95A99DC83FC6}"/>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C4E7F00C-4799-410C-B1C4-86E3A0CB1DEE}"/>
    <cellStyle name="Normal 2 4 2 4 4 2 3" xfId="11463" xr:uid="{E53CB0A5-AE88-43CC-A4D9-7F7AFB1113C2}"/>
    <cellStyle name="Normal 2 4 2 4 4 3" xfId="5097" xr:uid="{00000000-0005-0000-0000-0000760F0000}"/>
    <cellStyle name="Normal 2 4 2 4 4 3 2" xfId="13536" xr:uid="{7983C6C4-E2A6-4851-BCF5-21A22F0D9668}"/>
    <cellStyle name="Normal 2 4 2 4 4 4" xfId="9318" xr:uid="{FF584C2A-7A69-4780-9F9B-98F7AEE1946C}"/>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69CA2561-624E-482B-B1F4-1F520E6745EF}"/>
    <cellStyle name="Normal 2 4 2 4 5 2 3" xfId="11876" xr:uid="{A28CA908-0603-4F70-BC3B-3491C5BAA65D}"/>
    <cellStyle name="Normal 2 4 2 4 5 3" xfId="5510" xr:uid="{00000000-0005-0000-0000-00007A0F0000}"/>
    <cellStyle name="Normal 2 4 2 4 5 3 2" xfId="13949" xr:uid="{AB5F36AC-3804-426C-A191-0D675E277869}"/>
    <cellStyle name="Normal 2 4 2 4 5 4" xfId="9731" xr:uid="{D7CC259F-3DE3-41CA-B0D2-A3221F836F64}"/>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D1481A87-BC0E-4F62-BC99-C475A280807E}"/>
    <cellStyle name="Normal 2 4 2 4 6 2 3" xfId="12289" xr:uid="{DD431E6F-5644-4BAD-932E-E3CD32A9B024}"/>
    <cellStyle name="Normal 2 4 2 4 6 3" xfId="5923" xr:uid="{00000000-0005-0000-0000-00007E0F0000}"/>
    <cellStyle name="Normal 2 4 2 4 6 3 2" xfId="14362" xr:uid="{A53E76E6-2992-4BB9-AF15-7B817D1639FE}"/>
    <cellStyle name="Normal 2 4 2 4 6 4" xfId="10144" xr:uid="{9D7EB1FC-2EEE-46B8-AFDD-10D193BE673B}"/>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D8BBE5F5-2324-4B69-BCAD-A36CAB985D35}"/>
    <cellStyle name="Normal 2 4 2 4 7 2 3" xfId="12702" xr:uid="{310EFD94-648A-499B-8382-8316F658394F}"/>
    <cellStyle name="Normal 2 4 2 4 7 3" xfId="6336" xr:uid="{00000000-0005-0000-0000-0000820F0000}"/>
    <cellStyle name="Normal 2 4 2 4 7 3 2" xfId="14775" xr:uid="{C27A9321-445B-4615-859A-1A8A100981AD}"/>
    <cellStyle name="Normal 2 4 2 4 7 4" xfId="10557" xr:uid="{7BA13397-EB65-47EC-817C-C93500D1AFAA}"/>
    <cellStyle name="Normal 2 4 2 4 8" xfId="2465" xr:uid="{00000000-0005-0000-0000-0000830F0000}"/>
    <cellStyle name="Normal 2 4 2 4 8 2" xfId="6749" xr:uid="{00000000-0005-0000-0000-0000840F0000}"/>
    <cellStyle name="Normal 2 4 2 4 8 2 2" xfId="15188" xr:uid="{2665220A-3462-4E4C-BE3A-40BE2EE24D74}"/>
    <cellStyle name="Normal 2 4 2 4 8 3" xfId="10970" xr:uid="{3AB4F059-5A80-49DD-8A68-95CB7D0FB747}"/>
    <cellStyle name="Normal 2 4 2 4 9" xfId="4683" xr:uid="{00000000-0005-0000-0000-0000850F0000}"/>
    <cellStyle name="Normal 2 4 2 4 9 2" xfId="13122" xr:uid="{18B787C1-88EC-4E26-AA34-F09C0D0B6895}"/>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7FAC4A9F-9498-4A39-8FAE-307A93A62145}"/>
    <cellStyle name="Normal 2 4 2 5 2 2 2 3" xfId="11468" xr:uid="{F72911DD-EB22-4B17-9C01-45477BF23E8B}"/>
    <cellStyle name="Normal 2 4 2 5 2 2 3" xfId="5102" xr:uid="{00000000-0005-0000-0000-00008B0F0000}"/>
    <cellStyle name="Normal 2 4 2 5 2 2 3 2" xfId="13541" xr:uid="{F85C763C-9C15-4BF2-A8CF-9120EB6F6EA8}"/>
    <cellStyle name="Normal 2 4 2 5 2 2 4" xfId="9323" xr:uid="{20AA2801-97CE-4A31-BEC9-D83DA1160BBC}"/>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A9CE5830-5FD6-402D-9D55-D995AE5384CD}"/>
    <cellStyle name="Normal 2 4 2 5 2 3 2 3" xfId="11881" xr:uid="{864B2936-3037-4A33-A800-DA725321F25D}"/>
    <cellStyle name="Normal 2 4 2 5 2 3 3" xfId="5515" xr:uid="{00000000-0005-0000-0000-00008F0F0000}"/>
    <cellStyle name="Normal 2 4 2 5 2 3 3 2" xfId="13954" xr:uid="{F16D42E8-4FBC-4D59-AD90-9CCE736B7A48}"/>
    <cellStyle name="Normal 2 4 2 5 2 3 4" xfId="9736" xr:uid="{7C1E44F3-694B-48C2-A345-F40523E9129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D75A8200-7B92-4A15-8616-5BEB7CEE21E2}"/>
    <cellStyle name="Normal 2 4 2 5 2 4 2 3" xfId="12294" xr:uid="{0173F68A-A4C8-4372-B96F-7F5B7B134F81}"/>
    <cellStyle name="Normal 2 4 2 5 2 4 3" xfId="5928" xr:uid="{00000000-0005-0000-0000-0000930F0000}"/>
    <cellStyle name="Normal 2 4 2 5 2 4 3 2" xfId="14367" xr:uid="{C577A4DB-FB4B-40C7-9BF1-7774683870E9}"/>
    <cellStyle name="Normal 2 4 2 5 2 4 4" xfId="10149" xr:uid="{AFFADDC6-2C4D-462D-802D-15431190565C}"/>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6B4C1F65-A951-42D9-B182-0AA56BB0554A}"/>
    <cellStyle name="Normal 2 4 2 5 2 5 2 3" xfId="12707" xr:uid="{6BBDF357-6844-4611-9FC6-E78B8E28526E}"/>
    <cellStyle name="Normal 2 4 2 5 2 5 3" xfId="6341" xr:uid="{00000000-0005-0000-0000-0000970F0000}"/>
    <cellStyle name="Normal 2 4 2 5 2 5 3 2" xfId="14780" xr:uid="{0F4B1179-0888-4E06-BAB6-949C2D917574}"/>
    <cellStyle name="Normal 2 4 2 5 2 5 4" xfId="10562" xr:uid="{CAFBEE58-C166-4703-83E1-0B626B38EEE6}"/>
    <cellStyle name="Normal 2 4 2 5 2 6" xfId="2470" xr:uid="{00000000-0005-0000-0000-0000980F0000}"/>
    <cellStyle name="Normal 2 4 2 5 2 6 2" xfId="6754" xr:uid="{00000000-0005-0000-0000-0000990F0000}"/>
    <cellStyle name="Normal 2 4 2 5 2 6 2 2" xfId="15193" xr:uid="{08D58CAF-ADE5-44A0-BA31-DE11F8834D28}"/>
    <cellStyle name="Normal 2 4 2 5 2 6 3" xfId="10975" xr:uid="{7D8A5044-AA0D-4E3C-A4D7-848D410B62B7}"/>
    <cellStyle name="Normal 2 4 2 5 2 7" xfId="4688" xr:uid="{00000000-0005-0000-0000-00009A0F0000}"/>
    <cellStyle name="Normal 2 4 2 5 2 7 2" xfId="13127" xr:uid="{A5D43974-EE9E-4784-9E65-6CEA66464E5A}"/>
    <cellStyle name="Normal 2 4 2 5 2 8" xfId="8909" xr:uid="{7F6CF4D6-C49E-4D1C-A4A8-DBAD194A8A15}"/>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37A67ADF-42C6-4338-981A-1551FD22BDBB}"/>
    <cellStyle name="Normal 2 4 2 5 3 2 3" xfId="11467" xr:uid="{18B6AD35-4314-42FC-86BD-0F7D206EDAFD}"/>
    <cellStyle name="Normal 2 4 2 5 3 3" xfId="5101" xr:uid="{00000000-0005-0000-0000-00009E0F0000}"/>
    <cellStyle name="Normal 2 4 2 5 3 3 2" xfId="13540" xr:uid="{62E8B48E-2B16-495C-BC37-467D033D20FF}"/>
    <cellStyle name="Normal 2 4 2 5 3 4" xfId="9322" xr:uid="{58EBA8E7-2878-4475-93AE-F193E6D29105}"/>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85A25FF8-0280-494C-BB0C-27395DFD22A2}"/>
    <cellStyle name="Normal 2 4 2 5 4 2 3" xfId="11880" xr:uid="{28AA5409-E0C6-4A12-816C-E564FD34A7C2}"/>
    <cellStyle name="Normal 2 4 2 5 4 3" xfId="5514" xr:uid="{00000000-0005-0000-0000-0000A20F0000}"/>
    <cellStyle name="Normal 2 4 2 5 4 3 2" xfId="13953" xr:uid="{161EBED6-037A-4F82-88D2-A6BCDD6E1D84}"/>
    <cellStyle name="Normal 2 4 2 5 4 4" xfId="9735" xr:uid="{E1140E03-07FF-41D6-BF31-734D2DF7CE9F}"/>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ECF5B1D5-593D-4412-BBBE-B6777E9933AE}"/>
    <cellStyle name="Normal 2 4 2 5 5 2 3" xfId="12293" xr:uid="{D1676308-4698-4710-B7C1-74F7CCC9A988}"/>
    <cellStyle name="Normal 2 4 2 5 5 3" xfId="5927" xr:uid="{00000000-0005-0000-0000-0000A60F0000}"/>
    <cellStyle name="Normal 2 4 2 5 5 3 2" xfId="14366" xr:uid="{46446636-3817-4579-9595-AD52F9E3AAEF}"/>
    <cellStyle name="Normal 2 4 2 5 5 4" xfId="10148" xr:uid="{12183DA7-E798-4D9F-ABEE-7C1498AF97B5}"/>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25D222C4-1C07-409C-BBEA-DA0076A61E06}"/>
    <cellStyle name="Normal 2 4 2 5 6 2 3" xfId="12706" xr:uid="{898D2574-338C-493B-ACE2-6CD1ED1EF80C}"/>
    <cellStyle name="Normal 2 4 2 5 6 3" xfId="6340" xr:uid="{00000000-0005-0000-0000-0000AA0F0000}"/>
    <cellStyle name="Normal 2 4 2 5 6 3 2" xfId="14779" xr:uid="{74438F4B-C727-4119-945C-111348CCAE7E}"/>
    <cellStyle name="Normal 2 4 2 5 6 4" xfId="10561" xr:uid="{05BD991F-74FA-48E1-BC45-7E8F1F39DA70}"/>
    <cellStyle name="Normal 2 4 2 5 7" xfId="2469" xr:uid="{00000000-0005-0000-0000-0000AB0F0000}"/>
    <cellStyle name="Normal 2 4 2 5 7 2" xfId="6753" xr:uid="{00000000-0005-0000-0000-0000AC0F0000}"/>
    <cellStyle name="Normal 2 4 2 5 7 2 2" xfId="15192" xr:uid="{A59416B4-FC6E-49F5-A7B7-7F94218642A6}"/>
    <cellStyle name="Normal 2 4 2 5 7 3" xfId="10974" xr:uid="{25792AB0-E6F4-4FC7-8F0F-F3D0DBFAF4A3}"/>
    <cellStyle name="Normal 2 4 2 5 8" xfId="4687" xr:uid="{00000000-0005-0000-0000-0000AD0F0000}"/>
    <cellStyle name="Normal 2 4 2 5 8 2" xfId="13126" xr:uid="{95D7A502-2D51-4BB4-8A68-166D95939484}"/>
    <cellStyle name="Normal 2 4 2 5 9" xfId="8908" xr:uid="{B41FCFF6-F040-4988-B231-D9D480E59EE5}"/>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21CEF153-A8C4-47B8-AF4F-1E85862EE2FD}"/>
    <cellStyle name="Normal 2 4 2 6 2 2 3" xfId="11469" xr:uid="{B6EB4069-8D16-4E32-ADD8-4F6766203798}"/>
    <cellStyle name="Normal 2 4 2 6 2 3" xfId="5103" xr:uid="{00000000-0005-0000-0000-0000B20F0000}"/>
    <cellStyle name="Normal 2 4 2 6 2 3 2" xfId="13542" xr:uid="{78D4BB4A-C18A-4A27-AC48-29A85C5F066B}"/>
    <cellStyle name="Normal 2 4 2 6 2 4" xfId="9324" xr:uid="{569C09F4-BA7B-44C3-BFFE-511C35BB3338}"/>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D27213F2-BADE-4E4D-91CA-9C83D92BF4A7}"/>
    <cellStyle name="Normal 2 4 2 6 3 2 3" xfId="11882" xr:uid="{180A1F05-5322-4513-9BE7-EF82071EDC7C}"/>
    <cellStyle name="Normal 2 4 2 6 3 3" xfId="5516" xr:uid="{00000000-0005-0000-0000-0000B60F0000}"/>
    <cellStyle name="Normal 2 4 2 6 3 3 2" xfId="13955" xr:uid="{F71306BD-E5EA-444D-822E-3926CA29AA5D}"/>
    <cellStyle name="Normal 2 4 2 6 3 4" xfId="9737" xr:uid="{AA7669C4-91C2-417A-AE50-7E3257474F4B}"/>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20780416-F14E-424A-A487-00F2AF347357}"/>
    <cellStyle name="Normal 2 4 2 6 4 2 3" xfId="12295" xr:uid="{BB60BE22-B151-48C3-95F0-0ADC714FBC4D}"/>
    <cellStyle name="Normal 2 4 2 6 4 3" xfId="5929" xr:uid="{00000000-0005-0000-0000-0000BA0F0000}"/>
    <cellStyle name="Normal 2 4 2 6 4 3 2" xfId="14368" xr:uid="{D6040C3E-6D53-466D-ACE0-A84F7A4AFA90}"/>
    <cellStyle name="Normal 2 4 2 6 4 4" xfId="10150" xr:uid="{72E2C371-2547-4B3C-AD6D-9462A2E2B8B0}"/>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9AA958BD-4EFC-49A2-92A4-DEA7DA42A102}"/>
    <cellStyle name="Normal 2 4 2 6 5 2 3" xfId="12708" xr:uid="{CC9137A0-9CA3-4B9B-AA16-FE656AC6FD4C}"/>
    <cellStyle name="Normal 2 4 2 6 5 3" xfId="6342" xr:uid="{00000000-0005-0000-0000-0000BE0F0000}"/>
    <cellStyle name="Normal 2 4 2 6 5 3 2" xfId="14781" xr:uid="{7163885D-542F-4866-84EA-9B6FC26F960B}"/>
    <cellStyle name="Normal 2 4 2 6 5 4" xfId="10563" xr:uid="{F5B151CF-A0F1-44D7-927C-14CE2052337A}"/>
    <cellStyle name="Normal 2 4 2 6 6" xfId="2471" xr:uid="{00000000-0005-0000-0000-0000BF0F0000}"/>
    <cellStyle name="Normal 2 4 2 6 6 2" xfId="6755" xr:uid="{00000000-0005-0000-0000-0000C00F0000}"/>
    <cellStyle name="Normal 2 4 2 6 6 2 2" xfId="15194" xr:uid="{2860E744-D89C-4B86-8A01-D870910FADD4}"/>
    <cellStyle name="Normal 2 4 2 6 6 3" xfId="10976" xr:uid="{4D5A8E68-8F59-4DB6-925A-D67E5386E71D}"/>
    <cellStyle name="Normal 2 4 2 6 7" xfId="4689" xr:uid="{00000000-0005-0000-0000-0000C10F0000}"/>
    <cellStyle name="Normal 2 4 2 6 7 2" xfId="13128" xr:uid="{2770597A-3CFD-4A70-B78B-3B8099BE9286}"/>
    <cellStyle name="Normal 2 4 2 6 8" xfId="8910" xr:uid="{86E7CC29-1228-4AF0-A593-AC485E049E28}"/>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2C5A0867-9C8B-4387-A61F-3F684FF42520}"/>
    <cellStyle name="Normal 2 4 2 7 2 3" xfId="11454" xr:uid="{4BCFE813-810D-4BB1-8407-C5089B26FF6F}"/>
    <cellStyle name="Normal 2 4 2 7 3" xfId="5088" xr:uid="{00000000-0005-0000-0000-0000C50F0000}"/>
    <cellStyle name="Normal 2 4 2 7 3 2" xfId="13527" xr:uid="{2F72E5C6-5EDB-47AF-9F79-C5F599AB2831}"/>
    <cellStyle name="Normal 2 4 2 7 4" xfId="9309" xr:uid="{9A2D02A6-D099-4F30-9886-5889846B81BC}"/>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76A667BC-08CF-4920-953F-907CAE881A02}"/>
    <cellStyle name="Normal 2 4 2 8 2 3" xfId="11867" xr:uid="{9D3FDDF1-42CA-4A62-AF57-B051D1F265A1}"/>
    <cellStyle name="Normal 2 4 2 8 3" xfId="5501" xr:uid="{00000000-0005-0000-0000-0000C90F0000}"/>
    <cellStyle name="Normal 2 4 2 8 3 2" xfId="13940" xr:uid="{8880E870-4E28-42E2-BEA0-D9180E6A397F}"/>
    <cellStyle name="Normal 2 4 2 8 4" xfId="9722" xr:uid="{51F2DB13-625E-4CE6-B32A-857FC117C34C}"/>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6CDA821A-A208-44ED-816C-1785C6ED316C}"/>
    <cellStyle name="Normal 2 4 2 9 2 3" xfId="12280" xr:uid="{B96E8582-B394-4E2C-9043-9635238DAB4C}"/>
    <cellStyle name="Normal 2 4 2 9 3" xfId="5914" xr:uid="{00000000-0005-0000-0000-0000CD0F0000}"/>
    <cellStyle name="Normal 2 4 2 9 3 2" xfId="14353" xr:uid="{838E2266-1D17-4BD2-A72F-26E49B3D06B1}"/>
    <cellStyle name="Normal 2 4 2 9 4" xfId="10135" xr:uid="{4DF86678-C893-49E0-BBB0-402C0D1E3776}"/>
    <cellStyle name="Normal 2 4 3" xfId="296" xr:uid="{00000000-0005-0000-0000-0000CE0F0000}"/>
    <cellStyle name="Normal 2 4 3 10" xfId="8911" xr:uid="{A2A3D0D8-9CFD-4941-AFC2-9D30C0CF70BE}"/>
    <cellStyle name="Normal 2 4 3 2" xfId="297" xr:uid="{00000000-0005-0000-0000-0000CF0F0000}"/>
    <cellStyle name="Normal 2 4 3 3" xfId="298" xr:uid="{00000000-0005-0000-0000-0000D00F0000}"/>
    <cellStyle name="Normal 2 4 3 3 10" xfId="8912" xr:uid="{48E5AEAD-8547-4FFD-8818-9AD6A809FBE4}"/>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ACC72287-4FA3-49F9-8E20-8003E597CCF9}"/>
    <cellStyle name="Normal 2 4 3 3 2 2 2 2 3" xfId="11473" xr:uid="{2E42D2BE-BF9B-4E6D-B98E-8397EF47BE14}"/>
    <cellStyle name="Normal 2 4 3 3 2 2 2 3" xfId="5107" xr:uid="{00000000-0005-0000-0000-0000D60F0000}"/>
    <cellStyle name="Normal 2 4 3 3 2 2 2 3 2" xfId="13546" xr:uid="{454DF16B-DEC8-42E2-BC3D-0B65A75EBB3D}"/>
    <cellStyle name="Normal 2 4 3 3 2 2 2 4" xfId="9328" xr:uid="{5769DE88-A47A-475E-AD9F-806071CBFD98}"/>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2AA74B60-0A3B-47F4-A070-39AD8AA3F4DC}"/>
    <cellStyle name="Normal 2 4 3 3 2 2 3 2 3" xfId="11886" xr:uid="{8AF89563-8F6B-43D3-B86E-57DAEF292D9B}"/>
    <cellStyle name="Normal 2 4 3 3 2 2 3 3" xfId="5520" xr:uid="{00000000-0005-0000-0000-0000DA0F0000}"/>
    <cellStyle name="Normal 2 4 3 3 2 2 3 3 2" xfId="13959" xr:uid="{A7CAEA88-AED0-42F0-B9B9-E387B15DC427}"/>
    <cellStyle name="Normal 2 4 3 3 2 2 3 4" xfId="9741" xr:uid="{202CE907-0FD8-40AC-8B3C-FB29AE7877E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BBF11BD0-1A56-4E3B-8C4D-83176D0433C7}"/>
    <cellStyle name="Normal 2 4 3 3 2 2 4 2 3" xfId="12299" xr:uid="{F2FACC7B-F128-4362-A2EA-ED61984974FA}"/>
    <cellStyle name="Normal 2 4 3 3 2 2 4 3" xfId="5933" xr:uid="{00000000-0005-0000-0000-0000DE0F0000}"/>
    <cellStyle name="Normal 2 4 3 3 2 2 4 3 2" xfId="14372" xr:uid="{776C3621-86FF-49E1-9E51-C588C85581D9}"/>
    <cellStyle name="Normal 2 4 3 3 2 2 4 4" xfId="10154" xr:uid="{FAB50F84-7921-4A95-89AB-008C6634FA42}"/>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EA630E5E-EEE7-4FFA-9CB5-B3897082A3C7}"/>
    <cellStyle name="Normal 2 4 3 3 2 2 5 2 3" xfId="12712" xr:uid="{FB59B6C8-C990-42C9-93D7-57075B30ED47}"/>
    <cellStyle name="Normal 2 4 3 3 2 2 5 3" xfId="6346" xr:uid="{00000000-0005-0000-0000-0000E20F0000}"/>
    <cellStyle name="Normal 2 4 3 3 2 2 5 3 2" xfId="14785" xr:uid="{5303EA19-A04A-4F2A-87FA-E0E334CD9BEE}"/>
    <cellStyle name="Normal 2 4 3 3 2 2 5 4" xfId="10567" xr:uid="{643211E5-4AA2-4EA2-AA8A-EC58EA000F6C}"/>
    <cellStyle name="Normal 2 4 3 3 2 2 6" xfId="2475" xr:uid="{00000000-0005-0000-0000-0000E30F0000}"/>
    <cellStyle name="Normal 2 4 3 3 2 2 6 2" xfId="6759" xr:uid="{00000000-0005-0000-0000-0000E40F0000}"/>
    <cellStyle name="Normal 2 4 3 3 2 2 6 2 2" xfId="15198" xr:uid="{A1344CFA-9081-4A6D-A61C-765999102B33}"/>
    <cellStyle name="Normal 2 4 3 3 2 2 6 3" xfId="10980" xr:uid="{51D1BD75-0F02-42AA-ADDB-6F472E7007E8}"/>
    <cellStyle name="Normal 2 4 3 3 2 2 7" xfId="4693" xr:uid="{00000000-0005-0000-0000-0000E50F0000}"/>
    <cellStyle name="Normal 2 4 3 3 2 2 7 2" xfId="13132" xr:uid="{A051B8B9-67C4-49F8-A35A-A755BC7F7D47}"/>
    <cellStyle name="Normal 2 4 3 3 2 2 8" xfId="8914" xr:uid="{38D5FB66-187D-4AB0-BE63-E2A8C1791C45}"/>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B75B4820-5C24-4B14-A2C2-4C2B3872AC05}"/>
    <cellStyle name="Normal 2 4 3 3 2 3 2 3" xfId="11472" xr:uid="{035E661A-D3CE-46FD-ADF8-946DDD0AE68F}"/>
    <cellStyle name="Normal 2 4 3 3 2 3 3" xfId="5106" xr:uid="{00000000-0005-0000-0000-0000E90F0000}"/>
    <cellStyle name="Normal 2 4 3 3 2 3 3 2" xfId="13545" xr:uid="{09DFA408-02DE-455A-9B29-35874229FF1F}"/>
    <cellStyle name="Normal 2 4 3 3 2 3 4" xfId="9327" xr:uid="{19C2770C-8343-4D53-A548-BFDE56A2D6C6}"/>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2159C2DE-00FE-4415-8252-C804F1E33A6D}"/>
    <cellStyle name="Normal 2 4 3 3 2 4 2 3" xfId="11885" xr:uid="{353E080F-FCC0-4091-9B71-5CF5369BE58F}"/>
    <cellStyle name="Normal 2 4 3 3 2 4 3" xfId="5519" xr:uid="{00000000-0005-0000-0000-0000ED0F0000}"/>
    <cellStyle name="Normal 2 4 3 3 2 4 3 2" xfId="13958" xr:uid="{4571428E-1DCC-473D-94C1-BBB15FD59888}"/>
    <cellStyle name="Normal 2 4 3 3 2 4 4" xfId="9740" xr:uid="{3C390A2E-4248-4187-BF7D-9B54822F206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ADB105A6-42BE-4931-A15C-853CAE6E39E9}"/>
    <cellStyle name="Normal 2 4 3 3 2 5 2 3" xfId="12298" xr:uid="{2D82516B-84E1-4D6E-AA86-D424CA139EA5}"/>
    <cellStyle name="Normal 2 4 3 3 2 5 3" xfId="5932" xr:uid="{00000000-0005-0000-0000-0000F10F0000}"/>
    <cellStyle name="Normal 2 4 3 3 2 5 3 2" xfId="14371" xr:uid="{85149C55-4A22-4F1F-8CC8-954DB6584B4C}"/>
    <cellStyle name="Normal 2 4 3 3 2 5 4" xfId="10153" xr:uid="{4B41B375-F38C-4F9F-ABBC-342AB114E73E}"/>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198B5AD9-1FB3-4C0D-A683-0E41EE8CFA4C}"/>
    <cellStyle name="Normal 2 4 3 3 2 6 2 3" xfId="12711" xr:uid="{F914BEC8-6B7F-41B0-8497-8A8E02BCC506}"/>
    <cellStyle name="Normal 2 4 3 3 2 6 3" xfId="6345" xr:uid="{00000000-0005-0000-0000-0000F50F0000}"/>
    <cellStyle name="Normal 2 4 3 3 2 6 3 2" xfId="14784" xr:uid="{A58BE983-999A-447F-8707-A038847A10DB}"/>
    <cellStyle name="Normal 2 4 3 3 2 6 4" xfId="10566" xr:uid="{93D07BE6-311E-4794-BD3D-59E16B132265}"/>
    <cellStyle name="Normal 2 4 3 3 2 7" xfId="2474" xr:uid="{00000000-0005-0000-0000-0000F60F0000}"/>
    <cellStyle name="Normal 2 4 3 3 2 7 2" xfId="6758" xr:uid="{00000000-0005-0000-0000-0000F70F0000}"/>
    <cellStyle name="Normal 2 4 3 3 2 7 2 2" xfId="15197" xr:uid="{E24C5CBF-57CD-4D60-9EEE-2EE640BA2F61}"/>
    <cellStyle name="Normal 2 4 3 3 2 7 3" xfId="10979" xr:uid="{2F36A214-3166-4729-937D-947B71C9A29B}"/>
    <cellStyle name="Normal 2 4 3 3 2 8" xfId="4692" xr:uid="{00000000-0005-0000-0000-0000F80F0000}"/>
    <cellStyle name="Normal 2 4 3 3 2 8 2" xfId="13131" xr:uid="{760E60B8-7EA0-4CDD-86BD-BC400D48DAD0}"/>
    <cellStyle name="Normal 2 4 3 3 2 9" xfId="8913" xr:uid="{2247A8FD-52FD-4912-98B1-0C6EF80CA39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863E9B88-4CBF-43C2-AD96-96B8AA89FE6F}"/>
    <cellStyle name="Normal 2 4 3 3 3 2 2 3" xfId="11474" xr:uid="{8D8A3117-53E1-4FD4-82D7-4E9A68044387}"/>
    <cellStyle name="Normal 2 4 3 3 3 2 3" xfId="5108" xr:uid="{00000000-0005-0000-0000-0000FD0F0000}"/>
    <cellStyle name="Normal 2 4 3 3 3 2 3 2" xfId="13547" xr:uid="{54AD5ADB-A906-4174-9718-6A3F93586868}"/>
    <cellStyle name="Normal 2 4 3 3 3 2 4" xfId="9329" xr:uid="{148B9702-4448-4615-8AA4-4D5A4D4C7F54}"/>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023DB9EF-073F-4AF5-8979-FF1BE25D8812}"/>
    <cellStyle name="Normal 2 4 3 3 3 3 2 3" xfId="11887" xr:uid="{258BAF54-ECD0-49AC-B589-34CE70F0B91D}"/>
    <cellStyle name="Normal 2 4 3 3 3 3 3" xfId="5521" xr:uid="{00000000-0005-0000-0000-000001100000}"/>
    <cellStyle name="Normal 2 4 3 3 3 3 3 2" xfId="13960" xr:uid="{ECD3E65B-612A-4458-914B-14D703746C74}"/>
    <cellStyle name="Normal 2 4 3 3 3 3 4" xfId="9742" xr:uid="{0E640798-B8B3-465E-A8FE-D09BD900C106}"/>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58ABC347-EE0F-4BAD-9EC2-77654A6A43A0}"/>
    <cellStyle name="Normal 2 4 3 3 3 4 2 3" xfId="12300" xr:uid="{0395BFE8-B3C9-40BF-8E6E-CA8A43DE5055}"/>
    <cellStyle name="Normal 2 4 3 3 3 4 3" xfId="5934" xr:uid="{00000000-0005-0000-0000-000005100000}"/>
    <cellStyle name="Normal 2 4 3 3 3 4 3 2" xfId="14373" xr:uid="{A2A4C9B8-92A9-40E5-83A9-AF3BBE9E307A}"/>
    <cellStyle name="Normal 2 4 3 3 3 4 4" xfId="10155" xr:uid="{61CB40C3-18FF-4849-9DFB-89C627C3C035}"/>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49CFE66C-82BD-43F5-90B9-56EA4540EC57}"/>
    <cellStyle name="Normal 2 4 3 3 3 5 2 3" xfId="12713" xr:uid="{45D805CB-A8E0-4DD5-9F98-2647F3C8088F}"/>
    <cellStyle name="Normal 2 4 3 3 3 5 3" xfId="6347" xr:uid="{00000000-0005-0000-0000-000009100000}"/>
    <cellStyle name="Normal 2 4 3 3 3 5 3 2" xfId="14786" xr:uid="{35DA1680-A098-4C97-9E52-7F3CEB098610}"/>
    <cellStyle name="Normal 2 4 3 3 3 5 4" xfId="10568" xr:uid="{0E45301D-B0D8-426C-97B5-575608D44C0A}"/>
    <cellStyle name="Normal 2 4 3 3 3 6" xfId="2476" xr:uid="{00000000-0005-0000-0000-00000A100000}"/>
    <cellStyle name="Normal 2 4 3 3 3 6 2" xfId="6760" xr:uid="{00000000-0005-0000-0000-00000B100000}"/>
    <cellStyle name="Normal 2 4 3 3 3 6 2 2" xfId="15199" xr:uid="{EBB844F5-12E4-42FD-8687-939D647B1E4B}"/>
    <cellStyle name="Normal 2 4 3 3 3 6 3" xfId="10981" xr:uid="{4EC71017-D84C-4303-8FE3-8728AF4B150B}"/>
    <cellStyle name="Normal 2 4 3 3 3 7" xfId="4694" xr:uid="{00000000-0005-0000-0000-00000C100000}"/>
    <cellStyle name="Normal 2 4 3 3 3 7 2" xfId="13133" xr:uid="{A347BCDF-7DA7-4137-A48D-BDF350D2456F}"/>
    <cellStyle name="Normal 2 4 3 3 3 8" xfId="8915" xr:uid="{C971C777-A1DA-4F77-BD52-67B2F610B148}"/>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B9CB9555-A487-404E-971F-00E210D86817}"/>
    <cellStyle name="Normal 2 4 3 3 4 2 3" xfId="11471" xr:uid="{7BDC163B-14CF-4FE9-BAE9-006B37EC37B7}"/>
    <cellStyle name="Normal 2 4 3 3 4 3" xfId="5105" xr:uid="{00000000-0005-0000-0000-000010100000}"/>
    <cellStyle name="Normal 2 4 3 3 4 3 2" xfId="13544" xr:uid="{B010FF09-C815-46BB-A5FA-AC516943B4F5}"/>
    <cellStyle name="Normal 2 4 3 3 4 4" xfId="9326" xr:uid="{2F840D1F-C555-438A-A4F4-543DE6ED6C6F}"/>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BCBBE7BE-F2B6-4CD5-AE80-8B53D4004558}"/>
    <cellStyle name="Normal 2 4 3 3 5 2 3" xfId="11884" xr:uid="{FA67FB77-4FF1-4296-954D-093F02E980FE}"/>
    <cellStyle name="Normal 2 4 3 3 5 3" xfId="5518" xr:uid="{00000000-0005-0000-0000-000014100000}"/>
    <cellStyle name="Normal 2 4 3 3 5 3 2" xfId="13957" xr:uid="{0CC2308B-A64E-4326-A69E-8B6E062159B5}"/>
    <cellStyle name="Normal 2 4 3 3 5 4" xfId="9739" xr:uid="{E042FD42-E49D-4853-8C24-251BD2DA10FB}"/>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07E92DC8-F8F3-4CA3-9465-0D082186D44B}"/>
    <cellStyle name="Normal 2 4 3 3 6 2 3" xfId="12297" xr:uid="{E45DA06B-0FE3-416A-B70B-029E98AC65C2}"/>
    <cellStyle name="Normal 2 4 3 3 6 3" xfId="5931" xr:uid="{00000000-0005-0000-0000-000018100000}"/>
    <cellStyle name="Normal 2 4 3 3 6 3 2" xfId="14370" xr:uid="{1D786CC6-BD68-4757-B238-4AF91F4538B9}"/>
    <cellStyle name="Normal 2 4 3 3 6 4" xfId="10152" xr:uid="{EE2B6C72-7C56-4D8A-915C-174664101C4E}"/>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2E5E2A05-B53B-46FC-B640-4D0885E45F9F}"/>
    <cellStyle name="Normal 2 4 3 3 7 2 3" xfId="12710" xr:uid="{1418E287-5B14-4475-81B2-6FFA89DAEF15}"/>
    <cellStyle name="Normal 2 4 3 3 7 3" xfId="6344" xr:uid="{00000000-0005-0000-0000-00001C100000}"/>
    <cellStyle name="Normal 2 4 3 3 7 3 2" xfId="14783" xr:uid="{DF9DC2BC-EF64-49BC-BCD8-D9D8887AFB00}"/>
    <cellStyle name="Normal 2 4 3 3 7 4" xfId="10565" xr:uid="{F9C646D0-E401-4B21-8561-AEEA7BA5D5E4}"/>
    <cellStyle name="Normal 2 4 3 3 8" xfId="2473" xr:uid="{00000000-0005-0000-0000-00001D100000}"/>
    <cellStyle name="Normal 2 4 3 3 8 2" xfId="6757" xr:uid="{00000000-0005-0000-0000-00001E100000}"/>
    <cellStyle name="Normal 2 4 3 3 8 2 2" xfId="15196" xr:uid="{4D39BC4C-6502-48E3-AB0A-F44491F9774C}"/>
    <cellStyle name="Normal 2 4 3 3 8 3" xfId="10978" xr:uid="{DCA77A2F-FB1A-4CA6-9E33-E57F57DB2285}"/>
    <cellStyle name="Normal 2 4 3 3 9" xfId="4691" xr:uid="{00000000-0005-0000-0000-00001F100000}"/>
    <cellStyle name="Normal 2 4 3 3 9 2" xfId="13130" xr:uid="{F72F25E6-676E-4C76-AB0D-3B2E1BE857F5}"/>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5961A7C6-ECEB-4B02-8BC6-13C5D75E7A8C}"/>
    <cellStyle name="Normal 2 4 3 4 2 3" xfId="11470" xr:uid="{40661B7E-A213-4A0B-B357-FCF840DBEB96}"/>
    <cellStyle name="Normal 2 4 3 4 3" xfId="5104" xr:uid="{00000000-0005-0000-0000-000023100000}"/>
    <cellStyle name="Normal 2 4 3 4 3 2" xfId="13543" xr:uid="{D199A1AC-2BDD-402F-9DC0-E9D5D8956370}"/>
    <cellStyle name="Normal 2 4 3 4 4" xfId="9325" xr:uid="{B571678A-8694-420F-BF35-A32FE1120ADA}"/>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131DB0E5-3327-4AB1-A984-CCEDB6B959FF}"/>
    <cellStyle name="Normal 2 4 3 5 2 3" xfId="11883" xr:uid="{F2218A14-E42A-4336-B12A-2D7BFC09ADAA}"/>
    <cellStyle name="Normal 2 4 3 5 3" xfId="5517" xr:uid="{00000000-0005-0000-0000-000027100000}"/>
    <cellStyle name="Normal 2 4 3 5 3 2" xfId="13956" xr:uid="{72425D4D-5ACF-40B7-AB85-087DF2BBA91F}"/>
    <cellStyle name="Normal 2 4 3 5 4" xfId="9738" xr:uid="{10113107-760D-40D5-89CB-05E449032961}"/>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7679F655-BFA5-446A-8175-BEB5C45FE59B}"/>
    <cellStyle name="Normal 2 4 3 6 2 3" xfId="12296" xr:uid="{7CF31B40-CB39-4C90-B987-3C6B4622BC7F}"/>
    <cellStyle name="Normal 2 4 3 6 3" xfId="5930" xr:uid="{00000000-0005-0000-0000-00002B100000}"/>
    <cellStyle name="Normal 2 4 3 6 3 2" xfId="14369" xr:uid="{44EF5892-827E-4962-BD62-994D492CDEAA}"/>
    <cellStyle name="Normal 2 4 3 6 4" xfId="10151" xr:uid="{5606107D-8DEE-480D-843B-FB30FDA2783F}"/>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E27FB436-9DF1-43AD-90F4-1BD6161E3237}"/>
    <cellStyle name="Normal 2 4 3 7 2 3" xfId="12709" xr:uid="{B3C88DCF-B9A2-443A-B200-7EFABB240E12}"/>
    <cellStyle name="Normal 2 4 3 7 3" xfId="6343" xr:uid="{00000000-0005-0000-0000-00002F100000}"/>
    <cellStyle name="Normal 2 4 3 7 3 2" xfId="14782" xr:uid="{44CD5AA4-0FE1-4BCF-A33F-7A8482BD163A}"/>
    <cellStyle name="Normal 2 4 3 7 4" xfId="10564" xr:uid="{D6F7B9E2-DE7D-4BD4-8C02-161980B71428}"/>
    <cellStyle name="Normal 2 4 3 8" xfId="2472" xr:uid="{00000000-0005-0000-0000-000030100000}"/>
    <cellStyle name="Normal 2 4 3 8 2" xfId="6756" xr:uid="{00000000-0005-0000-0000-000031100000}"/>
    <cellStyle name="Normal 2 4 3 8 2 2" xfId="15195" xr:uid="{6111AC8B-9B7E-4E17-8268-2D591052E0B2}"/>
    <cellStyle name="Normal 2 4 3 8 3" xfId="10977" xr:uid="{024B9B51-B9A3-4FF4-A368-F0B497A81388}"/>
    <cellStyle name="Normal 2 4 3 9" xfId="4690" xr:uid="{00000000-0005-0000-0000-000032100000}"/>
    <cellStyle name="Normal 2 4 3 9 2" xfId="13129" xr:uid="{EC2C1DB3-8B91-412B-8EF3-91BCE3854A0B}"/>
    <cellStyle name="Normal 2 4 4" xfId="302" xr:uid="{00000000-0005-0000-0000-000033100000}"/>
    <cellStyle name="Normal 2 4 5" xfId="303" xr:uid="{00000000-0005-0000-0000-000034100000}"/>
    <cellStyle name="Normal 2 4 5 10" xfId="4695" xr:uid="{00000000-0005-0000-0000-000035100000}"/>
    <cellStyle name="Normal 2 4 5 10 2" xfId="13134" xr:uid="{574FB324-E5A5-4A7D-8A4D-B5148AA1BE8E}"/>
    <cellStyle name="Normal 2 4 5 11" xfId="8916" xr:uid="{A0ECC0D5-391B-4120-AA03-DE163939247E}"/>
    <cellStyle name="Normal 2 4 5 2" xfId="304" xr:uid="{00000000-0005-0000-0000-000036100000}"/>
    <cellStyle name="Normal 2 4 5 2 10" xfId="8917" xr:uid="{13FA3484-6732-4E0E-B865-490E485B3F5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FC0664BD-E7C9-4416-941B-D1B3C9709AA5}"/>
    <cellStyle name="Normal 2 4 5 2 2 2 2 2 3" xfId="11478" xr:uid="{3EDC6A03-29F5-45D9-9056-24F9CFECD7FA}"/>
    <cellStyle name="Normal 2 4 5 2 2 2 2 3" xfId="5112" xr:uid="{00000000-0005-0000-0000-00003C100000}"/>
    <cellStyle name="Normal 2 4 5 2 2 2 2 3 2" xfId="13551" xr:uid="{541D8A5B-0137-47A3-92FF-2D9EAECDB7DC}"/>
    <cellStyle name="Normal 2 4 5 2 2 2 2 4" xfId="9333" xr:uid="{D2B57145-C153-4D8C-A2F7-E8630B8A9595}"/>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3B377F23-0626-4169-ABC5-D93B33218EF8}"/>
    <cellStyle name="Normal 2 4 5 2 2 2 3 2 3" xfId="11891" xr:uid="{D9370A61-18A3-47B3-9BC5-B1BE6696B620}"/>
    <cellStyle name="Normal 2 4 5 2 2 2 3 3" xfId="5525" xr:uid="{00000000-0005-0000-0000-000040100000}"/>
    <cellStyle name="Normal 2 4 5 2 2 2 3 3 2" xfId="13964" xr:uid="{C8A9D009-05DA-4C52-B12E-A45BB219DA30}"/>
    <cellStyle name="Normal 2 4 5 2 2 2 3 4" xfId="9746" xr:uid="{231D24CD-F4A3-4017-845B-117B67632A09}"/>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7820AE39-4CE0-4D4D-B979-D0CA8FF02274}"/>
    <cellStyle name="Normal 2 4 5 2 2 2 4 2 3" xfId="12304" xr:uid="{21FFDD1F-B6B5-4F2A-9EBB-6E796538CBC5}"/>
    <cellStyle name="Normal 2 4 5 2 2 2 4 3" xfId="5938" xr:uid="{00000000-0005-0000-0000-000044100000}"/>
    <cellStyle name="Normal 2 4 5 2 2 2 4 3 2" xfId="14377" xr:uid="{6C2D72F7-6EDB-425E-9341-C9390BF533FA}"/>
    <cellStyle name="Normal 2 4 5 2 2 2 4 4" xfId="10159" xr:uid="{2778E86F-6EEB-4858-9309-35629E40853E}"/>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9203F361-6026-4402-9391-DE4A7CDBA145}"/>
    <cellStyle name="Normal 2 4 5 2 2 2 5 2 3" xfId="12717" xr:uid="{CB5CCF2F-3F89-4611-8381-A3A39213D98C}"/>
    <cellStyle name="Normal 2 4 5 2 2 2 5 3" xfId="6351" xr:uid="{00000000-0005-0000-0000-000048100000}"/>
    <cellStyle name="Normal 2 4 5 2 2 2 5 3 2" xfId="14790" xr:uid="{FC05D255-BF0D-4481-9DCC-208727282B0D}"/>
    <cellStyle name="Normal 2 4 5 2 2 2 5 4" xfId="10572" xr:uid="{513507EF-ED9F-4200-9355-246616941F3E}"/>
    <cellStyle name="Normal 2 4 5 2 2 2 6" xfId="2480" xr:uid="{00000000-0005-0000-0000-000049100000}"/>
    <cellStyle name="Normal 2 4 5 2 2 2 6 2" xfId="6764" xr:uid="{00000000-0005-0000-0000-00004A100000}"/>
    <cellStyle name="Normal 2 4 5 2 2 2 6 2 2" xfId="15203" xr:uid="{59B6C29B-42B1-40CC-AE0C-8A0056CF274F}"/>
    <cellStyle name="Normal 2 4 5 2 2 2 6 3" xfId="10985" xr:uid="{C3A070D0-B156-4988-BF55-37193F2BD0AA}"/>
    <cellStyle name="Normal 2 4 5 2 2 2 7" xfId="4698" xr:uid="{00000000-0005-0000-0000-00004B100000}"/>
    <cellStyle name="Normal 2 4 5 2 2 2 7 2" xfId="13137" xr:uid="{860D78D5-02BB-4674-B931-1BBE8D24C258}"/>
    <cellStyle name="Normal 2 4 5 2 2 2 8" xfId="8919" xr:uid="{BEDDA1BE-25A4-4BEB-BCF5-3CFE8D93BC5D}"/>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D9031384-CD93-447D-84CC-0F4AC8C97F40}"/>
    <cellStyle name="Normal 2 4 5 2 2 3 2 3" xfId="11477" xr:uid="{D490EBD5-4439-42A4-9D46-44178F31F85A}"/>
    <cellStyle name="Normal 2 4 5 2 2 3 3" xfId="5111" xr:uid="{00000000-0005-0000-0000-00004F100000}"/>
    <cellStyle name="Normal 2 4 5 2 2 3 3 2" xfId="13550" xr:uid="{E77DA5C2-1DBD-4488-BBCE-48018DFBE522}"/>
    <cellStyle name="Normal 2 4 5 2 2 3 4" xfId="9332" xr:uid="{1E2A7D79-6F0D-48B4-8027-2E74EA7616AF}"/>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A28BEC84-428F-4DA6-8FCD-9A4E4B54FACA}"/>
    <cellStyle name="Normal 2 4 5 2 2 4 2 3" xfId="11890" xr:uid="{72CB5599-8281-4AF1-9D16-123861FEF2CA}"/>
    <cellStyle name="Normal 2 4 5 2 2 4 3" xfId="5524" xr:uid="{00000000-0005-0000-0000-000053100000}"/>
    <cellStyle name="Normal 2 4 5 2 2 4 3 2" xfId="13963" xr:uid="{15D1D0D1-D15B-4BC6-99D5-0EB35863A062}"/>
    <cellStyle name="Normal 2 4 5 2 2 4 4" xfId="9745" xr:uid="{BB73C7C8-9E95-43DD-9356-38AFE295666D}"/>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191861B9-89BB-4290-80B7-D57C28EC5CAE}"/>
    <cellStyle name="Normal 2 4 5 2 2 5 2 3" xfId="12303" xr:uid="{2461A118-B074-4BD8-8D1D-AC90AAE20186}"/>
    <cellStyle name="Normal 2 4 5 2 2 5 3" xfId="5937" xr:uid="{00000000-0005-0000-0000-000057100000}"/>
    <cellStyle name="Normal 2 4 5 2 2 5 3 2" xfId="14376" xr:uid="{63A98A84-2197-44B1-9C01-9CEF4AFA6D09}"/>
    <cellStyle name="Normal 2 4 5 2 2 5 4" xfId="10158" xr:uid="{FB02228D-AC11-48D0-99C8-C035705BDEB4}"/>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DB7C4D15-35B7-4D18-9003-D7587DA69DE8}"/>
    <cellStyle name="Normal 2 4 5 2 2 6 2 3" xfId="12716" xr:uid="{823C0172-3429-4CA1-894A-3A8442E72FFB}"/>
    <cellStyle name="Normal 2 4 5 2 2 6 3" xfId="6350" xr:uid="{00000000-0005-0000-0000-00005B100000}"/>
    <cellStyle name="Normal 2 4 5 2 2 6 3 2" xfId="14789" xr:uid="{803AFC9D-0A0B-4BE8-BCF2-D531B81A734E}"/>
    <cellStyle name="Normal 2 4 5 2 2 6 4" xfId="10571" xr:uid="{AD4AEAB8-9164-4628-99C2-5A31D707D122}"/>
    <cellStyle name="Normal 2 4 5 2 2 7" xfId="2479" xr:uid="{00000000-0005-0000-0000-00005C100000}"/>
    <cellStyle name="Normal 2 4 5 2 2 7 2" xfId="6763" xr:uid="{00000000-0005-0000-0000-00005D100000}"/>
    <cellStyle name="Normal 2 4 5 2 2 7 2 2" xfId="15202" xr:uid="{EE02CE4E-8078-4911-9F75-F2A678BDCE0A}"/>
    <cellStyle name="Normal 2 4 5 2 2 7 3" xfId="10984" xr:uid="{B5B3A415-4F1D-4AA6-96FF-B49ED3E48A9C}"/>
    <cellStyle name="Normal 2 4 5 2 2 8" xfId="4697" xr:uid="{00000000-0005-0000-0000-00005E100000}"/>
    <cellStyle name="Normal 2 4 5 2 2 8 2" xfId="13136" xr:uid="{6486C36F-B770-4171-B3AC-5A0E2FF50A74}"/>
    <cellStyle name="Normal 2 4 5 2 2 9" xfId="8918" xr:uid="{A3E11DE5-A56C-4B00-8674-8016FD19490C}"/>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CA785D24-336A-44EF-A1EE-89FE78BAEACE}"/>
    <cellStyle name="Normal 2 4 5 2 3 2 2 3" xfId="11479" xr:uid="{6869F60D-1DB8-4233-B48D-FB8A30488931}"/>
    <cellStyle name="Normal 2 4 5 2 3 2 3" xfId="5113" xr:uid="{00000000-0005-0000-0000-000063100000}"/>
    <cellStyle name="Normal 2 4 5 2 3 2 3 2" xfId="13552" xr:uid="{4C6FE38B-C247-431F-AB38-611D65DC0A9B}"/>
    <cellStyle name="Normal 2 4 5 2 3 2 4" xfId="9334" xr:uid="{5ED9B012-F230-437E-B1DD-8297E9F1C619}"/>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A714249B-59E5-4CC5-8E4B-C7CB4DAB16F6}"/>
    <cellStyle name="Normal 2 4 5 2 3 3 2 3" xfId="11892" xr:uid="{E8AA65DD-89C9-4B98-B94C-4F7706840407}"/>
    <cellStyle name="Normal 2 4 5 2 3 3 3" xfId="5526" xr:uid="{00000000-0005-0000-0000-000067100000}"/>
    <cellStyle name="Normal 2 4 5 2 3 3 3 2" xfId="13965" xr:uid="{F2D39016-0D03-46AB-9985-8354CC657F8F}"/>
    <cellStyle name="Normal 2 4 5 2 3 3 4" xfId="9747" xr:uid="{EB1724E4-3244-447A-A975-A4F2C2C051F2}"/>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8B1161EF-CD8C-4D52-8FFC-D24D017D1AA8}"/>
    <cellStyle name="Normal 2 4 5 2 3 4 2 3" xfId="12305" xr:uid="{E14E3AE7-CC99-461B-AD49-C0AE10740D08}"/>
    <cellStyle name="Normal 2 4 5 2 3 4 3" xfId="5939" xr:uid="{00000000-0005-0000-0000-00006B100000}"/>
    <cellStyle name="Normal 2 4 5 2 3 4 3 2" xfId="14378" xr:uid="{6130233D-4D59-4D4E-B0E8-8F05D7DC434F}"/>
    <cellStyle name="Normal 2 4 5 2 3 4 4" xfId="10160" xr:uid="{04DBF7BC-0F18-4B30-A671-109DF3A68138}"/>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F8D41127-AA7B-4DCE-BC23-A5FD7400EEEA}"/>
    <cellStyle name="Normal 2 4 5 2 3 5 2 3" xfId="12718" xr:uid="{B1399CEB-4E34-4228-B27B-45C5085ADC4B}"/>
    <cellStyle name="Normal 2 4 5 2 3 5 3" xfId="6352" xr:uid="{00000000-0005-0000-0000-00006F100000}"/>
    <cellStyle name="Normal 2 4 5 2 3 5 3 2" xfId="14791" xr:uid="{5879480E-37BE-47B1-8884-FE66BD4829C8}"/>
    <cellStyle name="Normal 2 4 5 2 3 5 4" xfId="10573" xr:uid="{AB13B21C-BAC0-44C6-BC12-145C7210DC98}"/>
    <cellStyle name="Normal 2 4 5 2 3 6" xfId="2481" xr:uid="{00000000-0005-0000-0000-000070100000}"/>
    <cellStyle name="Normal 2 4 5 2 3 6 2" xfId="6765" xr:uid="{00000000-0005-0000-0000-000071100000}"/>
    <cellStyle name="Normal 2 4 5 2 3 6 2 2" xfId="15204" xr:uid="{776B7FED-3CF3-47F7-AE3C-2BF7AC5BCCBC}"/>
    <cellStyle name="Normal 2 4 5 2 3 6 3" xfId="10986" xr:uid="{08F3C0D6-30C1-49DD-A24B-3190447E27D1}"/>
    <cellStyle name="Normal 2 4 5 2 3 7" xfId="4699" xr:uid="{00000000-0005-0000-0000-000072100000}"/>
    <cellStyle name="Normal 2 4 5 2 3 7 2" xfId="13138" xr:uid="{672769C5-743F-41ED-9829-7972177B3C94}"/>
    <cellStyle name="Normal 2 4 5 2 3 8" xfId="8920" xr:uid="{D39E3AA4-7C85-4D68-BFEA-1670C9739126}"/>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CAE079CD-6EEF-40A6-B4F1-35A3AFDE4352}"/>
    <cellStyle name="Normal 2 4 5 2 4 2 3" xfId="11476" xr:uid="{0647212F-F234-4478-9AAD-89BE3D3BBA0C}"/>
    <cellStyle name="Normal 2 4 5 2 4 3" xfId="5110" xr:uid="{00000000-0005-0000-0000-000076100000}"/>
    <cellStyle name="Normal 2 4 5 2 4 3 2" xfId="13549" xr:uid="{69F9E19C-FFA2-4CB0-BAA6-D39507CB2F0E}"/>
    <cellStyle name="Normal 2 4 5 2 4 4" xfId="9331" xr:uid="{FBF319B0-F26C-4F2F-A1E4-5AA97EBBDD09}"/>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4EA317C4-49D6-41DD-861B-38A2D1531F69}"/>
    <cellStyle name="Normal 2 4 5 2 5 2 3" xfId="11889" xr:uid="{9E87312F-46E2-4A38-BDFE-6BFD90ABDE8E}"/>
    <cellStyle name="Normal 2 4 5 2 5 3" xfId="5523" xr:uid="{00000000-0005-0000-0000-00007A100000}"/>
    <cellStyle name="Normal 2 4 5 2 5 3 2" xfId="13962" xr:uid="{EFCC7682-5CFF-4FBF-A815-F4CAC42ACF4F}"/>
    <cellStyle name="Normal 2 4 5 2 5 4" xfId="9744" xr:uid="{811B385F-65B3-4799-BBC8-C57A538CC7AD}"/>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D292B321-3F66-4F82-8B9F-778A856A4CEF}"/>
    <cellStyle name="Normal 2 4 5 2 6 2 3" xfId="12302" xr:uid="{CB45F200-A9CE-4579-8EE9-69867BA6E526}"/>
    <cellStyle name="Normal 2 4 5 2 6 3" xfId="5936" xr:uid="{00000000-0005-0000-0000-00007E100000}"/>
    <cellStyle name="Normal 2 4 5 2 6 3 2" xfId="14375" xr:uid="{8771EA76-D5DF-45D8-8C88-DCD6F57E13AA}"/>
    <cellStyle name="Normal 2 4 5 2 6 4" xfId="10157" xr:uid="{65C1EA84-FBDD-4BC5-A929-E04A293EE8C6}"/>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D978B0F7-7D75-418D-BBD0-4AD00C895406}"/>
    <cellStyle name="Normal 2 4 5 2 7 2 3" xfId="12715" xr:uid="{A88D9089-CA0D-46B8-92C7-42DFF680F5DE}"/>
    <cellStyle name="Normal 2 4 5 2 7 3" xfId="6349" xr:uid="{00000000-0005-0000-0000-000082100000}"/>
    <cellStyle name="Normal 2 4 5 2 7 3 2" xfId="14788" xr:uid="{F55E163E-08DA-4212-A94F-2E9558A27504}"/>
    <cellStyle name="Normal 2 4 5 2 7 4" xfId="10570" xr:uid="{FE2ABB71-650A-48B0-BEC9-3DDCAF95DB8D}"/>
    <cellStyle name="Normal 2 4 5 2 8" xfId="2478" xr:uid="{00000000-0005-0000-0000-000083100000}"/>
    <cellStyle name="Normal 2 4 5 2 8 2" xfId="6762" xr:uid="{00000000-0005-0000-0000-000084100000}"/>
    <cellStyle name="Normal 2 4 5 2 8 2 2" xfId="15201" xr:uid="{0232D924-DAA1-494F-A4B8-05A2EF6F2BF0}"/>
    <cellStyle name="Normal 2 4 5 2 8 3" xfId="10983" xr:uid="{52DDA82F-5DAF-4006-B175-D408F1FAE4A3}"/>
    <cellStyle name="Normal 2 4 5 2 9" xfId="4696" xr:uid="{00000000-0005-0000-0000-000085100000}"/>
    <cellStyle name="Normal 2 4 5 2 9 2" xfId="13135" xr:uid="{69617635-4A42-4A5B-910D-42ACA5EF05C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110DA021-D755-4E24-A3FF-C50112EA1397}"/>
    <cellStyle name="Normal 2 4 5 3 2 2 2 3" xfId="11481" xr:uid="{B9F33491-5D1F-42D6-9EDD-989EC513D055}"/>
    <cellStyle name="Normal 2 4 5 3 2 2 3" xfId="5115" xr:uid="{00000000-0005-0000-0000-00008B100000}"/>
    <cellStyle name="Normal 2 4 5 3 2 2 3 2" xfId="13554" xr:uid="{FF845B44-A8F7-4295-BC2C-09B63ACF1DF8}"/>
    <cellStyle name="Normal 2 4 5 3 2 2 4" xfId="9336" xr:uid="{0DEE9B2B-BFB4-4F90-B40A-50034C630B7A}"/>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424556EF-E1DC-4AEF-85F9-1330CC592BE3}"/>
    <cellStyle name="Normal 2 4 5 3 2 3 2 3" xfId="11894" xr:uid="{07145D85-F093-4CA5-91C8-1B8C91A3E633}"/>
    <cellStyle name="Normal 2 4 5 3 2 3 3" xfId="5528" xr:uid="{00000000-0005-0000-0000-00008F100000}"/>
    <cellStyle name="Normal 2 4 5 3 2 3 3 2" xfId="13967" xr:uid="{67013C55-641B-45C9-BCDB-F32C55F2AB11}"/>
    <cellStyle name="Normal 2 4 5 3 2 3 4" xfId="9749" xr:uid="{C1BFEBF4-E72E-47A1-911D-15701A4A104D}"/>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5646D9E7-0788-427A-8A2F-7CFDC21C9B70}"/>
    <cellStyle name="Normal 2 4 5 3 2 4 2 3" xfId="12307" xr:uid="{4BCC4ECA-7B9C-45AA-877C-2CB05E66F82A}"/>
    <cellStyle name="Normal 2 4 5 3 2 4 3" xfId="5941" xr:uid="{00000000-0005-0000-0000-000093100000}"/>
    <cellStyle name="Normal 2 4 5 3 2 4 3 2" xfId="14380" xr:uid="{ECC53407-803E-447F-94E5-EEED09AF2B11}"/>
    <cellStyle name="Normal 2 4 5 3 2 4 4" xfId="10162" xr:uid="{00345670-B217-491F-B587-10A413DEC56A}"/>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707841F5-7B03-4436-9F41-6BFDD2AE44D0}"/>
    <cellStyle name="Normal 2 4 5 3 2 5 2 3" xfId="12720" xr:uid="{71972731-42D3-4F77-B4B8-D6BF9EAB7A5A}"/>
    <cellStyle name="Normal 2 4 5 3 2 5 3" xfId="6354" xr:uid="{00000000-0005-0000-0000-000097100000}"/>
    <cellStyle name="Normal 2 4 5 3 2 5 3 2" xfId="14793" xr:uid="{381C7848-B926-4A20-A637-0B41D9268B4C}"/>
    <cellStyle name="Normal 2 4 5 3 2 5 4" xfId="10575" xr:uid="{83CB1181-3E31-49C3-8EDC-77883E29D2B9}"/>
    <cellStyle name="Normal 2 4 5 3 2 6" xfId="2483" xr:uid="{00000000-0005-0000-0000-000098100000}"/>
    <cellStyle name="Normal 2 4 5 3 2 6 2" xfId="6767" xr:uid="{00000000-0005-0000-0000-000099100000}"/>
    <cellStyle name="Normal 2 4 5 3 2 6 2 2" xfId="15206" xr:uid="{6C9A6E48-360C-4634-8789-CE2A97A5824E}"/>
    <cellStyle name="Normal 2 4 5 3 2 6 3" xfId="10988" xr:uid="{466BA91F-0D4F-4ACE-BD3F-D22EF37055C2}"/>
    <cellStyle name="Normal 2 4 5 3 2 7" xfId="4701" xr:uid="{00000000-0005-0000-0000-00009A100000}"/>
    <cellStyle name="Normal 2 4 5 3 2 7 2" xfId="13140" xr:uid="{C833FC9B-63CC-4185-B3BB-B8798DE1FE34}"/>
    <cellStyle name="Normal 2 4 5 3 2 8" xfId="8922" xr:uid="{8E04BF64-10AE-4222-AFD5-07E064392C48}"/>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F4702C3E-226B-4769-84CF-D9EE0C47DA20}"/>
    <cellStyle name="Normal 2 4 5 3 3 2 3" xfId="11480" xr:uid="{D3E1EBA4-3F8B-41B2-A370-9D50357F99FE}"/>
    <cellStyle name="Normal 2 4 5 3 3 3" xfId="5114" xr:uid="{00000000-0005-0000-0000-00009E100000}"/>
    <cellStyle name="Normal 2 4 5 3 3 3 2" xfId="13553" xr:uid="{C1963929-6132-489C-BA25-B51700B200F7}"/>
    <cellStyle name="Normal 2 4 5 3 3 4" xfId="9335" xr:uid="{45780322-11DF-4034-A6C6-D99FD1477988}"/>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51B4DC2B-E381-4AAF-83A3-0A487C7EDFBA}"/>
    <cellStyle name="Normal 2 4 5 3 4 2 3" xfId="11893" xr:uid="{FB1117DC-C245-46BB-8CA2-8E43D4266D29}"/>
    <cellStyle name="Normal 2 4 5 3 4 3" xfId="5527" xr:uid="{00000000-0005-0000-0000-0000A2100000}"/>
    <cellStyle name="Normal 2 4 5 3 4 3 2" xfId="13966" xr:uid="{81325DE9-60DD-4FFF-B420-5523A6FCA874}"/>
    <cellStyle name="Normal 2 4 5 3 4 4" xfId="9748" xr:uid="{EBECD02F-D173-44FD-AF41-854D89AFF1E8}"/>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64FAAD7C-7DF2-4FDA-9EB5-7359C171466E}"/>
    <cellStyle name="Normal 2 4 5 3 5 2 3" xfId="12306" xr:uid="{3999F89A-A37C-41BD-9A65-C113B173E4B9}"/>
    <cellStyle name="Normal 2 4 5 3 5 3" xfId="5940" xr:uid="{00000000-0005-0000-0000-0000A6100000}"/>
    <cellStyle name="Normal 2 4 5 3 5 3 2" xfId="14379" xr:uid="{72AEC54E-96F0-4B3A-B9F5-702ED6AE43DF}"/>
    <cellStyle name="Normal 2 4 5 3 5 4" xfId="10161" xr:uid="{AB7F987E-6396-4754-A219-6A37D2ADD435}"/>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FA4F6B6B-4E5A-4B32-9125-BBE11C54A096}"/>
    <cellStyle name="Normal 2 4 5 3 6 2 3" xfId="12719" xr:uid="{6842FEBE-7417-4DA0-A3AD-79AE0D59ED64}"/>
    <cellStyle name="Normal 2 4 5 3 6 3" xfId="6353" xr:uid="{00000000-0005-0000-0000-0000AA100000}"/>
    <cellStyle name="Normal 2 4 5 3 6 3 2" xfId="14792" xr:uid="{71BC2850-F3BF-4DA7-8F23-A53C61DFA4E7}"/>
    <cellStyle name="Normal 2 4 5 3 6 4" xfId="10574" xr:uid="{0EFD4F0D-138F-4F4B-8F51-59AE26A1A30C}"/>
    <cellStyle name="Normal 2 4 5 3 7" xfId="2482" xr:uid="{00000000-0005-0000-0000-0000AB100000}"/>
    <cellStyle name="Normal 2 4 5 3 7 2" xfId="6766" xr:uid="{00000000-0005-0000-0000-0000AC100000}"/>
    <cellStyle name="Normal 2 4 5 3 7 2 2" xfId="15205" xr:uid="{1AB4ABA2-C116-4E6F-A802-44D0BA77831E}"/>
    <cellStyle name="Normal 2 4 5 3 7 3" xfId="10987" xr:uid="{640E4EC5-4306-4C75-B1E8-2DD7B21E6626}"/>
    <cellStyle name="Normal 2 4 5 3 8" xfId="4700" xr:uid="{00000000-0005-0000-0000-0000AD100000}"/>
    <cellStyle name="Normal 2 4 5 3 8 2" xfId="13139" xr:uid="{4AE18C16-4B70-4C9F-AB4F-79E933C44067}"/>
    <cellStyle name="Normal 2 4 5 3 9" xfId="8921" xr:uid="{091EFC26-E5FF-49D4-A29F-03BF74DBD4DF}"/>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D7D53E32-7F1D-4A7E-8CDA-AFA4850D1A41}"/>
    <cellStyle name="Normal 2 4 5 4 2 2 3" xfId="11482" xr:uid="{97F5D2A0-9B61-4225-9587-CA1CFBDF72A8}"/>
    <cellStyle name="Normal 2 4 5 4 2 3" xfId="5116" xr:uid="{00000000-0005-0000-0000-0000B2100000}"/>
    <cellStyle name="Normal 2 4 5 4 2 3 2" xfId="13555" xr:uid="{E60F3CC3-5DD7-4078-87C0-FEF61EF7F735}"/>
    <cellStyle name="Normal 2 4 5 4 2 4" xfId="9337" xr:uid="{ACDD7735-4CD0-45FB-AA59-AA8DB4ABD0D7}"/>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C70F01E7-AE47-4311-B433-4DF5F29F9330}"/>
    <cellStyle name="Normal 2 4 5 4 3 2 3" xfId="11895" xr:uid="{4E748CF7-E216-4455-84C9-8816EF1FEE5A}"/>
    <cellStyle name="Normal 2 4 5 4 3 3" xfId="5529" xr:uid="{00000000-0005-0000-0000-0000B6100000}"/>
    <cellStyle name="Normal 2 4 5 4 3 3 2" xfId="13968" xr:uid="{8D593504-A8C3-4E00-8FF5-662F611C721A}"/>
    <cellStyle name="Normal 2 4 5 4 3 4" xfId="9750" xr:uid="{E410BE6B-8EB9-4F12-98FE-CC34ECCA132A}"/>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FEB1D62B-601C-45BA-9671-2B7D4FFA02F3}"/>
    <cellStyle name="Normal 2 4 5 4 4 2 3" xfId="12308" xr:uid="{B525025E-4C82-4183-B0CE-505624D839E2}"/>
    <cellStyle name="Normal 2 4 5 4 4 3" xfId="5942" xr:uid="{00000000-0005-0000-0000-0000BA100000}"/>
    <cellStyle name="Normal 2 4 5 4 4 3 2" xfId="14381" xr:uid="{DFC56712-B1AA-4234-9432-0D90B6467687}"/>
    <cellStyle name="Normal 2 4 5 4 4 4" xfId="10163" xr:uid="{AF129ED0-FCA1-4EBE-9EA1-64D6B3DC4670}"/>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2936ADAE-DD8B-4B0E-B20C-B79B740B811A}"/>
    <cellStyle name="Normal 2 4 5 4 5 2 3" xfId="12721" xr:uid="{6CBE3204-E12A-410C-90C4-98A65610ABB5}"/>
    <cellStyle name="Normal 2 4 5 4 5 3" xfId="6355" xr:uid="{00000000-0005-0000-0000-0000BE100000}"/>
    <cellStyle name="Normal 2 4 5 4 5 3 2" xfId="14794" xr:uid="{FE367820-F242-4894-8FE2-7FCEBA75FCCD}"/>
    <cellStyle name="Normal 2 4 5 4 5 4" xfId="10576" xr:uid="{5AD2926E-4CE1-4CEF-B0B2-F17075A7EDF4}"/>
    <cellStyle name="Normal 2 4 5 4 6" xfId="2484" xr:uid="{00000000-0005-0000-0000-0000BF100000}"/>
    <cellStyle name="Normal 2 4 5 4 6 2" xfId="6768" xr:uid="{00000000-0005-0000-0000-0000C0100000}"/>
    <cellStyle name="Normal 2 4 5 4 6 2 2" xfId="15207" xr:uid="{716A02AD-B639-4C30-AF6A-93A3A5FD2E89}"/>
    <cellStyle name="Normal 2 4 5 4 6 3" xfId="10989" xr:uid="{99E99ED0-1B3B-4060-BC5B-1465E509C3EE}"/>
    <cellStyle name="Normal 2 4 5 4 7" xfId="4702" xr:uid="{00000000-0005-0000-0000-0000C1100000}"/>
    <cellStyle name="Normal 2 4 5 4 7 2" xfId="13141" xr:uid="{116F343B-080F-4157-B355-B720870D1E4A}"/>
    <cellStyle name="Normal 2 4 5 4 8" xfId="8923" xr:uid="{C83E8674-9143-47C8-BE7D-ABF71DD30408}"/>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89C47F19-0C7A-4672-A939-60099B9FBCDB}"/>
    <cellStyle name="Normal 2 4 5 5 2 3" xfId="11475" xr:uid="{08462A5A-C6CE-405A-BF86-A9A9EB00D969}"/>
    <cellStyle name="Normal 2 4 5 5 3" xfId="5109" xr:uid="{00000000-0005-0000-0000-0000C5100000}"/>
    <cellStyle name="Normal 2 4 5 5 3 2" xfId="13548" xr:uid="{F0B2B618-C2A7-4A49-B78D-F482C3986A93}"/>
    <cellStyle name="Normal 2 4 5 5 4" xfId="9330" xr:uid="{EC3BD213-BC0A-4EA0-BC4C-2C19C55F1D9C}"/>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94715BCA-E67C-423E-B6D9-8364B5D744B1}"/>
    <cellStyle name="Normal 2 4 5 6 2 3" xfId="11888" xr:uid="{FFDEC7DC-2A3F-418C-B3C7-D185E6C52607}"/>
    <cellStyle name="Normal 2 4 5 6 3" xfId="5522" xr:uid="{00000000-0005-0000-0000-0000C9100000}"/>
    <cellStyle name="Normal 2 4 5 6 3 2" xfId="13961" xr:uid="{5225F59A-DF48-4308-A344-0BB71A645105}"/>
    <cellStyle name="Normal 2 4 5 6 4" xfId="9743" xr:uid="{B0D9B338-7665-42E2-A63C-EDC88039B47D}"/>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11EBD806-A5A4-42A8-A181-1E0893291867}"/>
    <cellStyle name="Normal 2 4 5 7 2 3" xfId="12301" xr:uid="{58C6DA4B-D037-409A-9829-38D9D98304BF}"/>
    <cellStyle name="Normal 2 4 5 7 3" xfId="5935" xr:uid="{00000000-0005-0000-0000-0000CD100000}"/>
    <cellStyle name="Normal 2 4 5 7 3 2" xfId="14374" xr:uid="{9DD94AAD-5D28-4FCA-A795-647E6610AF4F}"/>
    <cellStyle name="Normal 2 4 5 7 4" xfId="10156" xr:uid="{A65336F6-6428-40FF-B000-D6430A355A6D}"/>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5FFE0DE0-8055-40ED-B59C-334DEED57AE2}"/>
    <cellStyle name="Normal 2 4 5 8 2 3" xfId="12714" xr:uid="{997E112A-FA30-452C-9153-38962DADA3D9}"/>
    <cellStyle name="Normal 2 4 5 8 3" xfId="6348" xr:uid="{00000000-0005-0000-0000-0000D1100000}"/>
    <cellStyle name="Normal 2 4 5 8 3 2" xfId="14787" xr:uid="{BEA01CCC-8498-4384-95A0-E8CA0D92C551}"/>
    <cellStyle name="Normal 2 4 5 8 4" xfId="10569" xr:uid="{508064D7-9A49-487B-AAF0-9F6314310CCD}"/>
    <cellStyle name="Normal 2 4 5 9" xfId="2477" xr:uid="{00000000-0005-0000-0000-0000D2100000}"/>
    <cellStyle name="Normal 2 4 5 9 2" xfId="6761" xr:uid="{00000000-0005-0000-0000-0000D3100000}"/>
    <cellStyle name="Normal 2 4 5 9 2 2" xfId="15200" xr:uid="{6FA36463-B0CC-4C38-8ECF-F3F03246A077}"/>
    <cellStyle name="Normal 2 4 5 9 3" xfId="10982" xr:uid="{3C8E97D8-FE43-4E54-B776-0A7EC1B724F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53449807-33A0-4CEC-A139-F7BBDF55F1CE}"/>
    <cellStyle name="Normal 2 4 7 2 2 2 3" xfId="11484" xr:uid="{034E7BDC-0A92-416F-887A-5CB1B854F7FF}"/>
    <cellStyle name="Normal 2 4 7 2 2 3" xfId="5118" xr:uid="{00000000-0005-0000-0000-0000DA100000}"/>
    <cellStyle name="Normal 2 4 7 2 2 3 2" xfId="13557" xr:uid="{AEE19833-9E78-4684-9FEF-36DCA12CF6FC}"/>
    <cellStyle name="Normal 2 4 7 2 2 4" xfId="9339" xr:uid="{DFD3DC0E-540D-47C5-AE78-8D12663C9E29}"/>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AD2AE7AE-2E7E-4B49-A284-D3919F9047DA}"/>
    <cellStyle name="Normal 2 4 7 2 3 2 3" xfId="11897" xr:uid="{CBDF3F4E-FE0B-4C1C-8891-C1F18DE098B5}"/>
    <cellStyle name="Normal 2 4 7 2 3 3" xfId="5531" xr:uid="{00000000-0005-0000-0000-0000DE100000}"/>
    <cellStyle name="Normal 2 4 7 2 3 3 2" xfId="13970" xr:uid="{CC944977-3F79-4DAA-9E41-6DD523BF543C}"/>
    <cellStyle name="Normal 2 4 7 2 3 4" xfId="9752" xr:uid="{62609797-0A7D-4C11-9214-05090627ADD8}"/>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42E55091-44AC-4CE0-80E1-FF301A9703D3}"/>
    <cellStyle name="Normal 2 4 7 2 4 2 3" xfId="12310" xr:uid="{FF6770D1-1762-4C1E-92AA-80416083CF6D}"/>
    <cellStyle name="Normal 2 4 7 2 4 3" xfId="5944" xr:uid="{00000000-0005-0000-0000-0000E2100000}"/>
    <cellStyle name="Normal 2 4 7 2 4 3 2" xfId="14383" xr:uid="{AD2E4F63-05B2-413E-9716-5631711E3841}"/>
    <cellStyle name="Normal 2 4 7 2 4 4" xfId="10165" xr:uid="{8E577BEB-4EFD-47E1-8B82-46D1FBCF8B54}"/>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70C6974E-8F71-4E00-93AD-44E32971331B}"/>
    <cellStyle name="Normal 2 4 7 2 5 2 3" xfId="12723" xr:uid="{752C0451-5DDC-422C-AEFB-3B022604B716}"/>
    <cellStyle name="Normal 2 4 7 2 5 3" xfId="6357" xr:uid="{00000000-0005-0000-0000-0000E6100000}"/>
    <cellStyle name="Normal 2 4 7 2 5 3 2" xfId="14796" xr:uid="{8BAF1D32-F4F8-4E95-AFE0-ABEFB80FB4DC}"/>
    <cellStyle name="Normal 2 4 7 2 5 4" xfId="10578" xr:uid="{790E7B54-A390-4A86-806D-700B7124D554}"/>
    <cellStyle name="Normal 2 4 7 2 6" xfId="2486" xr:uid="{00000000-0005-0000-0000-0000E7100000}"/>
    <cellStyle name="Normal 2 4 7 2 6 2" xfId="6770" xr:uid="{00000000-0005-0000-0000-0000E8100000}"/>
    <cellStyle name="Normal 2 4 7 2 6 2 2" xfId="15209" xr:uid="{C12EAF01-4AE7-47E9-B785-3F90E2865FFA}"/>
    <cellStyle name="Normal 2 4 7 2 6 3" xfId="10991" xr:uid="{1A4A9C46-DEB2-45F6-A451-B725C5CC9614}"/>
    <cellStyle name="Normal 2 4 7 2 7" xfId="4704" xr:uid="{00000000-0005-0000-0000-0000E9100000}"/>
    <cellStyle name="Normal 2 4 7 2 7 2" xfId="13143" xr:uid="{5519DB26-11B3-478B-AFBC-E5DD28FE45EA}"/>
    <cellStyle name="Normal 2 4 7 2 8" xfId="8925" xr:uid="{2E6C0650-EC30-41A9-AD56-B5B667B0A809}"/>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95160CE7-844D-485D-80B6-F8FA645B7F6D}"/>
    <cellStyle name="Normal 2 4 7 3 2 3" xfId="11483" xr:uid="{3E894615-3930-4501-B561-C8CAF8E1B08A}"/>
    <cellStyle name="Normal 2 4 7 3 3" xfId="5117" xr:uid="{00000000-0005-0000-0000-0000ED100000}"/>
    <cellStyle name="Normal 2 4 7 3 3 2" xfId="13556" xr:uid="{0F61153A-522C-4399-B0F7-4D4C46BCD4FB}"/>
    <cellStyle name="Normal 2 4 7 3 4" xfId="9338" xr:uid="{C5D40431-920A-42F6-9887-F4D3AA4AA062}"/>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F16BFCA9-8D72-4AF3-A255-87F4750D17C9}"/>
    <cellStyle name="Normal 2 4 7 4 2 3" xfId="11896" xr:uid="{0F067C07-9E26-426E-944B-FE36413F553F}"/>
    <cellStyle name="Normal 2 4 7 4 3" xfId="5530" xr:uid="{00000000-0005-0000-0000-0000F1100000}"/>
    <cellStyle name="Normal 2 4 7 4 3 2" xfId="13969" xr:uid="{6156C33A-49C6-42F7-BC29-46B1B2209AD3}"/>
    <cellStyle name="Normal 2 4 7 4 4" xfId="9751" xr:uid="{47D38D39-4609-4645-B07B-177954251305}"/>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6CBEC297-0F86-4CA5-9EE2-052B40997871}"/>
    <cellStyle name="Normal 2 4 7 5 2 3" xfId="12309" xr:uid="{D1A182D3-5742-4300-8A5D-41E47078C76B}"/>
    <cellStyle name="Normal 2 4 7 5 3" xfId="5943" xr:uid="{00000000-0005-0000-0000-0000F5100000}"/>
    <cellStyle name="Normal 2 4 7 5 3 2" xfId="14382" xr:uid="{3DF9356A-2AFB-4FCB-B897-88E3C3262A3F}"/>
    <cellStyle name="Normal 2 4 7 5 4" xfId="10164" xr:uid="{5F194F0E-F15F-43F2-BE7C-B76EFE236B14}"/>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D27D2941-869D-457D-8EDE-161E6D1621F4}"/>
    <cellStyle name="Normal 2 4 7 6 2 3" xfId="12722" xr:uid="{F49769FA-8383-4F4C-AA75-55467D35D10B}"/>
    <cellStyle name="Normal 2 4 7 6 3" xfId="6356" xr:uid="{00000000-0005-0000-0000-0000F9100000}"/>
    <cellStyle name="Normal 2 4 7 6 3 2" xfId="14795" xr:uid="{3E154F4A-8BD5-4C68-8E81-041808EE103A}"/>
    <cellStyle name="Normal 2 4 7 6 4" xfId="10577" xr:uid="{4EA32BC3-8335-4430-875B-189C1F39BDBC}"/>
    <cellStyle name="Normal 2 4 7 7" xfId="2485" xr:uid="{00000000-0005-0000-0000-0000FA100000}"/>
    <cellStyle name="Normal 2 4 7 7 2" xfId="6769" xr:uid="{00000000-0005-0000-0000-0000FB100000}"/>
    <cellStyle name="Normal 2 4 7 7 2 2" xfId="15208" xr:uid="{967B98D3-3A68-417D-8268-01D7959BDA61}"/>
    <cellStyle name="Normal 2 4 7 7 3" xfId="10990" xr:uid="{72E94624-0E18-4659-85C2-0B6A7B0C0BF3}"/>
    <cellStyle name="Normal 2 4 7 8" xfId="4703" xr:uid="{00000000-0005-0000-0000-0000FC100000}"/>
    <cellStyle name="Normal 2 4 7 8 2" xfId="13142" xr:uid="{D4E417FF-F34A-497B-84F4-C874CB5FD9E9}"/>
    <cellStyle name="Normal 2 4 7 9" xfId="8924" xr:uid="{322C4A85-A428-42D3-8DA9-E6381CB04AA1}"/>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9E7D53EA-EFFA-431F-A5D1-C765D561DB2E}"/>
    <cellStyle name="Normal 2 4 8 2 2 3" xfId="11485" xr:uid="{DF258E42-D25C-4D9D-B182-DDACFE08E4BF}"/>
    <cellStyle name="Normal 2 4 8 2 3" xfId="5119" xr:uid="{00000000-0005-0000-0000-000001110000}"/>
    <cellStyle name="Normal 2 4 8 2 3 2" xfId="13558" xr:uid="{BABB6B7D-0A68-4FD2-90D7-89F1A8164D54}"/>
    <cellStyle name="Normal 2 4 8 2 4" xfId="9340" xr:uid="{7D9B0E2C-C684-4A2C-8643-6256D77B9C89}"/>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4C202BB9-8D24-4075-B009-D685E4531705}"/>
    <cellStyle name="Normal 2 4 8 3 2 3" xfId="11898" xr:uid="{C85D7C2F-F674-4D22-AB33-9108EF59F9E6}"/>
    <cellStyle name="Normal 2 4 8 3 3" xfId="5532" xr:uid="{00000000-0005-0000-0000-000005110000}"/>
    <cellStyle name="Normal 2 4 8 3 3 2" xfId="13971" xr:uid="{E2F9F317-9BB6-4091-AF8B-95306B887EB5}"/>
    <cellStyle name="Normal 2 4 8 3 4" xfId="9753" xr:uid="{B766A89A-F0D3-4C2E-8244-434BD73C00B9}"/>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61C9E350-FBC1-4785-98DA-060B27EEC41D}"/>
    <cellStyle name="Normal 2 4 8 4 2 3" xfId="12311" xr:uid="{CED57DE6-16C4-4932-9FD0-4B3773DC2DB8}"/>
    <cellStyle name="Normal 2 4 8 4 3" xfId="5945" xr:uid="{00000000-0005-0000-0000-000009110000}"/>
    <cellStyle name="Normal 2 4 8 4 3 2" xfId="14384" xr:uid="{EA6EE15F-7790-4B70-B48A-0FE5714ADDAC}"/>
    <cellStyle name="Normal 2 4 8 4 4" xfId="10166" xr:uid="{40E81176-78A8-427D-AD12-F015900DB391}"/>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BEC535E1-3613-49E4-BAC2-7CA34B59840F}"/>
    <cellStyle name="Normal 2 4 8 5 2 3" xfId="12724" xr:uid="{E6914812-1855-4E23-8553-BED42DB0022D}"/>
    <cellStyle name="Normal 2 4 8 5 3" xfId="6358" xr:uid="{00000000-0005-0000-0000-00000D110000}"/>
    <cellStyle name="Normal 2 4 8 5 3 2" xfId="14797" xr:uid="{41A5ECB4-745D-4022-8EDC-8634EE31DE94}"/>
    <cellStyle name="Normal 2 4 8 5 4" xfId="10579" xr:uid="{FE532FE2-B1CE-4169-82A0-2F65FC475DBA}"/>
    <cellStyle name="Normal 2 4 8 6" xfId="2487" xr:uid="{00000000-0005-0000-0000-00000E110000}"/>
    <cellStyle name="Normal 2 4 8 6 2" xfId="6771" xr:uid="{00000000-0005-0000-0000-00000F110000}"/>
    <cellStyle name="Normal 2 4 8 6 2 2" xfId="15210" xr:uid="{1CFBB73C-2211-418C-987E-B686F78122B7}"/>
    <cellStyle name="Normal 2 4 8 6 3" xfId="10992" xr:uid="{B9D69348-7F80-4DE0-BC78-A270BB312878}"/>
    <cellStyle name="Normal 2 4 8 7" xfId="4705" xr:uid="{00000000-0005-0000-0000-000010110000}"/>
    <cellStyle name="Normal 2 4 8 7 2" xfId="13144" xr:uid="{61F07A63-6B13-4850-A4E7-667ADD548BE0}"/>
    <cellStyle name="Normal 2 4 8 8" xfId="8926" xr:uid="{42403B36-0116-47B5-85F1-18FA34F2ABC0}"/>
    <cellStyle name="Normal 2 5" xfId="315" xr:uid="{00000000-0005-0000-0000-000011110000}"/>
    <cellStyle name="Normal 2 5 10" xfId="4706" xr:uid="{00000000-0005-0000-0000-000012110000}"/>
    <cellStyle name="Normal 2 5 10 2" xfId="13145" xr:uid="{E2BB0AEF-0CCE-4C78-97A6-21E8F26DB0C8}"/>
    <cellStyle name="Normal 2 5 11" xfId="8927" xr:uid="{A37788C6-0CE6-44FC-B88F-FAA3895A2CF8}"/>
    <cellStyle name="Normal 2 5 2" xfId="316" xr:uid="{00000000-0005-0000-0000-000013110000}"/>
    <cellStyle name="Normal 2 5 3" xfId="317" xr:uid="{00000000-0005-0000-0000-000014110000}"/>
    <cellStyle name="Normal 2 5 4" xfId="318" xr:uid="{00000000-0005-0000-0000-000015110000}"/>
    <cellStyle name="Normal 2 5 4 10" xfId="8928" xr:uid="{F481C501-BBEA-4AD5-A291-0F86CFF01564}"/>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479A666D-B78C-45E9-90EF-33F857D77C07}"/>
    <cellStyle name="Normal 2 5 4 2 2 2 2 3" xfId="11489" xr:uid="{1E01690B-D12B-4A75-9DF5-388650AB853C}"/>
    <cellStyle name="Normal 2 5 4 2 2 2 3" xfId="5123" xr:uid="{00000000-0005-0000-0000-00001B110000}"/>
    <cellStyle name="Normal 2 5 4 2 2 2 3 2" xfId="13562" xr:uid="{3482D6FE-56B2-48D8-B7F2-86BDF5AE4D42}"/>
    <cellStyle name="Normal 2 5 4 2 2 2 4" xfId="9344" xr:uid="{07AF86C0-5E59-4E72-8F96-7A2A634BBBEE}"/>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C99FC288-327B-43C8-8DAF-E0E8CA22D283}"/>
    <cellStyle name="Normal 2 5 4 2 2 3 2 3" xfId="11902" xr:uid="{DE1D0C13-99AA-4548-B5C6-21E4863C0FA3}"/>
    <cellStyle name="Normal 2 5 4 2 2 3 3" xfId="5536" xr:uid="{00000000-0005-0000-0000-00001F110000}"/>
    <cellStyle name="Normal 2 5 4 2 2 3 3 2" xfId="13975" xr:uid="{F7E0B5FF-CF63-4E72-86E7-A7705110698C}"/>
    <cellStyle name="Normal 2 5 4 2 2 3 4" xfId="9757" xr:uid="{81FB3D51-3DD1-465C-99B2-80905F58869B}"/>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4DED1F18-E33A-4250-8FAC-FD43D9906B8D}"/>
    <cellStyle name="Normal 2 5 4 2 2 4 2 3" xfId="12315" xr:uid="{55B98C3F-C2F2-4A8B-95F6-C95FFBE2BE74}"/>
    <cellStyle name="Normal 2 5 4 2 2 4 3" xfId="5949" xr:uid="{00000000-0005-0000-0000-000023110000}"/>
    <cellStyle name="Normal 2 5 4 2 2 4 3 2" xfId="14388" xr:uid="{41492DA2-4AAB-49F0-86B7-2B8F2BB3C667}"/>
    <cellStyle name="Normal 2 5 4 2 2 4 4" xfId="10170" xr:uid="{E1E71776-D022-49B4-8B12-712164336BDC}"/>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7057DAF5-B0FA-482D-954C-EB170D3C6CC8}"/>
    <cellStyle name="Normal 2 5 4 2 2 5 2 3" xfId="12728" xr:uid="{2B093365-690F-4530-86EB-1A6D397AFC22}"/>
    <cellStyle name="Normal 2 5 4 2 2 5 3" xfId="6362" xr:uid="{00000000-0005-0000-0000-000027110000}"/>
    <cellStyle name="Normal 2 5 4 2 2 5 3 2" xfId="14801" xr:uid="{BB546325-7FAB-4D8A-A3FE-4E54127B4859}"/>
    <cellStyle name="Normal 2 5 4 2 2 5 4" xfId="10583" xr:uid="{FF1F57CD-02E7-4B28-AD26-34CB068F1302}"/>
    <cellStyle name="Normal 2 5 4 2 2 6" xfId="2491" xr:uid="{00000000-0005-0000-0000-000028110000}"/>
    <cellStyle name="Normal 2 5 4 2 2 6 2" xfId="6775" xr:uid="{00000000-0005-0000-0000-000029110000}"/>
    <cellStyle name="Normal 2 5 4 2 2 6 2 2" xfId="15214" xr:uid="{B9A9619B-34D4-4868-A5ED-39F14060DBA1}"/>
    <cellStyle name="Normal 2 5 4 2 2 6 3" xfId="10996" xr:uid="{59168B91-BF48-4B1D-8D61-A40739B46775}"/>
    <cellStyle name="Normal 2 5 4 2 2 7" xfId="4709" xr:uid="{00000000-0005-0000-0000-00002A110000}"/>
    <cellStyle name="Normal 2 5 4 2 2 7 2" xfId="13148" xr:uid="{4C4EA730-9A8B-47A1-A04D-43BFFC711A44}"/>
    <cellStyle name="Normal 2 5 4 2 2 8" xfId="8930" xr:uid="{B15581F4-7C99-4DCA-A0C2-9B8749D2D808}"/>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5A2FCD39-658A-439C-BAC9-00C2BC4BAD20}"/>
    <cellStyle name="Normal 2 5 4 2 3 2 3" xfId="11488" xr:uid="{8FC93DB0-6982-4256-82D6-0563A6D5C396}"/>
    <cellStyle name="Normal 2 5 4 2 3 3" xfId="5122" xr:uid="{00000000-0005-0000-0000-00002E110000}"/>
    <cellStyle name="Normal 2 5 4 2 3 3 2" xfId="13561" xr:uid="{D5CB8053-95F4-4059-A307-986E9E7D42A9}"/>
    <cellStyle name="Normal 2 5 4 2 3 4" xfId="9343" xr:uid="{907C9579-0B95-4CC6-8034-2BF491E5565F}"/>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257CAB90-A318-40D5-A6FF-74456FBD4169}"/>
    <cellStyle name="Normal 2 5 4 2 4 2 3" xfId="11901" xr:uid="{1EC4B0CB-0EF2-42C3-A488-A9E070D35CC2}"/>
    <cellStyle name="Normal 2 5 4 2 4 3" xfId="5535" xr:uid="{00000000-0005-0000-0000-000032110000}"/>
    <cellStyle name="Normal 2 5 4 2 4 3 2" xfId="13974" xr:uid="{557E5DC3-C2F2-4560-BED1-490EC0B54F67}"/>
    <cellStyle name="Normal 2 5 4 2 4 4" xfId="9756" xr:uid="{ED7AAF21-FE88-4243-84C7-FAA92360D0BB}"/>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558E8DE6-D80E-4CBE-868E-DEB5B5F33BF2}"/>
    <cellStyle name="Normal 2 5 4 2 5 2 3" xfId="12314" xr:uid="{584137FD-8CE3-4C41-AEEF-E96E16BF84E6}"/>
    <cellStyle name="Normal 2 5 4 2 5 3" xfId="5948" xr:uid="{00000000-0005-0000-0000-000036110000}"/>
    <cellStyle name="Normal 2 5 4 2 5 3 2" xfId="14387" xr:uid="{528A226C-0747-40DB-AF0D-CD1454A3D1F6}"/>
    <cellStyle name="Normal 2 5 4 2 5 4" xfId="10169" xr:uid="{055CF291-1C94-47A9-AAA2-D0462F072623}"/>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A006FCD8-25B4-4E6B-B595-B63F281278FA}"/>
    <cellStyle name="Normal 2 5 4 2 6 2 3" xfId="12727" xr:uid="{0DDF7BF0-9A4B-412C-85CE-2D1A5579CD6A}"/>
    <cellStyle name="Normal 2 5 4 2 6 3" xfId="6361" xr:uid="{00000000-0005-0000-0000-00003A110000}"/>
    <cellStyle name="Normal 2 5 4 2 6 3 2" xfId="14800" xr:uid="{1AAC0A81-C71B-4F4B-BE2E-D3FE8D41CE31}"/>
    <cellStyle name="Normal 2 5 4 2 6 4" xfId="10582" xr:uid="{81F8F586-A786-4F8C-A5E0-7C8A45610A35}"/>
    <cellStyle name="Normal 2 5 4 2 7" xfId="2490" xr:uid="{00000000-0005-0000-0000-00003B110000}"/>
    <cellStyle name="Normal 2 5 4 2 7 2" xfId="6774" xr:uid="{00000000-0005-0000-0000-00003C110000}"/>
    <cellStyle name="Normal 2 5 4 2 7 2 2" xfId="15213" xr:uid="{0300D3C4-DCFD-4F8C-9F64-B48D32C84CF6}"/>
    <cellStyle name="Normal 2 5 4 2 7 3" xfId="10995" xr:uid="{1F5C8BD9-847B-4C2B-AB67-EB7CB8176AC7}"/>
    <cellStyle name="Normal 2 5 4 2 8" xfId="4708" xr:uid="{00000000-0005-0000-0000-00003D110000}"/>
    <cellStyle name="Normal 2 5 4 2 8 2" xfId="13147" xr:uid="{196D8703-2461-44D6-AC25-D6EEF70EFA88}"/>
    <cellStyle name="Normal 2 5 4 2 9" xfId="8929" xr:uid="{76ACF9D8-A5A1-4F98-A0CE-0FABE9707386}"/>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1773D436-3F1F-493D-BF77-B8F115F4E754}"/>
    <cellStyle name="Normal 2 5 4 3 2 2 3" xfId="11490" xr:uid="{D61716D2-6721-421A-8F22-07FA9EEA489E}"/>
    <cellStyle name="Normal 2 5 4 3 2 3" xfId="5124" xr:uid="{00000000-0005-0000-0000-000042110000}"/>
    <cellStyle name="Normal 2 5 4 3 2 3 2" xfId="13563" xr:uid="{2FDAE4F4-901B-4422-AA44-33C017C99ACE}"/>
    <cellStyle name="Normal 2 5 4 3 2 4" xfId="9345" xr:uid="{D41025F1-759D-4868-BBF1-08E25163BCF5}"/>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7A61F80C-9CED-4252-B4B0-BF5297D846D3}"/>
    <cellStyle name="Normal 2 5 4 3 3 2 3" xfId="11903" xr:uid="{9DA517E6-67DF-4BF6-8A41-0B23473C839A}"/>
    <cellStyle name="Normal 2 5 4 3 3 3" xfId="5537" xr:uid="{00000000-0005-0000-0000-000046110000}"/>
    <cellStyle name="Normal 2 5 4 3 3 3 2" xfId="13976" xr:uid="{E620FD9B-2264-4349-8383-1AB6973258EA}"/>
    <cellStyle name="Normal 2 5 4 3 3 4" xfId="9758" xr:uid="{8EEEEB67-C32A-4B68-99E1-92FF69AE63F0}"/>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DADF9822-0F43-40FC-BBFB-AD3984718A2D}"/>
    <cellStyle name="Normal 2 5 4 3 4 2 3" xfId="12316" xr:uid="{14DB3E60-E38D-4177-9ECC-1D8B26720915}"/>
    <cellStyle name="Normal 2 5 4 3 4 3" xfId="5950" xr:uid="{00000000-0005-0000-0000-00004A110000}"/>
    <cellStyle name="Normal 2 5 4 3 4 3 2" xfId="14389" xr:uid="{2C2080E2-44B2-4FE6-BC5D-29E5CD49D3FC}"/>
    <cellStyle name="Normal 2 5 4 3 4 4" xfId="10171" xr:uid="{05A7EBAA-88E5-4F2B-A315-A55D24217D63}"/>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4847BB22-EBCF-41F6-8DC2-E5B88F681BC5}"/>
    <cellStyle name="Normal 2 5 4 3 5 2 3" xfId="12729" xr:uid="{904B4571-6972-4DEA-83D2-B454ED423CBE}"/>
    <cellStyle name="Normal 2 5 4 3 5 3" xfId="6363" xr:uid="{00000000-0005-0000-0000-00004E110000}"/>
    <cellStyle name="Normal 2 5 4 3 5 3 2" xfId="14802" xr:uid="{5428D787-42D0-40AD-BFD8-A09A22C8E018}"/>
    <cellStyle name="Normal 2 5 4 3 5 4" xfId="10584" xr:uid="{DD65C4E8-7E85-45D7-BEB0-67F902C6FD62}"/>
    <cellStyle name="Normal 2 5 4 3 6" xfId="2492" xr:uid="{00000000-0005-0000-0000-00004F110000}"/>
    <cellStyle name="Normal 2 5 4 3 6 2" xfId="6776" xr:uid="{00000000-0005-0000-0000-000050110000}"/>
    <cellStyle name="Normal 2 5 4 3 6 2 2" xfId="15215" xr:uid="{75FE0C05-0768-4F0E-9395-347D33668938}"/>
    <cellStyle name="Normal 2 5 4 3 6 3" xfId="10997" xr:uid="{7DB76233-BF72-4A9D-968A-EFF004432343}"/>
    <cellStyle name="Normal 2 5 4 3 7" xfId="4710" xr:uid="{00000000-0005-0000-0000-000051110000}"/>
    <cellStyle name="Normal 2 5 4 3 7 2" xfId="13149" xr:uid="{B3FE8DBA-AEDB-4412-A8D9-4A196BFE4457}"/>
    <cellStyle name="Normal 2 5 4 3 8" xfId="8931" xr:uid="{3B955B37-C464-4AC8-8637-F5561556387B}"/>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3C60D9EB-DD2F-4F76-BA8F-C2F13EE55158}"/>
    <cellStyle name="Normal 2 5 4 4 2 3" xfId="11487" xr:uid="{746E47C3-0C00-4180-88CC-94BF277D8899}"/>
    <cellStyle name="Normal 2 5 4 4 3" xfId="5121" xr:uid="{00000000-0005-0000-0000-000055110000}"/>
    <cellStyle name="Normal 2 5 4 4 3 2" xfId="13560" xr:uid="{653E2D2F-A8A1-4C1D-A5FA-4F83B0F432AE}"/>
    <cellStyle name="Normal 2 5 4 4 4" xfId="9342" xr:uid="{94DC1272-7AB6-4AF3-B420-A40FA8B97311}"/>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FFE9AF78-D303-43FE-B8FC-6A4AB608A7B2}"/>
    <cellStyle name="Normal 2 5 4 5 2 3" xfId="11900" xr:uid="{ED6F798C-DE77-4556-9EB9-20EE0FC10FE4}"/>
    <cellStyle name="Normal 2 5 4 5 3" xfId="5534" xr:uid="{00000000-0005-0000-0000-000059110000}"/>
    <cellStyle name="Normal 2 5 4 5 3 2" xfId="13973" xr:uid="{6D4CEA7D-3153-44F1-9AB6-F79A6D7ED659}"/>
    <cellStyle name="Normal 2 5 4 5 4" xfId="9755" xr:uid="{DFA60708-A7D5-4909-A87E-884B06C2B76A}"/>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9E969320-1FAC-47E5-B260-576CF84EB47D}"/>
    <cellStyle name="Normal 2 5 4 6 2 3" xfId="12313" xr:uid="{A4DEA37F-0FB3-4A9F-99BA-36A6C51FF9EE}"/>
    <cellStyle name="Normal 2 5 4 6 3" xfId="5947" xr:uid="{00000000-0005-0000-0000-00005D110000}"/>
    <cellStyle name="Normal 2 5 4 6 3 2" xfId="14386" xr:uid="{354B8DFB-741D-41C5-B50E-A52AE8C3D4DC}"/>
    <cellStyle name="Normal 2 5 4 6 4" xfId="10168" xr:uid="{3538B1E0-920D-4E76-881E-2C137C2BAF83}"/>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FA269C04-3AB2-4747-80A3-A3A6ACE16740}"/>
    <cellStyle name="Normal 2 5 4 7 2 3" xfId="12726" xr:uid="{2B226CE1-A6B4-456E-9847-D76C4E447F80}"/>
    <cellStyle name="Normal 2 5 4 7 3" xfId="6360" xr:uid="{00000000-0005-0000-0000-000061110000}"/>
    <cellStyle name="Normal 2 5 4 7 3 2" xfId="14799" xr:uid="{2BA26E1A-DCF8-4C54-965A-7E929AC790D6}"/>
    <cellStyle name="Normal 2 5 4 7 4" xfId="10581" xr:uid="{8E900B61-8B99-466E-BBB3-BAA23DF9AEC8}"/>
    <cellStyle name="Normal 2 5 4 8" xfId="2489" xr:uid="{00000000-0005-0000-0000-000062110000}"/>
    <cellStyle name="Normal 2 5 4 8 2" xfId="6773" xr:uid="{00000000-0005-0000-0000-000063110000}"/>
    <cellStyle name="Normal 2 5 4 8 2 2" xfId="15212" xr:uid="{ACDEFFFD-AF00-45BE-86A3-5189C4A18B0D}"/>
    <cellStyle name="Normal 2 5 4 8 3" xfId="10994" xr:uid="{31891C96-F2D3-498A-9F00-FBBF1895E93C}"/>
    <cellStyle name="Normal 2 5 4 9" xfId="4707" xr:uid="{00000000-0005-0000-0000-000064110000}"/>
    <cellStyle name="Normal 2 5 4 9 2" xfId="13146" xr:uid="{C5EBB400-0D3D-49C4-B1E0-BFB04594F859}"/>
    <cellStyle name="Normal 2 5 5" xfId="803" xr:uid="{00000000-0005-0000-0000-000065110000}"/>
    <cellStyle name="Normal 2 5 5 2" xfId="3042" xr:uid="{00000000-0005-0000-0000-000066110000}"/>
    <cellStyle name="Normal 2 5 5 2 2" xfId="7265" xr:uid="{00000000-0005-0000-0000-000067110000}"/>
    <cellStyle name="Normal 2 5 5 2 2 2" xfId="15704" xr:uid="{38E7EEDB-DD4D-4AC5-B35E-CB6B8D931E97}"/>
    <cellStyle name="Normal 2 5 5 2 3" xfId="11486" xr:uid="{60924EC3-2356-4412-B33A-303840D29516}"/>
    <cellStyle name="Normal 2 5 5 3" xfId="5120" xr:uid="{00000000-0005-0000-0000-000068110000}"/>
    <cellStyle name="Normal 2 5 5 3 2" xfId="13559" xr:uid="{8B8C2DBB-390B-4866-B15F-26EFF1C5DDA3}"/>
    <cellStyle name="Normal 2 5 5 4" xfId="9341" xr:uid="{7C2EE8B1-1250-4524-B94A-EE042CB46CB9}"/>
    <cellStyle name="Normal 2 5 6" xfId="1225" xr:uid="{00000000-0005-0000-0000-000069110000}"/>
    <cellStyle name="Normal 2 5 6 2" xfId="3455" xr:uid="{00000000-0005-0000-0000-00006A110000}"/>
    <cellStyle name="Normal 2 5 6 2 2" xfId="7678" xr:uid="{00000000-0005-0000-0000-00006B110000}"/>
    <cellStyle name="Normal 2 5 6 2 2 2" xfId="16117" xr:uid="{CB8E8F25-A74A-4E8A-BD69-53314ADFD192}"/>
    <cellStyle name="Normal 2 5 6 2 3" xfId="11899" xr:uid="{E9092428-D210-4D01-AFF6-31D79E4B8E43}"/>
    <cellStyle name="Normal 2 5 6 3" xfId="5533" xr:uid="{00000000-0005-0000-0000-00006C110000}"/>
    <cellStyle name="Normal 2 5 6 3 2" xfId="13972" xr:uid="{B44A92AE-249F-4A28-AAD2-188179E9F492}"/>
    <cellStyle name="Normal 2 5 6 4" xfId="9754" xr:uid="{CD66FE4B-41E0-435B-A6F9-C777B96C078A}"/>
    <cellStyle name="Normal 2 5 7" xfId="1638" xr:uid="{00000000-0005-0000-0000-00006D110000}"/>
    <cellStyle name="Normal 2 5 7 2" xfId="3868" xr:uid="{00000000-0005-0000-0000-00006E110000}"/>
    <cellStyle name="Normal 2 5 7 2 2" xfId="8091" xr:uid="{00000000-0005-0000-0000-00006F110000}"/>
    <cellStyle name="Normal 2 5 7 2 2 2" xfId="16530" xr:uid="{E2CCA84D-4E1A-4DAF-ABC0-6C6E3447B146}"/>
    <cellStyle name="Normal 2 5 7 2 3" xfId="12312" xr:uid="{0BA9631F-487A-4A5A-AE74-54109842ECDE}"/>
    <cellStyle name="Normal 2 5 7 3" xfId="5946" xr:uid="{00000000-0005-0000-0000-000070110000}"/>
    <cellStyle name="Normal 2 5 7 3 2" xfId="14385" xr:uid="{8C8A3D6E-AD37-4384-9F4F-0E2782170469}"/>
    <cellStyle name="Normal 2 5 7 4" xfId="10167" xr:uid="{DF22B349-0847-4FBF-A6C9-14B9E1029565}"/>
    <cellStyle name="Normal 2 5 8" xfId="2052" xr:uid="{00000000-0005-0000-0000-000071110000}"/>
    <cellStyle name="Normal 2 5 8 2" xfId="4281" xr:uid="{00000000-0005-0000-0000-000072110000}"/>
    <cellStyle name="Normal 2 5 8 2 2" xfId="8504" xr:uid="{00000000-0005-0000-0000-000073110000}"/>
    <cellStyle name="Normal 2 5 8 2 2 2" xfId="16943" xr:uid="{8A5E705E-F8E1-40F2-A774-D58F10FC3991}"/>
    <cellStyle name="Normal 2 5 8 2 3" xfId="12725" xr:uid="{FBEB9F24-618B-440E-99C9-0F40C5A5DF1B}"/>
    <cellStyle name="Normal 2 5 8 3" xfId="6359" xr:uid="{00000000-0005-0000-0000-000074110000}"/>
    <cellStyle name="Normal 2 5 8 3 2" xfId="14798" xr:uid="{9B314653-E4FB-4444-88E1-066F6E55BC10}"/>
    <cellStyle name="Normal 2 5 8 4" xfId="10580" xr:uid="{359C10ED-C3E9-459F-B257-00242201D693}"/>
    <cellStyle name="Normal 2 5 9" xfId="2488" xr:uid="{00000000-0005-0000-0000-000075110000}"/>
    <cellStyle name="Normal 2 5 9 2" xfId="6772" xr:uid="{00000000-0005-0000-0000-000076110000}"/>
    <cellStyle name="Normal 2 5 9 2 2" xfId="15211" xr:uid="{189065F3-8E63-409D-A176-3A7C0387ADCD}"/>
    <cellStyle name="Normal 2 5 9 3" xfId="10993" xr:uid="{2036DDCE-8F2B-494B-9C14-DA3145CFAD98}"/>
    <cellStyle name="Normal 2 6" xfId="322" xr:uid="{00000000-0005-0000-0000-000077110000}"/>
    <cellStyle name="Normal 2 7" xfId="769" xr:uid="{00000000-0005-0000-0000-000078110000}"/>
    <cellStyle name="Normal 2 8" xfId="4495" xr:uid="{00000000-0005-0000-0000-000079110000}"/>
    <cellStyle name="Normal 2 8 2" xfId="12937" xr:uid="{940928A8-64C7-49A3-9724-6369C907F1D5}"/>
    <cellStyle name="Normal 3" xfId="323" xr:uid="{00000000-0005-0000-0000-00007A110000}"/>
    <cellStyle name="Normal 3 2" xfId="324" xr:uid="{00000000-0005-0000-0000-00007B110000}"/>
    <cellStyle name="Normal 3 2 10" xfId="8932" xr:uid="{B99CE6B8-7DAC-422D-8E75-334B9BB2E858}"/>
    <cellStyle name="Normal 3 2 2" xfId="325" xr:uid="{00000000-0005-0000-0000-00007C110000}"/>
    <cellStyle name="Normal 3 2 2 2" xfId="810" xr:uid="{00000000-0005-0000-0000-00007D110000}"/>
    <cellStyle name="Normal 3 2 3" xfId="326" xr:uid="{00000000-0005-0000-0000-00007E110000}"/>
    <cellStyle name="Normal 3 2 3 10" xfId="8933" xr:uid="{711B1890-BB50-4272-B2AA-4B42090BE568}"/>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0BD15B2F-BF0B-446E-AD97-85B4DC62C4F2}"/>
    <cellStyle name="Normal 3 2 3 2 2 2 2 3" xfId="11494" xr:uid="{DED97777-3117-48B2-AD7B-0FFEDA895052}"/>
    <cellStyle name="Normal 3 2 3 2 2 2 3" xfId="5128" xr:uid="{00000000-0005-0000-0000-000084110000}"/>
    <cellStyle name="Normal 3 2 3 2 2 2 3 2" xfId="13567" xr:uid="{7B9942BB-DEC2-4CFD-9AB2-0B3A75F1418F}"/>
    <cellStyle name="Normal 3 2 3 2 2 2 4" xfId="9349" xr:uid="{133B62D7-0A76-4A69-BD7D-1E88EBAD3529}"/>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4E98BDF9-7195-447C-B89C-2BC2CA4F695B}"/>
    <cellStyle name="Normal 3 2 3 2 2 3 2 3" xfId="11907" xr:uid="{21ECAE32-55A3-4D04-ADDE-FBFB0884F9EF}"/>
    <cellStyle name="Normal 3 2 3 2 2 3 3" xfId="5541" xr:uid="{00000000-0005-0000-0000-000088110000}"/>
    <cellStyle name="Normal 3 2 3 2 2 3 3 2" xfId="13980" xr:uid="{5B061DC7-4363-4712-AB5F-E7AED47514EA}"/>
    <cellStyle name="Normal 3 2 3 2 2 3 4" xfId="9762" xr:uid="{29D373B8-BE84-4775-9745-AE8062967328}"/>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8363C294-A328-4CF4-99ED-58C25BB9E78B}"/>
    <cellStyle name="Normal 3 2 3 2 2 4 2 3" xfId="12320" xr:uid="{6481C363-121C-49C8-9B60-FACADA279910}"/>
    <cellStyle name="Normal 3 2 3 2 2 4 3" xfId="5954" xr:uid="{00000000-0005-0000-0000-00008C110000}"/>
    <cellStyle name="Normal 3 2 3 2 2 4 3 2" xfId="14393" xr:uid="{E8E94609-0B98-42F0-A749-D99AFA283A92}"/>
    <cellStyle name="Normal 3 2 3 2 2 4 4" xfId="10175" xr:uid="{0BC5A2A7-C97A-4787-93F1-C577238BE05D}"/>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A4D6936E-3AEE-4464-A08F-C589FD3F0BCB}"/>
    <cellStyle name="Normal 3 2 3 2 2 5 2 3" xfId="12733" xr:uid="{6FA9B696-AFF5-4965-9C27-DFDAB63578BC}"/>
    <cellStyle name="Normal 3 2 3 2 2 5 3" xfId="6367" xr:uid="{00000000-0005-0000-0000-000090110000}"/>
    <cellStyle name="Normal 3 2 3 2 2 5 3 2" xfId="14806" xr:uid="{70464F4C-B6FD-4CAC-B892-F33602DCFFD6}"/>
    <cellStyle name="Normal 3 2 3 2 2 5 4" xfId="10588" xr:uid="{0A3C6CEF-0842-4CCC-A64F-2188262107DB}"/>
    <cellStyle name="Normal 3 2 3 2 2 6" xfId="2496" xr:uid="{00000000-0005-0000-0000-000091110000}"/>
    <cellStyle name="Normal 3 2 3 2 2 6 2" xfId="6780" xr:uid="{00000000-0005-0000-0000-000092110000}"/>
    <cellStyle name="Normal 3 2 3 2 2 6 2 2" xfId="15219" xr:uid="{C2E706E5-C76D-4FF4-AE9A-FD23B9561338}"/>
    <cellStyle name="Normal 3 2 3 2 2 6 3" xfId="11001" xr:uid="{6A256DE5-1ADE-4093-B5DB-468633B4A105}"/>
    <cellStyle name="Normal 3 2 3 2 2 7" xfId="4714" xr:uid="{00000000-0005-0000-0000-000093110000}"/>
    <cellStyle name="Normal 3 2 3 2 2 7 2" xfId="13153" xr:uid="{D8C9C2CB-6BBB-4648-A275-1AE44BC5B89E}"/>
    <cellStyle name="Normal 3 2 3 2 2 8" xfId="8935" xr:uid="{12599B2F-F66B-4955-9BBC-86191DF199AD}"/>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5E60D881-D7FC-47A4-928D-87748FCC5CDB}"/>
    <cellStyle name="Normal 3 2 3 2 3 2 3" xfId="11493" xr:uid="{440F6D58-939E-4D5F-8147-9EAB2B1DC8A8}"/>
    <cellStyle name="Normal 3 2 3 2 3 3" xfId="5127" xr:uid="{00000000-0005-0000-0000-000097110000}"/>
    <cellStyle name="Normal 3 2 3 2 3 3 2" xfId="13566" xr:uid="{E2411165-A6D0-4BF5-BC49-C5E340FBBCCE}"/>
    <cellStyle name="Normal 3 2 3 2 3 4" xfId="9348" xr:uid="{4945DE91-FD8C-49E4-9DAB-BD0E2B189962}"/>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936301C6-A970-4606-B060-300338B970F1}"/>
    <cellStyle name="Normal 3 2 3 2 4 2 3" xfId="11906" xr:uid="{15C93DFD-3DAA-4D79-B03F-377D6BEFD328}"/>
    <cellStyle name="Normal 3 2 3 2 4 3" xfId="5540" xr:uid="{00000000-0005-0000-0000-00009B110000}"/>
    <cellStyle name="Normal 3 2 3 2 4 3 2" xfId="13979" xr:uid="{63C4F06B-CD93-4BF8-BBCF-9B626D2CAFE1}"/>
    <cellStyle name="Normal 3 2 3 2 4 4" xfId="9761" xr:uid="{4E14DA31-579F-462C-94AB-0592719F91AD}"/>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7506172F-E00B-44AE-9C90-BC37A3D93556}"/>
    <cellStyle name="Normal 3 2 3 2 5 2 3" xfId="12319" xr:uid="{5EF96199-70B5-461E-963E-3501074FE483}"/>
    <cellStyle name="Normal 3 2 3 2 5 3" xfId="5953" xr:uid="{00000000-0005-0000-0000-00009F110000}"/>
    <cellStyle name="Normal 3 2 3 2 5 3 2" xfId="14392" xr:uid="{E078F815-584E-4EBF-AB65-9BE43AF828C2}"/>
    <cellStyle name="Normal 3 2 3 2 5 4" xfId="10174" xr:uid="{C6F949B9-85EA-4373-9864-FBD7D4ACFEB0}"/>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561F8952-2B4B-4F26-88E5-78266CA6F449}"/>
    <cellStyle name="Normal 3 2 3 2 6 2 3" xfId="12732" xr:uid="{BC0C312E-7320-43C8-BD8E-41FBC66B7821}"/>
    <cellStyle name="Normal 3 2 3 2 6 3" xfId="6366" xr:uid="{00000000-0005-0000-0000-0000A3110000}"/>
    <cellStyle name="Normal 3 2 3 2 6 3 2" xfId="14805" xr:uid="{6B3D6583-E133-4795-90D2-9AEE704165DA}"/>
    <cellStyle name="Normal 3 2 3 2 6 4" xfId="10587" xr:uid="{27073624-DC1F-4AF8-BA75-657E1073D7B2}"/>
    <cellStyle name="Normal 3 2 3 2 7" xfId="2495" xr:uid="{00000000-0005-0000-0000-0000A4110000}"/>
    <cellStyle name="Normal 3 2 3 2 7 2" xfId="6779" xr:uid="{00000000-0005-0000-0000-0000A5110000}"/>
    <cellStyle name="Normal 3 2 3 2 7 2 2" xfId="15218" xr:uid="{4BBAE7EE-EFB1-4988-817A-4F1CE47E1FCC}"/>
    <cellStyle name="Normal 3 2 3 2 7 3" xfId="11000" xr:uid="{D0BBF220-193B-4B11-A97C-A5A22ED07363}"/>
    <cellStyle name="Normal 3 2 3 2 8" xfId="4713" xr:uid="{00000000-0005-0000-0000-0000A6110000}"/>
    <cellStyle name="Normal 3 2 3 2 8 2" xfId="13152" xr:uid="{B22D5E81-27DE-4E13-AD09-6FED7640602E}"/>
    <cellStyle name="Normal 3 2 3 2 9" xfId="8934" xr:uid="{EB6812A7-23CA-4A21-BAF2-101590455215}"/>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7DF9A9F7-7456-498D-AF15-0C9E3AE1FF92}"/>
    <cellStyle name="Normal 3 2 3 3 2 2 3" xfId="11495" xr:uid="{5E13BDCD-053E-45DD-87AB-77C70D63C49B}"/>
    <cellStyle name="Normal 3 2 3 3 2 3" xfId="5129" xr:uid="{00000000-0005-0000-0000-0000AB110000}"/>
    <cellStyle name="Normal 3 2 3 3 2 3 2" xfId="13568" xr:uid="{87B9CA70-06B8-4896-B33A-4D1E53B90D0C}"/>
    <cellStyle name="Normal 3 2 3 3 2 4" xfId="9350" xr:uid="{5B4F1145-A408-4EB9-A346-762B62E1663A}"/>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D25E41A9-C94F-4BC2-9840-B828CDF3B8D2}"/>
    <cellStyle name="Normal 3 2 3 3 3 2 3" xfId="11908" xr:uid="{D536FE83-F96C-462D-B8A6-6209FE33B977}"/>
    <cellStyle name="Normal 3 2 3 3 3 3" xfId="5542" xr:uid="{00000000-0005-0000-0000-0000AF110000}"/>
    <cellStyle name="Normal 3 2 3 3 3 3 2" xfId="13981" xr:uid="{BA5C6F85-6632-46B7-ABDA-A6901BDA8161}"/>
    <cellStyle name="Normal 3 2 3 3 3 4" xfId="9763" xr:uid="{24204799-D062-49DF-845C-872B37BE8A9B}"/>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DEE12B82-07C2-4F2E-8A6B-B2BD34D02083}"/>
    <cellStyle name="Normal 3 2 3 3 4 2 3" xfId="12321" xr:uid="{19C1F905-07D5-4507-B2EC-4AFC24208C42}"/>
    <cellStyle name="Normal 3 2 3 3 4 3" xfId="5955" xr:uid="{00000000-0005-0000-0000-0000B3110000}"/>
    <cellStyle name="Normal 3 2 3 3 4 3 2" xfId="14394" xr:uid="{3E3FABC2-6614-443D-A867-B89B3A5E88E3}"/>
    <cellStyle name="Normal 3 2 3 3 4 4" xfId="10176" xr:uid="{68DCDF7D-C5DD-43C6-8ED3-560E9EC6BDA8}"/>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C32F09CB-1319-4615-BA3C-2C0B0D64DCF2}"/>
    <cellStyle name="Normal 3 2 3 3 5 2 3" xfId="12734" xr:uid="{BDBCCD57-158D-4224-8ADE-FE108EEFC57D}"/>
    <cellStyle name="Normal 3 2 3 3 5 3" xfId="6368" xr:uid="{00000000-0005-0000-0000-0000B7110000}"/>
    <cellStyle name="Normal 3 2 3 3 5 3 2" xfId="14807" xr:uid="{D0E759B8-6BB5-4D02-967E-F7B25D6DB62B}"/>
    <cellStyle name="Normal 3 2 3 3 5 4" xfId="10589" xr:uid="{8BA511A9-F219-406E-8808-C2F61F5A7E71}"/>
    <cellStyle name="Normal 3 2 3 3 6" xfId="2497" xr:uid="{00000000-0005-0000-0000-0000B8110000}"/>
    <cellStyle name="Normal 3 2 3 3 6 2" xfId="6781" xr:uid="{00000000-0005-0000-0000-0000B9110000}"/>
    <cellStyle name="Normal 3 2 3 3 6 2 2" xfId="15220" xr:uid="{85609A67-2A77-4305-972E-3B4544967AF8}"/>
    <cellStyle name="Normal 3 2 3 3 6 3" xfId="11002" xr:uid="{DEDB98D3-0B66-4F91-901C-51273BB59C18}"/>
    <cellStyle name="Normal 3 2 3 3 7" xfId="4715" xr:uid="{00000000-0005-0000-0000-0000BA110000}"/>
    <cellStyle name="Normal 3 2 3 3 7 2" xfId="13154" xr:uid="{85C10039-8DC5-4CCB-B8C6-012A5A721CFE}"/>
    <cellStyle name="Normal 3 2 3 3 8" xfId="8936" xr:uid="{897A14FC-7787-420B-9FF2-CF9AF2FFF49A}"/>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BCF19486-A3C2-4DB1-AF10-EAD51034C08A}"/>
    <cellStyle name="Normal 3 2 3 4 2 3" xfId="11492" xr:uid="{70C0B0DE-BF42-4DCA-A1A5-01A70079F473}"/>
    <cellStyle name="Normal 3 2 3 4 3" xfId="5126" xr:uid="{00000000-0005-0000-0000-0000BE110000}"/>
    <cellStyle name="Normal 3 2 3 4 3 2" xfId="13565" xr:uid="{484A1DEA-788F-453E-B586-AE5F0D23A113}"/>
    <cellStyle name="Normal 3 2 3 4 4" xfId="9347" xr:uid="{C76B6FDF-C435-4BA5-BED5-1950ED5ED9AC}"/>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2C80D29C-F115-4C45-A73E-32476E4C306F}"/>
    <cellStyle name="Normal 3 2 3 5 2 3" xfId="11905" xr:uid="{1E5AC6E4-FD60-4F5B-B2C8-DF4E38915779}"/>
    <cellStyle name="Normal 3 2 3 5 3" xfId="5539" xr:uid="{00000000-0005-0000-0000-0000C2110000}"/>
    <cellStyle name="Normal 3 2 3 5 3 2" xfId="13978" xr:uid="{C8920238-60C1-457C-B1EB-A5662D3DC8B1}"/>
    <cellStyle name="Normal 3 2 3 5 4" xfId="9760" xr:uid="{B7664497-C188-4A19-AD31-4C0DCA114972}"/>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00641E40-D093-4A73-8727-52B4444632F8}"/>
    <cellStyle name="Normal 3 2 3 6 2 3" xfId="12318" xr:uid="{0AEC6B84-0566-4D8C-B3A2-E0BE312CE185}"/>
    <cellStyle name="Normal 3 2 3 6 3" xfId="5952" xr:uid="{00000000-0005-0000-0000-0000C6110000}"/>
    <cellStyle name="Normal 3 2 3 6 3 2" xfId="14391" xr:uid="{4F7BB72B-AF86-4B3D-A6F1-AD1D580F079E}"/>
    <cellStyle name="Normal 3 2 3 6 4" xfId="10173" xr:uid="{48A5CFA0-897A-4AD6-92AF-5537C5D39CC5}"/>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59A2469A-B990-47FF-9BD8-B93CAA9AD604}"/>
    <cellStyle name="Normal 3 2 3 7 2 3" xfId="12731" xr:uid="{C5DF1808-1242-4258-98E4-46098DFC1095}"/>
    <cellStyle name="Normal 3 2 3 7 3" xfId="6365" xr:uid="{00000000-0005-0000-0000-0000CA110000}"/>
    <cellStyle name="Normal 3 2 3 7 3 2" xfId="14804" xr:uid="{F81EAD7A-E1EA-4AC7-B264-DE475B84517C}"/>
    <cellStyle name="Normal 3 2 3 7 4" xfId="10586" xr:uid="{8137873B-0010-4927-9C73-E27247B943CE}"/>
    <cellStyle name="Normal 3 2 3 8" xfId="2494" xr:uid="{00000000-0005-0000-0000-0000CB110000}"/>
    <cellStyle name="Normal 3 2 3 8 2" xfId="6778" xr:uid="{00000000-0005-0000-0000-0000CC110000}"/>
    <cellStyle name="Normal 3 2 3 8 2 2" xfId="15217" xr:uid="{0B769598-5DEE-4BB6-A36D-1849310BABF6}"/>
    <cellStyle name="Normal 3 2 3 8 3" xfId="10999" xr:uid="{063132AC-0AA6-4B10-8448-09BAC1896A0C}"/>
    <cellStyle name="Normal 3 2 3 9" xfId="4712" xr:uid="{00000000-0005-0000-0000-0000CD110000}"/>
    <cellStyle name="Normal 3 2 3 9 2" xfId="13151" xr:uid="{8FDD26E5-79E1-4FE3-9884-A962E69F512A}"/>
    <cellStyle name="Normal 3 2 4" xfId="809" xr:uid="{00000000-0005-0000-0000-0000CE110000}"/>
    <cellStyle name="Normal 3 2 4 2" xfId="3047" xr:uid="{00000000-0005-0000-0000-0000CF110000}"/>
    <cellStyle name="Normal 3 2 4 2 2" xfId="7270" xr:uid="{00000000-0005-0000-0000-0000D0110000}"/>
    <cellStyle name="Normal 3 2 4 2 2 2" xfId="15709" xr:uid="{9D703D01-442A-4A42-8462-D5598127455D}"/>
    <cellStyle name="Normal 3 2 4 2 3" xfId="11491" xr:uid="{3EEB6362-8826-4AE9-8806-2C9AE8B0648D}"/>
    <cellStyle name="Normal 3 2 4 3" xfId="5125" xr:uid="{00000000-0005-0000-0000-0000D1110000}"/>
    <cellStyle name="Normal 3 2 4 3 2" xfId="13564" xr:uid="{EEE2D8EC-66A5-4BC1-90CE-129C29D36DC3}"/>
    <cellStyle name="Normal 3 2 4 4" xfId="9346" xr:uid="{A46E2F29-300C-46EC-87C8-196616FEC59F}"/>
    <cellStyle name="Normal 3 2 5" xfId="1230" xr:uid="{00000000-0005-0000-0000-0000D2110000}"/>
    <cellStyle name="Normal 3 2 5 2" xfId="3460" xr:uid="{00000000-0005-0000-0000-0000D3110000}"/>
    <cellStyle name="Normal 3 2 5 2 2" xfId="7683" xr:uid="{00000000-0005-0000-0000-0000D4110000}"/>
    <cellStyle name="Normal 3 2 5 2 2 2" xfId="16122" xr:uid="{E75F345E-07B5-4276-AE33-609BDC33EF76}"/>
    <cellStyle name="Normal 3 2 5 2 3" xfId="11904" xr:uid="{CFF3F403-672E-44BC-B3FF-E359950645D3}"/>
    <cellStyle name="Normal 3 2 5 3" xfId="5538" xr:uid="{00000000-0005-0000-0000-0000D5110000}"/>
    <cellStyle name="Normal 3 2 5 3 2" xfId="13977" xr:uid="{107116AA-E78A-464E-B8B8-96C5C66A7DCA}"/>
    <cellStyle name="Normal 3 2 5 4" xfId="9759" xr:uid="{66E7FC31-0EC2-417C-8E54-90015A22F14B}"/>
    <cellStyle name="Normal 3 2 6" xfId="1643" xr:uid="{00000000-0005-0000-0000-0000D6110000}"/>
    <cellStyle name="Normal 3 2 6 2" xfId="3873" xr:uid="{00000000-0005-0000-0000-0000D7110000}"/>
    <cellStyle name="Normal 3 2 6 2 2" xfId="8096" xr:uid="{00000000-0005-0000-0000-0000D8110000}"/>
    <cellStyle name="Normal 3 2 6 2 2 2" xfId="16535" xr:uid="{C1F95D1C-2BCB-40CF-B04F-3075B1D7FE57}"/>
    <cellStyle name="Normal 3 2 6 2 3" xfId="12317" xr:uid="{6BE828EE-59A4-4B22-AEA4-80139161805C}"/>
    <cellStyle name="Normal 3 2 6 3" xfId="5951" xr:uid="{00000000-0005-0000-0000-0000D9110000}"/>
    <cellStyle name="Normal 3 2 6 3 2" xfId="14390" xr:uid="{128CC12A-BEE2-410C-ACF9-34531693AB01}"/>
    <cellStyle name="Normal 3 2 6 4" xfId="10172" xr:uid="{F3D79B67-899A-4D8F-B46D-AD509BC66A77}"/>
    <cellStyle name="Normal 3 2 7" xfId="2057" xr:uid="{00000000-0005-0000-0000-0000DA110000}"/>
    <cellStyle name="Normal 3 2 7 2" xfId="4286" xr:uid="{00000000-0005-0000-0000-0000DB110000}"/>
    <cellStyle name="Normal 3 2 7 2 2" xfId="8509" xr:uid="{00000000-0005-0000-0000-0000DC110000}"/>
    <cellStyle name="Normal 3 2 7 2 2 2" xfId="16948" xr:uid="{730F2704-33C2-4A5E-A6A3-070CBCD10F27}"/>
    <cellStyle name="Normal 3 2 7 2 3" xfId="12730" xr:uid="{FFE97FF3-33E2-467C-ACC0-A6A4D204816F}"/>
    <cellStyle name="Normal 3 2 7 3" xfId="6364" xr:uid="{00000000-0005-0000-0000-0000DD110000}"/>
    <cellStyle name="Normal 3 2 7 3 2" xfId="14803" xr:uid="{63D29133-D2AF-4C7C-971E-C9083291840E}"/>
    <cellStyle name="Normal 3 2 7 4" xfId="10585" xr:uid="{D3D74EFA-C5B2-47C4-BB12-FE65FDE0C7BD}"/>
    <cellStyle name="Normal 3 2 8" xfId="2493" xr:uid="{00000000-0005-0000-0000-0000DE110000}"/>
    <cellStyle name="Normal 3 2 8 2" xfId="6777" xr:uid="{00000000-0005-0000-0000-0000DF110000}"/>
    <cellStyle name="Normal 3 2 8 2 2" xfId="15216" xr:uid="{9667A3E6-E1BC-45FA-9901-46DB6F49BBD2}"/>
    <cellStyle name="Normal 3 2 8 3" xfId="10998" xr:uid="{1F53F236-95AF-40B3-97A9-86E4EB010EF3}"/>
    <cellStyle name="Normal 3 2 9" xfId="4711" xr:uid="{00000000-0005-0000-0000-0000E0110000}"/>
    <cellStyle name="Normal 3 2 9 2" xfId="13150" xr:uid="{DAC48428-7C96-48F6-827F-D9661ADD9CF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1C1C9CAB-30BC-4754-9815-2217298EAF4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A76CFE4E-2F23-48EF-815B-35E34254414A}"/>
    <cellStyle name="Normal 4 2 2 10 2 3" xfId="12735" xr:uid="{6C9C4D90-AFAE-44E7-AB05-16B2303D4A63}"/>
    <cellStyle name="Normal 4 2 2 10 3" xfId="6369" xr:uid="{00000000-0005-0000-0000-0000ED110000}"/>
    <cellStyle name="Normal 4 2 2 10 3 2" xfId="14808" xr:uid="{A271656D-595B-49A4-9BE8-09FBDAC44984}"/>
    <cellStyle name="Normal 4 2 2 10 4" xfId="10590" xr:uid="{B0F27FA1-FA4E-442E-8580-46956C93C0A1}"/>
    <cellStyle name="Normal 4 2 2 11" xfId="2498" xr:uid="{00000000-0005-0000-0000-0000EE110000}"/>
    <cellStyle name="Normal 4 2 2 11 2" xfId="6782" xr:uid="{00000000-0005-0000-0000-0000EF110000}"/>
    <cellStyle name="Normal 4 2 2 11 2 2" xfId="15221" xr:uid="{43D14912-94C2-4378-B698-B853CE11AF3B}"/>
    <cellStyle name="Normal 4 2 2 11 3" xfId="11003" xr:uid="{0923BC29-406A-4B19-A56C-B878AABEC347}"/>
    <cellStyle name="Normal 4 2 2 12" xfId="4717" xr:uid="{00000000-0005-0000-0000-0000F0110000}"/>
    <cellStyle name="Normal 4 2 2 12 2" xfId="13156" xr:uid="{BAA51E51-642A-49AD-A1C4-7C910E13663B}"/>
    <cellStyle name="Normal 4 2 2 13" xfId="8938" xr:uid="{6953F8CD-91D9-48E5-B80B-3B84932E9233}"/>
    <cellStyle name="Normal 4 2 2 2" xfId="338" xr:uid="{00000000-0005-0000-0000-0000F1110000}"/>
    <cellStyle name="Normal 4 2 2 3" xfId="339" xr:uid="{00000000-0005-0000-0000-0000F2110000}"/>
    <cellStyle name="Normal 4 2 2 3 10" xfId="4718" xr:uid="{00000000-0005-0000-0000-0000F3110000}"/>
    <cellStyle name="Normal 4 2 2 3 10 2" xfId="13157" xr:uid="{2CCD8EA7-F6EA-479D-A38A-EE52F3113800}"/>
    <cellStyle name="Normal 4 2 2 3 11" xfId="8939" xr:uid="{F4F51D3D-8960-429C-B707-FA2D4ED805EC}"/>
    <cellStyle name="Normal 4 2 2 3 2" xfId="340" xr:uid="{00000000-0005-0000-0000-0000F4110000}"/>
    <cellStyle name="Normal 4 2 2 3 2 10" xfId="8940" xr:uid="{BEDC4797-5321-449D-BC30-9400133FD4C3}"/>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3DF95F81-C967-430F-AB5A-D60ED2967EB5}"/>
    <cellStyle name="Normal 4 2 2 3 2 2 2 2 2 3" xfId="11500" xr:uid="{68A0D24E-513F-4D25-9D35-D90647DD3CE2}"/>
    <cellStyle name="Normal 4 2 2 3 2 2 2 2 3" xfId="5134" xr:uid="{00000000-0005-0000-0000-0000FA110000}"/>
    <cellStyle name="Normal 4 2 2 3 2 2 2 2 3 2" xfId="13573" xr:uid="{E73CAFAC-B690-490E-A5FD-B5721B432BE9}"/>
    <cellStyle name="Normal 4 2 2 3 2 2 2 2 4" xfId="9355" xr:uid="{BF380D79-4B67-4843-A868-BA1AEB770EED}"/>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09B2302B-EC69-498F-8C80-24835D40B9C2}"/>
    <cellStyle name="Normal 4 2 2 3 2 2 2 3 2 3" xfId="11913" xr:uid="{E3BDB80E-AFF8-43E2-B517-D770B7BA7ED0}"/>
    <cellStyle name="Normal 4 2 2 3 2 2 2 3 3" xfId="5547" xr:uid="{00000000-0005-0000-0000-0000FE110000}"/>
    <cellStyle name="Normal 4 2 2 3 2 2 2 3 3 2" xfId="13986" xr:uid="{9FF3404F-8082-43FA-970B-200B102F6D75}"/>
    <cellStyle name="Normal 4 2 2 3 2 2 2 3 4" xfId="9768" xr:uid="{688B862B-587F-4A1A-9D30-83E00C106BB4}"/>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5254F1C7-BFC9-4F52-B70E-4D47A970BD40}"/>
    <cellStyle name="Normal 4 2 2 3 2 2 2 4 2 3" xfId="12326" xr:uid="{83979D59-70D7-4CFA-90B6-C73A92D7A737}"/>
    <cellStyle name="Normal 4 2 2 3 2 2 2 4 3" xfId="5960" xr:uid="{00000000-0005-0000-0000-000002120000}"/>
    <cellStyle name="Normal 4 2 2 3 2 2 2 4 3 2" xfId="14399" xr:uid="{540E50FC-CAE3-4400-992C-B9B64A01C2A0}"/>
    <cellStyle name="Normal 4 2 2 3 2 2 2 4 4" xfId="10181" xr:uid="{B6438551-28E4-4C55-96A1-AFB096DB4CD3}"/>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3FBA5DA2-B079-4265-84ED-9780828555A7}"/>
    <cellStyle name="Normal 4 2 2 3 2 2 2 5 2 3" xfId="12739" xr:uid="{D3383441-0690-49C1-BF88-F7F0967B029E}"/>
    <cellStyle name="Normal 4 2 2 3 2 2 2 5 3" xfId="6373" xr:uid="{00000000-0005-0000-0000-000006120000}"/>
    <cellStyle name="Normal 4 2 2 3 2 2 2 5 3 2" xfId="14812" xr:uid="{28177E1E-CE9C-425D-9813-0B138308A1F0}"/>
    <cellStyle name="Normal 4 2 2 3 2 2 2 5 4" xfId="10594" xr:uid="{B81FC4E2-B520-449E-9E24-4F63D9FF5011}"/>
    <cellStyle name="Normal 4 2 2 3 2 2 2 6" xfId="2502" xr:uid="{00000000-0005-0000-0000-000007120000}"/>
    <cellStyle name="Normal 4 2 2 3 2 2 2 6 2" xfId="6786" xr:uid="{00000000-0005-0000-0000-000008120000}"/>
    <cellStyle name="Normal 4 2 2 3 2 2 2 6 2 2" xfId="15225" xr:uid="{7F2F8CB0-4163-48BA-B44E-02472BB816D9}"/>
    <cellStyle name="Normal 4 2 2 3 2 2 2 6 3" xfId="11007" xr:uid="{5BA50735-E079-4E0A-88DD-FB59C3177C14}"/>
    <cellStyle name="Normal 4 2 2 3 2 2 2 7" xfId="4721" xr:uid="{00000000-0005-0000-0000-000009120000}"/>
    <cellStyle name="Normal 4 2 2 3 2 2 2 7 2" xfId="13160" xr:uid="{8A51D62C-EEF7-410B-95F9-75B1DA581C99}"/>
    <cellStyle name="Normal 4 2 2 3 2 2 2 8" xfId="8942" xr:uid="{3AF78F2E-06F2-49C3-A87A-9B21B038DED6}"/>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5D719374-3CC7-4941-A8CA-CA55ED00BD57}"/>
    <cellStyle name="Normal 4 2 2 3 2 2 3 2 3" xfId="11499" xr:uid="{7335865E-025B-4886-BB1D-F49867DB9340}"/>
    <cellStyle name="Normal 4 2 2 3 2 2 3 3" xfId="5133" xr:uid="{00000000-0005-0000-0000-00000D120000}"/>
    <cellStyle name="Normal 4 2 2 3 2 2 3 3 2" xfId="13572" xr:uid="{76AF5588-901A-4648-859D-AA260900838C}"/>
    <cellStyle name="Normal 4 2 2 3 2 2 3 4" xfId="9354" xr:uid="{85BEA7A6-E238-49EB-A4DF-12F6205AF476}"/>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EAF17679-7E4D-4A37-BCDE-BCA20899BD70}"/>
    <cellStyle name="Normal 4 2 2 3 2 2 4 2 3" xfId="11912" xr:uid="{C150B019-FE40-43B2-B8E6-534DE8CEA4C2}"/>
    <cellStyle name="Normal 4 2 2 3 2 2 4 3" xfId="5546" xr:uid="{00000000-0005-0000-0000-000011120000}"/>
    <cellStyle name="Normal 4 2 2 3 2 2 4 3 2" xfId="13985" xr:uid="{FA61E8FF-3B78-4A8E-B557-FED56AB59594}"/>
    <cellStyle name="Normal 4 2 2 3 2 2 4 4" xfId="9767" xr:uid="{877463AB-C461-41F3-A6CD-3CE2127E4E34}"/>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B733E4FA-5F7C-4BDE-842F-4921E23303B5}"/>
    <cellStyle name="Normal 4 2 2 3 2 2 5 2 3" xfId="12325" xr:uid="{676149E1-90FF-457A-8FBA-4F338A49524C}"/>
    <cellStyle name="Normal 4 2 2 3 2 2 5 3" xfId="5959" xr:uid="{00000000-0005-0000-0000-000015120000}"/>
    <cellStyle name="Normal 4 2 2 3 2 2 5 3 2" xfId="14398" xr:uid="{7494E629-B473-468C-9756-56E3966BC9ED}"/>
    <cellStyle name="Normal 4 2 2 3 2 2 5 4" xfId="10180" xr:uid="{8C40B186-379B-4640-B54D-040FEC99FA2D}"/>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3BD883C5-A6FE-4BD3-B6EA-D1E72ECDD604}"/>
    <cellStyle name="Normal 4 2 2 3 2 2 6 2 3" xfId="12738" xr:uid="{78BDE65E-4A9F-4AAF-8682-47A498A11A5A}"/>
    <cellStyle name="Normal 4 2 2 3 2 2 6 3" xfId="6372" xr:uid="{00000000-0005-0000-0000-000019120000}"/>
    <cellStyle name="Normal 4 2 2 3 2 2 6 3 2" xfId="14811" xr:uid="{12CE7F83-A09C-4541-B4A7-8FC16BCB4287}"/>
    <cellStyle name="Normal 4 2 2 3 2 2 6 4" xfId="10593" xr:uid="{41F7552E-43E9-4837-A979-B460207DF718}"/>
    <cellStyle name="Normal 4 2 2 3 2 2 7" xfId="2501" xr:uid="{00000000-0005-0000-0000-00001A120000}"/>
    <cellStyle name="Normal 4 2 2 3 2 2 7 2" xfId="6785" xr:uid="{00000000-0005-0000-0000-00001B120000}"/>
    <cellStyle name="Normal 4 2 2 3 2 2 7 2 2" xfId="15224" xr:uid="{ABB3F084-9A91-448C-8202-1399B46E5C13}"/>
    <cellStyle name="Normal 4 2 2 3 2 2 7 3" xfId="11006" xr:uid="{D0F3518D-BD16-4C20-A441-728177B68927}"/>
    <cellStyle name="Normal 4 2 2 3 2 2 8" xfId="4720" xr:uid="{00000000-0005-0000-0000-00001C120000}"/>
    <cellStyle name="Normal 4 2 2 3 2 2 8 2" xfId="13159" xr:uid="{97C34A8E-1BC6-4B05-8678-F18B921ADAE0}"/>
    <cellStyle name="Normal 4 2 2 3 2 2 9" xfId="8941" xr:uid="{161312F4-ED79-4949-932A-9D4BDC583053}"/>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06434D5C-95DB-4B94-B118-96DE343258CF}"/>
    <cellStyle name="Normal 4 2 2 3 2 3 2 2 3" xfId="11501" xr:uid="{2C85838D-A98D-4756-934C-7790FBE5DD6A}"/>
    <cellStyle name="Normal 4 2 2 3 2 3 2 3" xfId="5135" xr:uid="{00000000-0005-0000-0000-000021120000}"/>
    <cellStyle name="Normal 4 2 2 3 2 3 2 3 2" xfId="13574" xr:uid="{98433E65-A522-49BC-918F-FEFC3EDF612D}"/>
    <cellStyle name="Normal 4 2 2 3 2 3 2 4" xfId="9356" xr:uid="{E323560A-03EA-4BCA-8DE0-5A845C16EABE}"/>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40A9AADC-05CB-4016-9A97-F08D1E57DE9D}"/>
    <cellStyle name="Normal 4 2 2 3 2 3 3 2 3" xfId="11914" xr:uid="{691E326C-F117-4E3F-9876-2FEFEA983978}"/>
    <cellStyle name="Normal 4 2 2 3 2 3 3 3" xfId="5548" xr:uid="{00000000-0005-0000-0000-000025120000}"/>
    <cellStyle name="Normal 4 2 2 3 2 3 3 3 2" xfId="13987" xr:uid="{1EE6E8F5-04B8-45A4-8EF5-9FA5ABFE7867}"/>
    <cellStyle name="Normal 4 2 2 3 2 3 3 4" xfId="9769" xr:uid="{95268171-CA04-4B7A-B8AB-2EF6E13C261E}"/>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3DB5E1AE-5F34-4370-9BEF-D8394DC41314}"/>
    <cellStyle name="Normal 4 2 2 3 2 3 4 2 3" xfId="12327" xr:uid="{24F4FE43-9AE7-4869-B863-6E0B3D6D252B}"/>
    <cellStyle name="Normal 4 2 2 3 2 3 4 3" xfId="5961" xr:uid="{00000000-0005-0000-0000-000029120000}"/>
    <cellStyle name="Normal 4 2 2 3 2 3 4 3 2" xfId="14400" xr:uid="{AB106301-15E0-4902-B086-D06BEE61BA3A}"/>
    <cellStyle name="Normal 4 2 2 3 2 3 4 4" xfId="10182" xr:uid="{34EBE7AC-0B9A-4D69-A7B0-1C6F10F5B33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D753AF35-468F-49DE-9399-0D88D03994D9}"/>
    <cellStyle name="Normal 4 2 2 3 2 3 5 2 3" xfId="12740" xr:uid="{CF909906-8F87-468D-915D-A00603906F86}"/>
    <cellStyle name="Normal 4 2 2 3 2 3 5 3" xfId="6374" xr:uid="{00000000-0005-0000-0000-00002D120000}"/>
    <cellStyle name="Normal 4 2 2 3 2 3 5 3 2" xfId="14813" xr:uid="{E7D9E452-6087-4878-9597-7C7F3E3510E0}"/>
    <cellStyle name="Normal 4 2 2 3 2 3 5 4" xfId="10595" xr:uid="{4F7EF272-9A2E-4D83-8DF9-99574E8C9FC6}"/>
    <cellStyle name="Normal 4 2 2 3 2 3 6" xfId="2503" xr:uid="{00000000-0005-0000-0000-00002E120000}"/>
    <cellStyle name="Normal 4 2 2 3 2 3 6 2" xfId="6787" xr:uid="{00000000-0005-0000-0000-00002F120000}"/>
    <cellStyle name="Normal 4 2 2 3 2 3 6 2 2" xfId="15226" xr:uid="{CFA9BEE7-F20F-41CB-8A6D-8106E365FEFB}"/>
    <cellStyle name="Normal 4 2 2 3 2 3 6 3" xfId="11008" xr:uid="{B7D8672A-1F8A-4AAC-A895-09002179C1F7}"/>
    <cellStyle name="Normal 4 2 2 3 2 3 7" xfId="4722" xr:uid="{00000000-0005-0000-0000-000030120000}"/>
    <cellStyle name="Normal 4 2 2 3 2 3 7 2" xfId="13161" xr:uid="{8CACBE64-09CD-436F-8A01-FBC89E28085A}"/>
    <cellStyle name="Normal 4 2 2 3 2 3 8" xfId="8943" xr:uid="{95E3DAAF-35F9-434D-922F-69E5AD83992D}"/>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3FD25A10-A323-435A-8669-4D8FDCB5A746}"/>
    <cellStyle name="Normal 4 2 2 3 2 4 2 3" xfId="11498" xr:uid="{89A191EF-54EE-4849-8587-E5BDE8592151}"/>
    <cellStyle name="Normal 4 2 2 3 2 4 3" xfId="5132" xr:uid="{00000000-0005-0000-0000-000034120000}"/>
    <cellStyle name="Normal 4 2 2 3 2 4 3 2" xfId="13571" xr:uid="{C4A03677-8BE4-431D-86DA-77983A8FE760}"/>
    <cellStyle name="Normal 4 2 2 3 2 4 4" xfId="9353" xr:uid="{850490BF-FA55-4C6B-97F2-D9308629F9D2}"/>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56458194-D1F3-491C-BB91-D9D08137B30E}"/>
    <cellStyle name="Normal 4 2 2 3 2 5 2 3" xfId="11911" xr:uid="{AF07ABC8-C741-458C-8A53-F030E095659C}"/>
    <cellStyle name="Normal 4 2 2 3 2 5 3" xfId="5545" xr:uid="{00000000-0005-0000-0000-000038120000}"/>
    <cellStyle name="Normal 4 2 2 3 2 5 3 2" xfId="13984" xr:uid="{8B13A336-F6A5-40CD-A375-CAE884C8F47F}"/>
    <cellStyle name="Normal 4 2 2 3 2 5 4" xfId="9766" xr:uid="{F4B47871-190A-4266-A6FC-9E60201BF96A}"/>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58B58BC9-0888-4231-8289-27CDE8184143}"/>
    <cellStyle name="Normal 4 2 2 3 2 6 2 3" xfId="12324" xr:uid="{2FE81524-41B2-416A-B007-B0B9B5D9091C}"/>
    <cellStyle name="Normal 4 2 2 3 2 6 3" xfId="5958" xr:uid="{00000000-0005-0000-0000-00003C120000}"/>
    <cellStyle name="Normal 4 2 2 3 2 6 3 2" xfId="14397" xr:uid="{8A0A5522-6C70-43F4-B35B-C1CDB427769D}"/>
    <cellStyle name="Normal 4 2 2 3 2 6 4" xfId="10179" xr:uid="{DC1F3F74-5F04-48E9-82D3-89E578D277AA}"/>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1AF5BD5C-2D13-4503-A311-61FE002B89E2}"/>
    <cellStyle name="Normal 4 2 2 3 2 7 2 3" xfId="12737" xr:uid="{FC8A16C9-E421-4707-AB39-C6D21724F898}"/>
    <cellStyle name="Normal 4 2 2 3 2 7 3" xfId="6371" xr:uid="{00000000-0005-0000-0000-000040120000}"/>
    <cellStyle name="Normal 4 2 2 3 2 7 3 2" xfId="14810" xr:uid="{51971483-5C93-4AC8-90A2-4AF9F7130E7E}"/>
    <cellStyle name="Normal 4 2 2 3 2 7 4" xfId="10592" xr:uid="{5A589675-0054-4A54-ACFA-480681D5BE5C}"/>
    <cellStyle name="Normal 4 2 2 3 2 8" xfId="2500" xr:uid="{00000000-0005-0000-0000-000041120000}"/>
    <cellStyle name="Normal 4 2 2 3 2 8 2" xfId="6784" xr:uid="{00000000-0005-0000-0000-000042120000}"/>
    <cellStyle name="Normal 4 2 2 3 2 8 2 2" xfId="15223" xr:uid="{E5DCEE0C-52AB-4773-9D27-0EC971CFE080}"/>
    <cellStyle name="Normal 4 2 2 3 2 8 3" xfId="11005" xr:uid="{6EA6CB2A-9BBB-4AFB-8A0F-AEB93E882554}"/>
    <cellStyle name="Normal 4 2 2 3 2 9" xfId="4719" xr:uid="{00000000-0005-0000-0000-000043120000}"/>
    <cellStyle name="Normal 4 2 2 3 2 9 2" xfId="13158" xr:uid="{B4458FD9-0F16-4475-8C82-3ACD4FBBCF8F}"/>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56FC56BB-5E47-4AD6-A444-89EC00DBD468}"/>
    <cellStyle name="Normal 4 2 2 3 3 2 2 2 3" xfId="11503" xr:uid="{516B9F54-E87B-43F7-AFF4-DF285D8EB08E}"/>
    <cellStyle name="Normal 4 2 2 3 3 2 2 3" xfId="5137" xr:uid="{00000000-0005-0000-0000-000049120000}"/>
    <cellStyle name="Normal 4 2 2 3 3 2 2 3 2" xfId="13576" xr:uid="{D0F9BD35-AE6C-44DD-AF23-E1141938E2F0}"/>
    <cellStyle name="Normal 4 2 2 3 3 2 2 4" xfId="9358" xr:uid="{EEF531D4-37A3-4BB5-91B1-2EF5640E7919}"/>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42BEB5D0-8263-415B-AD4F-238823ED78F6}"/>
    <cellStyle name="Normal 4 2 2 3 3 2 3 2 3" xfId="11916" xr:uid="{8056CA91-729C-4A0C-BE70-36E031F718C0}"/>
    <cellStyle name="Normal 4 2 2 3 3 2 3 3" xfId="5550" xr:uid="{00000000-0005-0000-0000-00004D120000}"/>
    <cellStyle name="Normal 4 2 2 3 3 2 3 3 2" xfId="13989" xr:uid="{C6B08EED-25CC-4C6B-A91F-D48C35C639DC}"/>
    <cellStyle name="Normal 4 2 2 3 3 2 3 4" xfId="9771" xr:uid="{78B5DDD4-4CFC-4DE7-AB84-F5AA9BEE674E}"/>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2A85A3AC-1C4C-495C-BF59-1B35F0EB60FC}"/>
    <cellStyle name="Normal 4 2 2 3 3 2 4 2 3" xfId="12329" xr:uid="{E5549D68-E80B-4C9F-892A-4E88EF4153F4}"/>
    <cellStyle name="Normal 4 2 2 3 3 2 4 3" xfId="5963" xr:uid="{00000000-0005-0000-0000-000051120000}"/>
    <cellStyle name="Normal 4 2 2 3 3 2 4 3 2" xfId="14402" xr:uid="{E741A2A1-5C97-4C6D-A735-32F132B0D810}"/>
    <cellStyle name="Normal 4 2 2 3 3 2 4 4" xfId="10184" xr:uid="{7C96C060-42CB-4127-BE16-AA8A8C65D6EF}"/>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418181FA-EEC3-4D76-A29C-222D3849CAB3}"/>
    <cellStyle name="Normal 4 2 2 3 3 2 5 2 3" xfId="12742" xr:uid="{DCBCCC02-61EC-4A29-8408-F9FBDEC9326B}"/>
    <cellStyle name="Normal 4 2 2 3 3 2 5 3" xfId="6376" xr:uid="{00000000-0005-0000-0000-000055120000}"/>
    <cellStyle name="Normal 4 2 2 3 3 2 5 3 2" xfId="14815" xr:uid="{F6DBE717-C294-4837-964A-07A17232F8C6}"/>
    <cellStyle name="Normal 4 2 2 3 3 2 5 4" xfId="10597" xr:uid="{B84A9E07-A281-48EA-9344-E69961542539}"/>
    <cellStyle name="Normal 4 2 2 3 3 2 6" xfId="2505" xr:uid="{00000000-0005-0000-0000-000056120000}"/>
    <cellStyle name="Normal 4 2 2 3 3 2 6 2" xfId="6789" xr:uid="{00000000-0005-0000-0000-000057120000}"/>
    <cellStyle name="Normal 4 2 2 3 3 2 6 2 2" xfId="15228" xr:uid="{6619E555-205F-4309-850E-F5D962E7725B}"/>
    <cellStyle name="Normal 4 2 2 3 3 2 6 3" xfId="11010" xr:uid="{8BC4AA54-19DE-4602-99B7-BCEE94F0A48B}"/>
    <cellStyle name="Normal 4 2 2 3 3 2 7" xfId="4724" xr:uid="{00000000-0005-0000-0000-000058120000}"/>
    <cellStyle name="Normal 4 2 2 3 3 2 7 2" xfId="13163" xr:uid="{987A8ED0-B683-4543-B626-76027623A190}"/>
    <cellStyle name="Normal 4 2 2 3 3 2 8" xfId="8945" xr:uid="{41F7F03B-BD11-4289-8FB9-CB51F2F3FBB2}"/>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C010989B-30B0-4FA2-A3F2-FD82CED632B3}"/>
    <cellStyle name="Normal 4 2 2 3 3 3 2 3" xfId="11502" xr:uid="{67E820BB-2D9E-4BFA-B4AA-316533AF96D4}"/>
    <cellStyle name="Normal 4 2 2 3 3 3 3" xfId="5136" xr:uid="{00000000-0005-0000-0000-00005C120000}"/>
    <cellStyle name="Normal 4 2 2 3 3 3 3 2" xfId="13575" xr:uid="{ACA0841B-ED5B-47A8-AF4E-DF7449D2F1F5}"/>
    <cellStyle name="Normal 4 2 2 3 3 3 4" xfId="9357" xr:uid="{2E3E72F7-CC97-4831-AB48-31372E0019D4}"/>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EE907D05-AA20-433E-A958-E0FA9F895690}"/>
    <cellStyle name="Normal 4 2 2 3 3 4 2 3" xfId="11915" xr:uid="{2F4E2F77-A52B-4B95-9F25-7E5940EB016B}"/>
    <cellStyle name="Normal 4 2 2 3 3 4 3" xfId="5549" xr:uid="{00000000-0005-0000-0000-000060120000}"/>
    <cellStyle name="Normal 4 2 2 3 3 4 3 2" xfId="13988" xr:uid="{E23E9407-6ACD-4AA0-BDED-18802ED0130A}"/>
    <cellStyle name="Normal 4 2 2 3 3 4 4" xfId="9770" xr:uid="{14084457-08B8-4119-8163-F04096B18175}"/>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1FA75C0F-F743-41A7-9488-766B25365735}"/>
    <cellStyle name="Normal 4 2 2 3 3 5 2 3" xfId="12328" xr:uid="{393628DA-9CEC-4691-8D8A-73CF1F5772F5}"/>
    <cellStyle name="Normal 4 2 2 3 3 5 3" xfId="5962" xr:uid="{00000000-0005-0000-0000-000064120000}"/>
    <cellStyle name="Normal 4 2 2 3 3 5 3 2" xfId="14401" xr:uid="{B847F397-0149-49F7-BFA4-186A39D1848C}"/>
    <cellStyle name="Normal 4 2 2 3 3 5 4" xfId="10183" xr:uid="{7A4EBFCA-9DF6-41F5-B169-854CD69266A2}"/>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194F3F56-92C7-411C-9FC8-D91419E45A7C}"/>
    <cellStyle name="Normal 4 2 2 3 3 6 2 3" xfId="12741" xr:uid="{0D4E9420-5AF7-40CE-A2D3-11C92749A005}"/>
    <cellStyle name="Normal 4 2 2 3 3 6 3" xfId="6375" xr:uid="{00000000-0005-0000-0000-000068120000}"/>
    <cellStyle name="Normal 4 2 2 3 3 6 3 2" xfId="14814" xr:uid="{9725A6EE-5DF0-46F3-BF43-A96906AAA853}"/>
    <cellStyle name="Normal 4 2 2 3 3 6 4" xfId="10596" xr:uid="{684DAEAE-A057-4F58-B572-D07C39FB0747}"/>
    <cellStyle name="Normal 4 2 2 3 3 7" xfId="2504" xr:uid="{00000000-0005-0000-0000-000069120000}"/>
    <cellStyle name="Normal 4 2 2 3 3 7 2" xfId="6788" xr:uid="{00000000-0005-0000-0000-00006A120000}"/>
    <cellStyle name="Normal 4 2 2 3 3 7 2 2" xfId="15227" xr:uid="{C7712868-AE15-4E97-B0A5-2229E2DB1A94}"/>
    <cellStyle name="Normal 4 2 2 3 3 7 3" xfId="11009" xr:uid="{3CAB86E0-69EE-496F-8FB2-D86A6CD3A448}"/>
    <cellStyle name="Normal 4 2 2 3 3 8" xfId="4723" xr:uid="{00000000-0005-0000-0000-00006B120000}"/>
    <cellStyle name="Normal 4 2 2 3 3 8 2" xfId="13162" xr:uid="{E11614ED-1976-431C-B913-6A7373161D7D}"/>
    <cellStyle name="Normal 4 2 2 3 3 9" xfId="8944" xr:uid="{D5B42998-7957-4949-82B0-504B0357C76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95BF9C6A-7C3B-41D4-9E3C-556D9B845283}"/>
    <cellStyle name="Normal 4 2 2 3 4 2 2 3" xfId="11504" xr:uid="{F09E5274-C90C-43AC-B17A-F5039DC75DA6}"/>
    <cellStyle name="Normal 4 2 2 3 4 2 3" xfId="5138" xr:uid="{00000000-0005-0000-0000-000070120000}"/>
    <cellStyle name="Normal 4 2 2 3 4 2 3 2" xfId="13577" xr:uid="{B8686C2A-697B-4462-9DFC-34AC9DA68981}"/>
    <cellStyle name="Normal 4 2 2 3 4 2 4" xfId="9359" xr:uid="{9BB1A099-94BE-4B6E-9405-262DDD968E1C}"/>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B886A005-AD23-4958-B80B-47537A4C576E}"/>
    <cellStyle name="Normal 4 2 2 3 4 3 2 3" xfId="11917" xr:uid="{676EFFA3-FAEE-49A5-B1C3-85F7CB17AD61}"/>
    <cellStyle name="Normal 4 2 2 3 4 3 3" xfId="5551" xr:uid="{00000000-0005-0000-0000-000074120000}"/>
    <cellStyle name="Normal 4 2 2 3 4 3 3 2" xfId="13990" xr:uid="{910E9D3E-C3C0-4DD2-B3EA-DE921889C895}"/>
    <cellStyle name="Normal 4 2 2 3 4 3 4" xfId="9772" xr:uid="{C2419112-C853-4F5C-BE09-B3C5A06DEFC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01E1E842-D616-4A0E-86F4-566F938773F8}"/>
    <cellStyle name="Normal 4 2 2 3 4 4 2 3" xfId="12330" xr:uid="{EC1CD7D3-F321-4358-9FD6-C4EF04FCBDB9}"/>
    <cellStyle name="Normal 4 2 2 3 4 4 3" xfId="5964" xr:uid="{00000000-0005-0000-0000-000078120000}"/>
    <cellStyle name="Normal 4 2 2 3 4 4 3 2" xfId="14403" xr:uid="{8943EEF1-40F4-42D9-86E9-DC791288F1E0}"/>
    <cellStyle name="Normal 4 2 2 3 4 4 4" xfId="10185" xr:uid="{BEE136F5-D48C-4F07-97B9-8CF1923C486A}"/>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48B7FEB5-2D42-4C58-AE06-403745899066}"/>
    <cellStyle name="Normal 4 2 2 3 4 5 2 3" xfId="12743" xr:uid="{4A282F2B-0946-4D10-BA3A-B6A6D2034AE7}"/>
    <cellStyle name="Normal 4 2 2 3 4 5 3" xfId="6377" xr:uid="{00000000-0005-0000-0000-00007C120000}"/>
    <cellStyle name="Normal 4 2 2 3 4 5 3 2" xfId="14816" xr:uid="{3FA18954-B6B8-40AD-9AE2-DE9E1B73B221}"/>
    <cellStyle name="Normal 4 2 2 3 4 5 4" xfId="10598" xr:uid="{CBE3181D-7A64-4E56-89B0-32D09B27FF61}"/>
    <cellStyle name="Normal 4 2 2 3 4 6" xfId="2506" xr:uid="{00000000-0005-0000-0000-00007D120000}"/>
    <cellStyle name="Normal 4 2 2 3 4 6 2" xfId="6790" xr:uid="{00000000-0005-0000-0000-00007E120000}"/>
    <cellStyle name="Normal 4 2 2 3 4 6 2 2" xfId="15229" xr:uid="{4122B99D-5089-40E4-A965-DBCD48CFF14D}"/>
    <cellStyle name="Normal 4 2 2 3 4 6 3" xfId="11011" xr:uid="{25A42E47-4971-4168-B9C4-29D28264B543}"/>
    <cellStyle name="Normal 4 2 2 3 4 7" xfId="4725" xr:uid="{00000000-0005-0000-0000-00007F120000}"/>
    <cellStyle name="Normal 4 2 2 3 4 7 2" xfId="13164" xr:uid="{AD3DAB82-260C-4B75-B85D-1080A7FFAB13}"/>
    <cellStyle name="Normal 4 2 2 3 4 8" xfId="8946" xr:uid="{512A53BD-718A-4459-B7AD-F278BE12E8E1}"/>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43560CD1-78C6-4506-A059-D39C68F5D272}"/>
    <cellStyle name="Normal 4 2 2 3 5 2 3" xfId="11497" xr:uid="{3F4D359C-CBC1-408A-A9C7-8B0B8A59C472}"/>
    <cellStyle name="Normal 4 2 2 3 5 3" xfId="5131" xr:uid="{00000000-0005-0000-0000-000083120000}"/>
    <cellStyle name="Normal 4 2 2 3 5 3 2" xfId="13570" xr:uid="{4C1E76BE-835F-477B-8969-9BA85EF7E0BB}"/>
    <cellStyle name="Normal 4 2 2 3 5 4" xfId="9352" xr:uid="{9B1E0A7C-337A-431B-8736-503A30FBB72B}"/>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D97E5142-0208-4742-B17E-2E1074F5A036}"/>
    <cellStyle name="Normal 4 2 2 3 6 2 3" xfId="11910" xr:uid="{C4DBDC7A-C038-44CE-A218-EBA8A8C041FE}"/>
    <cellStyle name="Normal 4 2 2 3 6 3" xfId="5544" xr:uid="{00000000-0005-0000-0000-000087120000}"/>
    <cellStyle name="Normal 4 2 2 3 6 3 2" xfId="13983" xr:uid="{90D8D1DE-5D3D-40D9-8172-A79E8442C7C8}"/>
    <cellStyle name="Normal 4 2 2 3 6 4" xfId="9765" xr:uid="{518A67FF-5CD6-4CCF-84D1-E91673CA21D7}"/>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D2181A3F-1E57-419D-B91F-4CE0673366D2}"/>
    <cellStyle name="Normal 4 2 2 3 7 2 3" xfId="12323" xr:uid="{5E96332A-B258-46A0-B761-C9287E96B321}"/>
    <cellStyle name="Normal 4 2 2 3 7 3" xfId="5957" xr:uid="{00000000-0005-0000-0000-00008B120000}"/>
    <cellStyle name="Normal 4 2 2 3 7 3 2" xfId="14396" xr:uid="{1C014972-244C-45CF-A4CA-253DD511F0C5}"/>
    <cellStyle name="Normal 4 2 2 3 7 4" xfId="10178" xr:uid="{D39E6EDA-2D3F-447A-AE98-C7D2E46D271D}"/>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CED962E6-A496-4313-8833-58BDDAD58C9A}"/>
    <cellStyle name="Normal 4 2 2 3 8 2 3" xfId="12736" xr:uid="{5049E5BB-ADD9-4B71-A4FF-DC08EA86705E}"/>
    <cellStyle name="Normal 4 2 2 3 8 3" xfId="6370" xr:uid="{00000000-0005-0000-0000-00008F120000}"/>
    <cellStyle name="Normal 4 2 2 3 8 3 2" xfId="14809" xr:uid="{02A07DC0-0A2E-4A07-AA47-58BE96A75CE2}"/>
    <cellStyle name="Normal 4 2 2 3 8 4" xfId="10591" xr:uid="{C39C8AEA-A22D-485C-A533-7C1804D6C9A0}"/>
    <cellStyle name="Normal 4 2 2 3 9" xfId="2499" xr:uid="{00000000-0005-0000-0000-000090120000}"/>
    <cellStyle name="Normal 4 2 2 3 9 2" xfId="6783" xr:uid="{00000000-0005-0000-0000-000091120000}"/>
    <cellStyle name="Normal 4 2 2 3 9 2 2" xfId="15222" xr:uid="{DDA8A5B8-8013-44E2-BBBD-635ECA405C50}"/>
    <cellStyle name="Normal 4 2 2 3 9 3" xfId="11004" xr:uid="{EC5A191F-764D-4074-9E5C-CD3FFA423C63}"/>
    <cellStyle name="Normal 4 2 2 4" xfId="347" xr:uid="{00000000-0005-0000-0000-000092120000}"/>
    <cellStyle name="Normal 4 2 2 4 10" xfId="8947" xr:uid="{16FAA6E1-969A-4358-A69F-101C6BE89677}"/>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A06B8070-82D1-4E11-AA9A-F1B5BDF0443A}"/>
    <cellStyle name="Normal 4 2 2 4 2 2 2 2 3" xfId="11507" xr:uid="{196352E0-D27A-4EB6-8800-97EAED99540D}"/>
    <cellStyle name="Normal 4 2 2 4 2 2 2 3" xfId="5141" xr:uid="{00000000-0005-0000-0000-000098120000}"/>
    <cellStyle name="Normal 4 2 2 4 2 2 2 3 2" xfId="13580" xr:uid="{7BFBC5B6-CB0B-429D-A566-72C888F79E37}"/>
    <cellStyle name="Normal 4 2 2 4 2 2 2 4" xfId="9362" xr:uid="{690D0395-40A4-4C6E-852C-A47048E51038}"/>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948A670D-6432-454B-A7E2-6DF186AEED11}"/>
    <cellStyle name="Normal 4 2 2 4 2 2 3 2 3" xfId="11920" xr:uid="{B6FCDDC1-5266-495E-905E-0A769EE1A02F}"/>
    <cellStyle name="Normal 4 2 2 4 2 2 3 3" xfId="5554" xr:uid="{00000000-0005-0000-0000-00009C120000}"/>
    <cellStyle name="Normal 4 2 2 4 2 2 3 3 2" xfId="13993" xr:uid="{24789570-6DA3-4656-8C2A-891A1E3350EB}"/>
    <cellStyle name="Normal 4 2 2 4 2 2 3 4" xfId="9775" xr:uid="{E3234D74-6060-4462-885C-517E74A26FFE}"/>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5B802F5F-5CD3-41CB-B64A-2D7C27E8BD24}"/>
    <cellStyle name="Normal 4 2 2 4 2 2 4 2 3" xfId="12333" xr:uid="{E44992D8-77E9-415A-A05D-D0FB64F2FD7F}"/>
    <cellStyle name="Normal 4 2 2 4 2 2 4 3" xfId="5967" xr:uid="{00000000-0005-0000-0000-0000A0120000}"/>
    <cellStyle name="Normal 4 2 2 4 2 2 4 3 2" xfId="14406" xr:uid="{211341CC-9838-4CD8-A35C-51132855E1F5}"/>
    <cellStyle name="Normal 4 2 2 4 2 2 4 4" xfId="10188" xr:uid="{DAFACB78-ED74-41F0-B804-1A7F282D279D}"/>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AF156C67-3005-4455-BBC6-3B359927B6DC}"/>
    <cellStyle name="Normal 4 2 2 4 2 2 5 2 3" xfId="12746" xr:uid="{0F6A7362-22D4-48C9-B63A-D8FE6013E0B9}"/>
    <cellStyle name="Normal 4 2 2 4 2 2 5 3" xfId="6380" xr:uid="{00000000-0005-0000-0000-0000A4120000}"/>
    <cellStyle name="Normal 4 2 2 4 2 2 5 3 2" xfId="14819" xr:uid="{7843B860-D8F3-4539-8B51-978D15E7EA25}"/>
    <cellStyle name="Normal 4 2 2 4 2 2 5 4" xfId="10601" xr:uid="{0D8C5763-ED64-43D6-A3F0-9D688DD74ED0}"/>
    <cellStyle name="Normal 4 2 2 4 2 2 6" xfId="2509" xr:uid="{00000000-0005-0000-0000-0000A5120000}"/>
    <cellStyle name="Normal 4 2 2 4 2 2 6 2" xfId="6793" xr:uid="{00000000-0005-0000-0000-0000A6120000}"/>
    <cellStyle name="Normal 4 2 2 4 2 2 6 2 2" xfId="15232" xr:uid="{50DB7591-CF64-4AE0-9CA2-30FA0A2D8CB6}"/>
    <cellStyle name="Normal 4 2 2 4 2 2 6 3" xfId="11014" xr:uid="{B0247DE0-13E4-431F-994E-3C5EB1E44760}"/>
    <cellStyle name="Normal 4 2 2 4 2 2 7" xfId="4728" xr:uid="{00000000-0005-0000-0000-0000A7120000}"/>
    <cellStyle name="Normal 4 2 2 4 2 2 7 2" xfId="13167" xr:uid="{81E9E316-BD18-4EB0-8A80-F224B5229410}"/>
    <cellStyle name="Normal 4 2 2 4 2 2 8" xfId="8949" xr:uid="{8DB5334A-2E5C-45E6-8878-DA5879A12409}"/>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DCE25D7B-1EC4-40C5-9CC4-372AD0608E07}"/>
    <cellStyle name="Normal 4 2 2 4 2 3 2 3" xfId="11506" xr:uid="{26C7F487-A01C-4792-9460-0236AC463464}"/>
    <cellStyle name="Normal 4 2 2 4 2 3 3" xfId="5140" xr:uid="{00000000-0005-0000-0000-0000AB120000}"/>
    <cellStyle name="Normal 4 2 2 4 2 3 3 2" xfId="13579" xr:uid="{94F7A59E-6208-4171-A5C0-D7BC20DF2400}"/>
    <cellStyle name="Normal 4 2 2 4 2 3 4" xfId="9361" xr:uid="{C98E46D4-7F60-4291-ABD3-DAEB37468D89}"/>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E25B19EB-8CFC-4BDF-BE6D-4688947F8CD2}"/>
    <cellStyle name="Normal 4 2 2 4 2 4 2 3" xfId="11919" xr:uid="{25907E5F-CB7E-4CA5-853F-E409C46BE91D}"/>
    <cellStyle name="Normal 4 2 2 4 2 4 3" xfId="5553" xr:uid="{00000000-0005-0000-0000-0000AF120000}"/>
    <cellStyle name="Normal 4 2 2 4 2 4 3 2" xfId="13992" xr:uid="{4F3310F8-5842-4E7C-ACE2-2540749A5C85}"/>
    <cellStyle name="Normal 4 2 2 4 2 4 4" xfId="9774" xr:uid="{0A286F11-1192-43B5-A973-35B7226B7263}"/>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74415051-6403-46A6-AC4B-11AEA7554A51}"/>
    <cellStyle name="Normal 4 2 2 4 2 5 2 3" xfId="12332" xr:uid="{D3A43DC5-3E00-47AF-BA01-5D54755715CA}"/>
    <cellStyle name="Normal 4 2 2 4 2 5 3" xfId="5966" xr:uid="{00000000-0005-0000-0000-0000B3120000}"/>
    <cellStyle name="Normal 4 2 2 4 2 5 3 2" xfId="14405" xr:uid="{E6A72661-5899-482A-93D4-FD9358E326BF}"/>
    <cellStyle name="Normal 4 2 2 4 2 5 4" xfId="10187" xr:uid="{288ADC84-6ED7-4C79-B0D1-71267EF30AD8}"/>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EC79A5DF-1593-445E-A6B3-7A499771F6D4}"/>
    <cellStyle name="Normal 4 2 2 4 2 6 2 3" xfId="12745" xr:uid="{C4FF7BC8-A7F0-49D9-9BD4-C5063BC02604}"/>
    <cellStyle name="Normal 4 2 2 4 2 6 3" xfId="6379" xr:uid="{00000000-0005-0000-0000-0000B7120000}"/>
    <cellStyle name="Normal 4 2 2 4 2 6 3 2" xfId="14818" xr:uid="{5B76C846-66BA-4816-85A7-88210C46C6FA}"/>
    <cellStyle name="Normal 4 2 2 4 2 6 4" xfId="10600" xr:uid="{CF12126D-E354-490E-B2AF-4BE5816AB02D}"/>
    <cellStyle name="Normal 4 2 2 4 2 7" xfId="2508" xr:uid="{00000000-0005-0000-0000-0000B8120000}"/>
    <cellStyle name="Normal 4 2 2 4 2 7 2" xfId="6792" xr:uid="{00000000-0005-0000-0000-0000B9120000}"/>
    <cellStyle name="Normal 4 2 2 4 2 7 2 2" xfId="15231" xr:uid="{8A3D8BDA-90CC-4C1F-B252-173EB6CA039A}"/>
    <cellStyle name="Normal 4 2 2 4 2 7 3" xfId="11013" xr:uid="{9022D725-2E53-4344-B1F5-1CF87F8A6850}"/>
    <cellStyle name="Normal 4 2 2 4 2 8" xfId="4727" xr:uid="{00000000-0005-0000-0000-0000BA120000}"/>
    <cellStyle name="Normal 4 2 2 4 2 8 2" xfId="13166" xr:uid="{EA4ED78D-C2ED-44D2-B52F-54077DAE2BD3}"/>
    <cellStyle name="Normal 4 2 2 4 2 9" xfId="8948" xr:uid="{50C7E4BC-9524-435E-863D-AC9CEEB8168B}"/>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8721B97E-B272-4CB9-8A10-D26B52DB9E5A}"/>
    <cellStyle name="Normal 4 2 2 4 3 2 2 3" xfId="11508" xr:uid="{87F7F3A1-F648-4199-985C-67B611E9E5D2}"/>
    <cellStyle name="Normal 4 2 2 4 3 2 3" xfId="5142" xr:uid="{00000000-0005-0000-0000-0000BF120000}"/>
    <cellStyle name="Normal 4 2 2 4 3 2 3 2" xfId="13581" xr:uid="{E7A8A738-73CA-420C-9874-445099C1B71F}"/>
    <cellStyle name="Normal 4 2 2 4 3 2 4" xfId="9363" xr:uid="{1BE400D7-775B-4C77-8698-F7D8867742C4}"/>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30A9F2D0-CEDE-4B91-9C76-21FDE201ED9C}"/>
    <cellStyle name="Normal 4 2 2 4 3 3 2 3" xfId="11921" xr:uid="{65003E77-23B1-452F-BE41-77D938DE68BA}"/>
    <cellStyle name="Normal 4 2 2 4 3 3 3" xfId="5555" xr:uid="{00000000-0005-0000-0000-0000C3120000}"/>
    <cellStyle name="Normal 4 2 2 4 3 3 3 2" xfId="13994" xr:uid="{CB0E6C63-E758-43C4-A310-1B2216CDF3CF}"/>
    <cellStyle name="Normal 4 2 2 4 3 3 4" xfId="9776" xr:uid="{A5285936-9BE6-4153-8794-239BA6B77472}"/>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F1C7E1B0-AC00-424C-9793-0AEC3DA14416}"/>
    <cellStyle name="Normal 4 2 2 4 3 4 2 3" xfId="12334" xr:uid="{DAEF061E-6505-4007-A531-F92790FBEE96}"/>
    <cellStyle name="Normal 4 2 2 4 3 4 3" xfId="5968" xr:uid="{00000000-0005-0000-0000-0000C7120000}"/>
    <cellStyle name="Normal 4 2 2 4 3 4 3 2" xfId="14407" xr:uid="{A28DF401-F680-4C79-8B6E-B16CEA2D2D4D}"/>
    <cellStyle name="Normal 4 2 2 4 3 4 4" xfId="10189" xr:uid="{DA689614-0F93-48BE-9422-2B494C372E1C}"/>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8786FD1C-D6CC-4A9F-98DC-ACC10D73F5C4}"/>
    <cellStyle name="Normal 4 2 2 4 3 5 2 3" xfId="12747" xr:uid="{16B35D1B-DDD6-4943-A778-889266E735B4}"/>
    <cellStyle name="Normal 4 2 2 4 3 5 3" xfId="6381" xr:uid="{00000000-0005-0000-0000-0000CB120000}"/>
    <cellStyle name="Normal 4 2 2 4 3 5 3 2" xfId="14820" xr:uid="{FB2CC3EB-0EE1-467D-B76B-FA7C1488C161}"/>
    <cellStyle name="Normal 4 2 2 4 3 5 4" xfId="10602" xr:uid="{0A35BA66-68A4-43F4-87F4-72534653C1D1}"/>
    <cellStyle name="Normal 4 2 2 4 3 6" xfId="2510" xr:uid="{00000000-0005-0000-0000-0000CC120000}"/>
    <cellStyle name="Normal 4 2 2 4 3 6 2" xfId="6794" xr:uid="{00000000-0005-0000-0000-0000CD120000}"/>
    <cellStyle name="Normal 4 2 2 4 3 6 2 2" xfId="15233" xr:uid="{A08666E5-02A8-4F9E-8ECE-F7112E2A96D6}"/>
    <cellStyle name="Normal 4 2 2 4 3 6 3" xfId="11015" xr:uid="{2318CDB3-3BD4-441E-A26B-31BE1D387482}"/>
    <cellStyle name="Normal 4 2 2 4 3 7" xfId="4729" xr:uid="{00000000-0005-0000-0000-0000CE120000}"/>
    <cellStyle name="Normal 4 2 2 4 3 7 2" xfId="13168" xr:uid="{724687BB-8A05-471A-A43E-AAB7AF99858D}"/>
    <cellStyle name="Normal 4 2 2 4 3 8" xfId="8950" xr:uid="{01040E31-68C9-4276-8345-E6F02CDA1CDA}"/>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FBDA6B68-A0EE-462F-9565-B3181FFD7334}"/>
    <cellStyle name="Normal 4 2 2 4 4 2 3" xfId="11505" xr:uid="{11EF457D-246C-438A-A7C4-2A395B83CF48}"/>
    <cellStyle name="Normal 4 2 2 4 4 3" xfId="5139" xr:uid="{00000000-0005-0000-0000-0000D2120000}"/>
    <cellStyle name="Normal 4 2 2 4 4 3 2" xfId="13578" xr:uid="{AA6EEB35-0C52-4124-9E01-26D82753667C}"/>
    <cellStyle name="Normal 4 2 2 4 4 4" xfId="9360" xr:uid="{FC049C99-4124-4C4A-BA1E-24DE11B73C3F}"/>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8BECDFD3-EFE9-4ADB-B531-7116047CF372}"/>
    <cellStyle name="Normal 4 2 2 4 5 2 3" xfId="11918" xr:uid="{786EBCA7-68A9-4F95-A57F-00900013A4E8}"/>
    <cellStyle name="Normal 4 2 2 4 5 3" xfId="5552" xr:uid="{00000000-0005-0000-0000-0000D6120000}"/>
    <cellStyle name="Normal 4 2 2 4 5 3 2" xfId="13991" xr:uid="{65188B8A-750F-4121-AAE3-73FB64518163}"/>
    <cellStyle name="Normal 4 2 2 4 5 4" xfId="9773" xr:uid="{6C7D01C5-B38E-4B93-B320-AC57C17A0213}"/>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B9ACED3D-4111-41A5-A255-ABCD33014EB9}"/>
    <cellStyle name="Normal 4 2 2 4 6 2 3" xfId="12331" xr:uid="{545B5142-2AB1-4DAE-92AE-581DC0D28B9E}"/>
    <cellStyle name="Normal 4 2 2 4 6 3" xfId="5965" xr:uid="{00000000-0005-0000-0000-0000DA120000}"/>
    <cellStyle name="Normal 4 2 2 4 6 3 2" xfId="14404" xr:uid="{8DABB3B4-BAD0-4B9B-820F-0FAF77D828E1}"/>
    <cellStyle name="Normal 4 2 2 4 6 4" xfId="10186" xr:uid="{2984F8FA-D6F1-4075-9817-26BCDE951BBC}"/>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33A30C57-13B2-4C2B-9F09-5F3ECE985CBA}"/>
    <cellStyle name="Normal 4 2 2 4 7 2 3" xfId="12744" xr:uid="{8036AB55-F2EB-424C-856C-78ABB7BAEB1C}"/>
    <cellStyle name="Normal 4 2 2 4 7 3" xfId="6378" xr:uid="{00000000-0005-0000-0000-0000DE120000}"/>
    <cellStyle name="Normal 4 2 2 4 7 3 2" xfId="14817" xr:uid="{BE8F2E1B-B9B1-478E-BE54-196C97AA7F2A}"/>
    <cellStyle name="Normal 4 2 2 4 7 4" xfId="10599" xr:uid="{805CAEC4-9DA7-492B-8D3C-5231BC54A0AE}"/>
    <cellStyle name="Normal 4 2 2 4 8" xfId="2507" xr:uid="{00000000-0005-0000-0000-0000DF120000}"/>
    <cellStyle name="Normal 4 2 2 4 8 2" xfId="6791" xr:uid="{00000000-0005-0000-0000-0000E0120000}"/>
    <cellStyle name="Normal 4 2 2 4 8 2 2" xfId="15230" xr:uid="{1BB9D473-F557-42F6-A71C-707D32511A48}"/>
    <cellStyle name="Normal 4 2 2 4 8 3" xfId="11012" xr:uid="{23D45C19-E64C-4FDC-ABEB-BD3FF714FC34}"/>
    <cellStyle name="Normal 4 2 2 4 9" xfId="4726" xr:uid="{00000000-0005-0000-0000-0000E1120000}"/>
    <cellStyle name="Normal 4 2 2 4 9 2" xfId="13165" xr:uid="{2E1455DC-E69B-4113-A649-D2208369A54D}"/>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527D7FFC-4261-41DF-B4FD-658F4FA29AA4}"/>
    <cellStyle name="Normal 4 2 2 5 2 2 2 3" xfId="11510" xr:uid="{919370E5-7C02-4F9F-950A-6E6FBB40EA01}"/>
    <cellStyle name="Normal 4 2 2 5 2 2 3" xfId="5144" xr:uid="{00000000-0005-0000-0000-0000E7120000}"/>
    <cellStyle name="Normal 4 2 2 5 2 2 3 2" xfId="13583" xr:uid="{BAABC607-1313-47A0-BBCB-A55D2331AE76}"/>
    <cellStyle name="Normal 4 2 2 5 2 2 4" xfId="9365" xr:uid="{26BB52DC-108C-4722-B2E4-2C09EA6BD2AF}"/>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A04C8660-68D2-48C0-9B65-6EF8E93CA45C}"/>
    <cellStyle name="Normal 4 2 2 5 2 3 2 3" xfId="11923" xr:uid="{72593405-3D8D-464D-A1D2-CA98EA485827}"/>
    <cellStyle name="Normal 4 2 2 5 2 3 3" xfId="5557" xr:uid="{00000000-0005-0000-0000-0000EB120000}"/>
    <cellStyle name="Normal 4 2 2 5 2 3 3 2" xfId="13996" xr:uid="{1A6AA75F-9771-42BA-9190-705E0F032B89}"/>
    <cellStyle name="Normal 4 2 2 5 2 3 4" xfId="9778" xr:uid="{A29EB531-28C4-4E64-99CE-87FA8BC8CE9F}"/>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1B2D4DFA-AF87-46AF-955F-AB138FA9F415}"/>
    <cellStyle name="Normal 4 2 2 5 2 4 2 3" xfId="12336" xr:uid="{04DF1257-EFDD-4C58-9304-122B8EEAFBAB}"/>
    <cellStyle name="Normal 4 2 2 5 2 4 3" xfId="5970" xr:uid="{00000000-0005-0000-0000-0000EF120000}"/>
    <cellStyle name="Normal 4 2 2 5 2 4 3 2" xfId="14409" xr:uid="{58A30EA2-5CFD-439A-A4EC-38975AC06DE6}"/>
    <cellStyle name="Normal 4 2 2 5 2 4 4" xfId="10191" xr:uid="{62404F39-7EC4-42DA-8A42-BBC1B53D93F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E1AD9ED8-F031-4FAD-9894-2531A8DA0B13}"/>
    <cellStyle name="Normal 4 2 2 5 2 5 2 3" xfId="12749" xr:uid="{4E360CDC-6F30-4126-849A-E42B295403FD}"/>
    <cellStyle name="Normal 4 2 2 5 2 5 3" xfId="6383" xr:uid="{00000000-0005-0000-0000-0000F3120000}"/>
    <cellStyle name="Normal 4 2 2 5 2 5 3 2" xfId="14822" xr:uid="{8F43081F-9DCA-4FC0-BD9B-D7FA0BF366DC}"/>
    <cellStyle name="Normal 4 2 2 5 2 5 4" xfId="10604" xr:uid="{8ED5CC03-5A76-49F1-8E48-1771C9B11A87}"/>
    <cellStyle name="Normal 4 2 2 5 2 6" xfId="2512" xr:uid="{00000000-0005-0000-0000-0000F4120000}"/>
    <cellStyle name="Normal 4 2 2 5 2 6 2" xfId="6796" xr:uid="{00000000-0005-0000-0000-0000F5120000}"/>
    <cellStyle name="Normal 4 2 2 5 2 6 2 2" xfId="15235" xr:uid="{01CA2BF2-349B-499B-A812-F23B183306D8}"/>
    <cellStyle name="Normal 4 2 2 5 2 6 3" xfId="11017" xr:uid="{EDFD34F5-9CBD-4C1C-891F-C103D2260CC3}"/>
    <cellStyle name="Normal 4 2 2 5 2 7" xfId="4731" xr:uid="{00000000-0005-0000-0000-0000F6120000}"/>
    <cellStyle name="Normal 4 2 2 5 2 7 2" xfId="13170" xr:uid="{759AB8AC-EBE1-4DBF-9F89-1D108E0CBD43}"/>
    <cellStyle name="Normal 4 2 2 5 2 8" xfId="8952" xr:uid="{F6EBE549-9564-4876-AC00-B5A02F639D48}"/>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E501490B-A969-4F5B-A37E-0BF9E093F288}"/>
    <cellStyle name="Normal 4 2 2 5 3 2 3" xfId="11509" xr:uid="{CFA66D40-07A4-4EF5-A9FA-8614797036E1}"/>
    <cellStyle name="Normal 4 2 2 5 3 3" xfId="5143" xr:uid="{00000000-0005-0000-0000-0000FA120000}"/>
    <cellStyle name="Normal 4 2 2 5 3 3 2" xfId="13582" xr:uid="{4C981EC9-AF55-41A2-8D37-9C15E1785890}"/>
    <cellStyle name="Normal 4 2 2 5 3 4" xfId="9364" xr:uid="{A98012CA-15E3-4B80-842F-1165D2D94A9E}"/>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0B05D156-4B48-4DC2-B3EF-FA889BA95803}"/>
    <cellStyle name="Normal 4 2 2 5 4 2 3" xfId="11922" xr:uid="{5F5D59ED-65F7-4F3A-9B67-D6856C36B510}"/>
    <cellStyle name="Normal 4 2 2 5 4 3" xfId="5556" xr:uid="{00000000-0005-0000-0000-0000FE120000}"/>
    <cellStyle name="Normal 4 2 2 5 4 3 2" xfId="13995" xr:uid="{5D106560-ED86-4BCF-A193-AD4270829187}"/>
    <cellStyle name="Normal 4 2 2 5 4 4" xfId="9777" xr:uid="{C664BDA3-723D-4138-9C99-5C0B543FC206}"/>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8C39C5D5-CAE4-438C-8C5B-885ECF65FBBB}"/>
    <cellStyle name="Normal 4 2 2 5 5 2 3" xfId="12335" xr:uid="{32B491C1-D71F-40A5-BAE4-0DA121900E1E}"/>
    <cellStyle name="Normal 4 2 2 5 5 3" xfId="5969" xr:uid="{00000000-0005-0000-0000-000002130000}"/>
    <cellStyle name="Normal 4 2 2 5 5 3 2" xfId="14408" xr:uid="{40590FB2-805A-4B11-9188-ED91F3C5E62E}"/>
    <cellStyle name="Normal 4 2 2 5 5 4" xfId="10190" xr:uid="{699C0547-F18A-4850-8DA6-F52CEC42475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11D077DE-E4AB-4B26-A5AE-34D29C097782}"/>
    <cellStyle name="Normal 4 2 2 5 6 2 3" xfId="12748" xr:uid="{545F7B07-3710-4275-9384-32EF449765C2}"/>
    <cellStyle name="Normal 4 2 2 5 6 3" xfId="6382" xr:uid="{00000000-0005-0000-0000-000006130000}"/>
    <cellStyle name="Normal 4 2 2 5 6 3 2" xfId="14821" xr:uid="{EBBE18E8-AEA8-44B5-AE04-028BD3ECA3CC}"/>
    <cellStyle name="Normal 4 2 2 5 6 4" xfId="10603" xr:uid="{0E66EDEE-CD05-4025-8C06-B4A7D0957358}"/>
    <cellStyle name="Normal 4 2 2 5 7" xfId="2511" xr:uid="{00000000-0005-0000-0000-000007130000}"/>
    <cellStyle name="Normal 4 2 2 5 7 2" xfId="6795" xr:uid="{00000000-0005-0000-0000-000008130000}"/>
    <cellStyle name="Normal 4 2 2 5 7 2 2" xfId="15234" xr:uid="{5C102885-47BF-41A6-B5BA-244BE242712E}"/>
    <cellStyle name="Normal 4 2 2 5 7 3" xfId="11016" xr:uid="{74370BC8-086B-43A0-AAE5-8AF2D29A9C9C}"/>
    <cellStyle name="Normal 4 2 2 5 8" xfId="4730" xr:uid="{00000000-0005-0000-0000-000009130000}"/>
    <cellStyle name="Normal 4 2 2 5 8 2" xfId="13169" xr:uid="{16CA6FED-A228-48CD-AF78-0523B93C7E96}"/>
    <cellStyle name="Normal 4 2 2 5 9" xfId="8951" xr:uid="{5E6690B6-D8BB-4274-A36F-B3993BA285AA}"/>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B11930F5-475B-4ECD-833D-92E4203A6817}"/>
    <cellStyle name="Normal 4 2 2 6 2 2 3" xfId="11511" xr:uid="{B5665C2E-D684-4A79-BE4E-D65ACB2E987B}"/>
    <cellStyle name="Normal 4 2 2 6 2 3" xfId="5145" xr:uid="{00000000-0005-0000-0000-00000E130000}"/>
    <cellStyle name="Normal 4 2 2 6 2 3 2" xfId="13584" xr:uid="{E60D947D-25BB-4BE0-A756-A298EA99D405}"/>
    <cellStyle name="Normal 4 2 2 6 2 4" xfId="9366" xr:uid="{0E085AAC-402F-43A4-A252-AC3EDA0D29BF}"/>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4485AD32-50E6-47A0-BD81-1AC20437A16A}"/>
    <cellStyle name="Normal 4 2 2 6 3 2 3" xfId="11924" xr:uid="{06DCC8EE-FFA3-424B-A21D-66465C626B9B}"/>
    <cellStyle name="Normal 4 2 2 6 3 3" xfId="5558" xr:uid="{00000000-0005-0000-0000-000012130000}"/>
    <cellStyle name="Normal 4 2 2 6 3 3 2" xfId="13997" xr:uid="{AB6AF975-347A-4F2B-B20F-0F4670FAA3E2}"/>
    <cellStyle name="Normal 4 2 2 6 3 4" xfId="9779" xr:uid="{45A43924-9D09-4250-A10A-5CAFAB47B1CB}"/>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3124F3DF-911D-4748-8110-A61A19BAE1DD}"/>
    <cellStyle name="Normal 4 2 2 6 4 2 3" xfId="12337" xr:uid="{D7D1EE49-C4F9-4CCD-BEB4-D62B51A8CCC5}"/>
    <cellStyle name="Normal 4 2 2 6 4 3" xfId="5971" xr:uid="{00000000-0005-0000-0000-000016130000}"/>
    <cellStyle name="Normal 4 2 2 6 4 3 2" xfId="14410" xr:uid="{BB56ED3E-C58F-4C84-8CFB-23434B5E015C}"/>
    <cellStyle name="Normal 4 2 2 6 4 4" xfId="10192" xr:uid="{7FFA0C5F-4399-4D10-BC31-8C7B8EA38543}"/>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E9AA8F71-D20A-439D-B6D4-22EE70B91C26}"/>
    <cellStyle name="Normal 4 2 2 6 5 2 3" xfId="12750" xr:uid="{02DD1E75-2D9B-4BB8-9E64-43749824CCC0}"/>
    <cellStyle name="Normal 4 2 2 6 5 3" xfId="6384" xr:uid="{00000000-0005-0000-0000-00001A130000}"/>
    <cellStyle name="Normal 4 2 2 6 5 3 2" xfId="14823" xr:uid="{D2F79CFD-6874-4C8D-B3ED-DD262537980B}"/>
    <cellStyle name="Normal 4 2 2 6 5 4" xfId="10605" xr:uid="{0F2C720C-03F5-414C-A9EE-1B42FCB39784}"/>
    <cellStyle name="Normal 4 2 2 6 6" xfId="2513" xr:uid="{00000000-0005-0000-0000-00001B130000}"/>
    <cellStyle name="Normal 4 2 2 6 6 2" xfId="6797" xr:uid="{00000000-0005-0000-0000-00001C130000}"/>
    <cellStyle name="Normal 4 2 2 6 6 2 2" xfId="15236" xr:uid="{C24DA18F-0733-431F-83C4-B4A19A43067C}"/>
    <cellStyle name="Normal 4 2 2 6 6 3" xfId="11018" xr:uid="{F6BDC6AA-7083-4293-BD85-F26508803764}"/>
    <cellStyle name="Normal 4 2 2 6 7" xfId="4732" xr:uid="{00000000-0005-0000-0000-00001D130000}"/>
    <cellStyle name="Normal 4 2 2 6 7 2" xfId="13171" xr:uid="{0FEEA804-A540-4B02-81E9-6658843B17A5}"/>
    <cellStyle name="Normal 4 2 2 6 8" xfId="8953" xr:uid="{027BFFD0-0369-430D-8286-EC850F892A5E}"/>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44AB392A-1FED-4040-BDDF-AC4B0D054A55}"/>
    <cellStyle name="Normal 4 2 2 7 2 3" xfId="11496" xr:uid="{3138BD66-E930-4F15-A990-9B35EAEBC29A}"/>
    <cellStyle name="Normal 4 2 2 7 3" xfId="5130" xr:uid="{00000000-0005-0000-0000-000021130000}"/>
    <cellStyle name="Normal 4 2 2 7 3 2" xfId="13569" xr:uid="{EECECBDB-AFE6-48CF-8B8E-3EDD99A65E0F}"/>
    <cellStyle name="Normal 4 2 2 7 4" xfId="9351" xr:uid="{050DA0A1-71AB-4C41-898D-17735C424E39}"/>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067C2BF5-FDBB-4521-9B4A-8C133334DB07}"/>
    <cellStyle name="Normal 4 2 2 8 2 3" xfId="11909" xr:uid="{E214CF78-61FE-4D34-8726-A93E49C208BB}"/>
    <cellStyle name="Normal 4 2 2 8 3" xfId="5543" xr:uid="{00000000-0005-0000-0000-000025130000}"/>
    <cellStyle name="Normal 4 2 2 8 3 2" xfId="13982" xr:uid="{C37215E5-9918-479F-890D-2520E29A2F1E}"/>
    <cellStyle name="Normal 4 2 2 8 4" xfId="9764" xr:uid="{D56AC292-36B6-4A6E-8817-60746D0CCE1D}"/>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E9305A8D-6038-4223-9BE5-73DC7DB289CB}"/>
    <cellStyle name="Normal 4 2 2 9 2 3" xfId="12322" xr:uid="{F767EE69-B351-4BAD-85B0-9EE50A569764}"/>
    <cellStyle name="Normal 4 2 2 9 3" xfId="5956" xr:uid="{00000000-0005-0000-0000-000029130000}"/>
    <cellStyle name="Normal 4 2 2 9 3 2" xfId="14395" xr:uid="{5F27A5F3-BFB3-4861-95A3-B5C99BC06EB1}"/>
    <cellStyle name="Normal 4 2 2 9 4" xfId="10177" xr:uid="{71EE141C-13E2-45A9-A31A-404FDAAE1C68}"/>
    <cellStyle name="Normal 4 2 3" xfId="354" xr:uid="{00000000-0005-0000-0000-00002A130000}"/>
    <cellStyle name="Normal 4 2 4" xfId="355" xr:uid="{00000000-0005-0000-0000-00002B130000}"/>
    <cellStyle name="Normal 4 2 4 10" xfId="4733" xr:uid="{00000000-0005-0000-0000-00002C130000}"/>
    <cellStyle name="Normal 4 2 4 10 2" xfId="13172" xr:uid="{189090D6-E140-4E49-9C41-318F0F53783A}"/>
    <cellStyle name="Normal 4 2 4 11" xfId="8954" xr:uid="{157FE084-F468-48D5-A7C6-D2FB35872C7E}"/>
    <cellStyle name="Normal 4 2 4 2" xfId="356" xr:uid="{00000000-0005-0000-0000-00002D130000}"/>
    <cellStyle name="Normal 4 2 4 2 10" xfId="8955" xr:uid="{A3909DF9-E6BF-40A4-86E8-5F750BECA0D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566D577A-F219-4952-91D3-F8E54381A561}"/>
    <cellStyle name="Normal 4 2 4 2 2 2 2 2 3" xfId="11515" xr:uid="{CD919B29-1D01-4E63-84E2-B3DB1B5C0E31}"/>
    <cellStyle name="Normal 4 2 4 2 2 2 2 3" xfId="5149" xr:uid="{00000000-0005-0000-0000-000033130000}"/>
    <cellStyle name="Normal 4 2 4 2 2 2 2 3 2" xfId="13588" xr:uid="{80D85B6A-B36A-4957-903E-70B3636E46ED}"/>
    <cellStyle name="Normal 4 2 4 2 2 2 2 4" xfId="9370" xr:uid="{7DFD1D0F-83C7-4DBB-B2B6-8EA8AA3FECA9}"/>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2121C7CA-385B-4793-882A-5F2315216A18}"/>
    <cellStyle name="Normal 4 2 4 2 2 2 3 2 3" xfId="11928" xr:uid="{77101C59-B3B5-440E-B19C-26C57C097066}"/>
    <cellStyle name="Normal 4 2 4 2 2 2 3 3" xfId="5562" xr:uid="{00000000-0005-0000-0000-000037130000}"/>
    <cellStyle name="Normal 4 2 4 2 2 2 3 3 2" xfId="14001" xr:uid="{4B552118-4574-43A4-978D-AA4F671EDE22}"/>
    <cellStyle name="Normal 4 2 4 2 2 2 3 4" xfId="9783" xr:uid="{23CDD9D7-F6B1-48AC-8FB9-C6B48AA8F731}"/>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0F336F91-98A7-4CF5-B54B-7421D2E692E1}"/>
    <cellStyle name="Normal 4 2 4 2 2 2 4 2 3" xfId="12341" xr:uid="{EF1B2255-3C6D-4354-A22B-7942BEBFEC22}"/>
    <cellStyle name="Normal 4 2 4 2 2 2 4 3" xfId="5975" xr:uid="{00000000-0005-0000-0000-00003B130000}"/>
    <cellStyle name="Normal 4 2 4 2 2 2 4 3 2" xfId="14414" xr:uid="{6073D50B-4266-4FF4-B9DE-155528FB707B}"/>
    <cellStyle name="Normal 4 2 4 2 2 2 4 4" xfId="10196" xr:uid="{FD76CF74-4B2D-4792-898B-4A75E2586BA8}"/>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5D48AE15-DD2C-4474-939C-06C04741D5A6}"/>
    <cellStyle name="Normal 4 2 4 2 2 2 5 2 3" xfId="12754" xr:uid="{A7BA7B29-E247-41A6-9CE8-276144EC2ED5}"/>
    <cellStyle name="Normal 4 2 4 2 2 2 5 3" xfId="6388" xr:uid="{00000000-0005-0000-0000-00003F130000}"/>
    <cellStyle name="Normal 4 2 4 2 2 2 5 3 2" xfId="14827" xr:uid="{3D984C58-B610-43D7-B0FF-22976E8DCB02}"/>
    <cellStyle name="Normal 4 2 4 2 2 2 5 4" xfId="10609" xr:uid="{2B8F5102-1701-41BC-B5EF-EEA4B80F0DB0}"/>
    <cellStyle name="Normal 4 2 4 2 2 2 6" xfId="2517" xr:uid="{00000000-0005-0000-0000-000040130000}"/>
    <cellStyle name="Normal 4 2 4 2 2 2 6 2" xfId="6801" xr:uid="{00000000-0005-0000-0000-000041130000}"/>
    <cellStyle name="Normal 4 2 4 2 2 2 6 2 2" xfId="15240" xr:uid="{51ADAB9F-1FBB-4D69-9323-458B51DCA661}"/>
    <cellStyle name="Normal 4 2 4 2 2 2 6 3" xfId="11022" xr:uid="{AF6C40D4-C4E7-4DF6-B16B-4EB49B1B7777}"/>
    <cellStyle name="Normal 4 2 4 2 2 2 7" xfId="4736" xr:uid="{00000000-0005-0000-0000-000042130000}"/>
    <cellStyle name="Normal 4 2 4 2 2 2 7 2" xfId="13175" xr:uid="{F36E41CC-9E73-4200-92B2-C7F26CF10183}"/>
    <cellStyle name="Normal 4 2 4 2 2 2 8" xfId="8957" xr:uid="{E6F4DA7C-DD52-487F-85F2-FA383BF6A38F}"/>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F9E1F878-4582-4E34-82C5-330A4FBECDAD}"/>
    <cellStyle name="Normal 4 2 4 2 2 3 2 3" xfId="11514" xr:uid="{A7785410-662B-46BC-B043-8306A2978A68}"/>
    <cellStyle name="Normal 4 2 4 2 2 3 3" xfId="5148" xr:uid="{00000000-0005-0000-0000-000046130000}"/>
    <cellStyle name="Normal 4 2 4 2 2 3 3 2" xfId="13587" xr:uid="{6628BF24-5727-4946-8488-939809FAE541}"/>
    <cellStyle name="Normal 4 2 4 2 2 3 4" xfId="9369" xr:uid="{CC306979-93F2-477E-B209-9242A272D281}"/>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42FD92AF-6500-42DB-96F1-2B8F4045A880}"/>
    <cellStyle name="Normal 4 2 4 2 2 4 2 3" xfId="11927" xr:uid="{0EA17965-7705-4301-9629-62C52BF06DE7}"/>
    <cellStyle name="Normal 4 2 4 2 2 4 3" xfId="5561" xr:uid="{00000000-0005-0000-0000-00004A130000}"/>
    <cellStyle name="Normal 4 2 4 2 2 4 3 2" xfId="14000" xr:uid="{B7249341-6FD1-48A6-B9CE-52427AB4EFDC}"/>
    <cellStyle name="Normal 4 2 4 2 2 4 4" xfId="9782" xr:uid="{B560676A-9920-4A20-B235-B394D6577CC6}"/>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52DA0F51-7750-43C5-9E5C-74F6B44B6078}"/>
    <cellStyle name="Normal 4 2 4 2 2 5 2 3" xfId="12340" xr:uid="{37727259-E251-4392-8435-EACB04D72DBA}"/>
    <cellStyle name="Normal 4 2 4 2 2 5 3" xfId="5974" xr:uid="{00000000-0005-0000-0000-00004E130000}"/>
    <cellStyle name="Normal 4 2 4 2 2 5 3 2" xfId="14413" xr:uid="{3D89B576-C6C9-45D2-AD70-45449AF97367}"/>
    <cellStyle name="Normal 4 2 4 2 2 5 4" xfId="10195" xr:uid="{884F2354-6DE7-40C9-A076-C4598732A182}"/>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D07CADE6-DC91-4058-9D7D-90270B1AD661}"/>
    <cellStyle name="Normal 4 2 4 2 2 6 2 3" xfId="12753" xr:uid="{7AF396F3-F44E-4F02-91DA-C00FAF9083BE}"/>
    <cellStyle name="Normal 4 2 4 2 2 6 3" xfId="6387" xr:uid="{00000000-0005-0000-0000-000052130000}"/>
    <cellStyle name="Normal 4 2 4 2 2 6 3 2" xfId="14826" xr:uid="{E803D6C1-239E-4024-B11B-2CEBF0982ABA}"/>
    <cellStyle name="Normal 4 2 4 2 2 6 4" xfId="10608" xr:uid="{FA655997-CD13-441F-B4F8-68537DB9D53D}"/>
    <cellStyle name="Normal 4 2 4 2 2 7" xfId="2516" xr:uid="{00000000-0005-0000-0000-000053130000}"/>
    <cellStyle name="Normal 4 2 4 2 2 7 2" xfId="6800" xr:uid="{00000000-0005-0000-0000-000054130000}"/>
    <cellStyle name="Normal 4 2 4 2 2 7 2 2" xfId="15239" xr:uid="{F1F73C4E-C713-4396-9945-E0CA3665589A}"/>
    <cellStyle name="Normal 4 2 4 2 2 7 3" xfId="11021" xr:uid="{A0A6E468-BA9F-42A7-84B3-B1205C741A79}"/>
    <cellStyle name="Normal 4 2 4 2 2 8" xfId="4735" xr:uid="{00000000-0005-0000-0000-000055130000}"/>
    <cellStyle name="Normal 4 2 4 2 2 8 2" xfId="13174" xr:uid="{9B3800FA-F211-4CF1-A4E1-DDA27134537B}"/>
    <cellStyle name="Normal 4 2 4 2 2 9" xfId="8956" xr:uid="{4742B04F-4554-458B-9488-DB85CD8F7F1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F797756D-E885-48F6-8414-88695506AE0A}"/>
    <cellStyle name="Normal 4 2 4 2 3 2 2 3" xfId="11516" xr:uid="{49E93BD3-138D-44CA-BA01-7582FE4E04A9}"/>
    <cellStyle name="Normal 4 2 4 2 3 2 3" xfId="5150" xr:uid="{00000000-0005-0000-0000-00005A130000}"/>
    <cellStyle name="Normal 4 2 4 2 3 2 3 2" xfId="13589" xr:uid="{EFF02F75-1906-4B04-ACD6-9AE4E28E7E72}"/>
    <cellStyle name="Normal 4 2 4 2 3 2 4" xfId="9371" xr:uid="{202E1DA9-9CDB-4C38-9E60-BE10A58699B1}"/>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C8398334-F439-4DE9-9EFE-38D5957BC3A7}"/>
    <cellStyle name="Normal 4 2 4 2 3 3 2 3" xfId="11929" xr:uid="{F77E573B-8E2F-48DE-A783-38965D45F370}"/>
    <cellStyle name="Normal 4 2 4 2 3 3 3" xfId="5563" xr:uid="{00000000-0005-0000-0000-00005E130000}"/>
    <cellStyle name="Normal 4 2 4 2 3 3 3 2" xfId="14002" xr:uid="{911A7825-B3A3-43B9-AC4F-CD93A7C7A9E9}"/>
    <cellStyle name="Normal 4 2 4 2 3 3 4" xfId="9784" xr:uid="{983F38FC-46F1-478D-A80D-01F4403BD0A8}"/>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509E77DD-79AE-42FF-A160-B205446BB4E8}"/>
    <cellStyle name="Normal 4 2 4 2 3 4 2 3" xfId="12342" xr:uid="{60075BC0-C4F4-40D1-80BC-1886A61FA222}"/>
    <cellStyle name="Normal 4 2 4 2 3 4 3" xfId="5976" xr:uid="{00000000-0005-0000-0000-000062130000}"/>
    <cellStyle name="Normal 4 2 4 2 3 4 3 2" xfId="14415" xr:uid="{3BC4B9F5-6681-45B9-87AE-06A34ABDC93B}"/>
    <cellStyle name="Normal 4 2 4 2 3 4 4" xfId="10197" xr:uid="{23A96EF9-544F-4574-B441-81FC55BFA92C}"/>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8E4E0A40-FAA4-41BC-A4B9-5CCE34BA103E}"/>
    <cellStyle name="Normal 4 2 4 2 3 5 2 3" xfId="12755" xr:uid="{050FCC59-01B6-4F79-8547-1C48417B4403}"/>
    <cellStyle name="Normal 4 2 4 2 3 5 3" xfId="6389" xr:uid="{00000000-0005-0000-0000-000066130000}"/>
    <cellStyle name="Normal 4 2 4 2 3 5 3 2" xfId="14828" xr:uid="{FC937F6E-BD35-4983-B39A-35453EA4AFD2}"/>
    <cellStyle name="Normal 4 2 4 2 3 5 4" xfId="10610" xr:uid="{8FF73CF1-E729-4C47-9FFA-1F46BBA42306}"/>
    <cellStyle name="Normal 4 2 4 2 3 6" xfId="2518" xr:uid="{00000000-0005-0000-0000-000067130000}"/>
    <cellStyle name="Normal 4 2 4 2 3 6 2" xfId="6802" xr:uid="{00000000-0005-0000-0000-000068130000}"/>
    <cellStyle name="Normal 4 2 4 2 3 6 2 2" xfId="15241" xr:uid="{08FB7D06-E830-4711-AC73-85BB17E114FD}"/>
    <cellStyle name="Normal 4 2 4 2 3 6 3" xfId="11023" xr:uid="{B90C168F-5476-4928-B8F5-CEDACA14AA82}"/>
    <cellStyle name="Normal 4 2 4 2 3 7" xfId="4737" xr:uid="{00000000-0005-0000-0000-000069130000}"/>
    <cellStyle name="Normal 4 2 4 2 3 7 2" xfId="13176" xr:uid="{53067316-7E22-49A9-9482-DB1442633BE0}"/>
    <cellStyle name="Normal 4 2 4 2 3 8" xfId="8958" xr:uid="{3D2C7966-9806-4657-AA8B-5119874405D8}"/>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691D7E1D-F89A-4E11-9477-43484D1A35CA}"/>
    <cellStyle name="Normal 4 2 4 2 4 2 3" xfId="11513" xr:uid="{4168462C-0553-4273-B02F-D0A08664CDF3}"/>
    <cellStyle name="Normal 4 2 4 2 4 3" xfId="5147" xr:uid="{00000000-0005-0000-0000-00006D130000}"/>
    <cellStyle name="Normal 4 2 4 2 4 3 2" xfId="13586" xr:uid="{78C1D30F-9E57-49A1-B57F-DB100AD9153E}"/>
    <cellStyle name="Normal 4 2 4 2 4 4" xfId="9368" xr:uid="{23A5FCEC-7631-4E1F-A6AE-AC31A259AFA3}"/>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0DD08023-DBC9-4B03-A027-97E523C2803F}"/>
    <cellStyle name="Normal 4 2 4 2 5 2 3" xfId="11926" xr:uid="{3F674D1B-6F27-47AA-926C-F9278157E1BC}"/>
    <cellStyle name="Normal 4 2 4 2 5 3" xfId="5560" xr:uid="{00000000-0005-0000-0000-000071130000}"/>
    <cellStyle name="Normal 4 2 4 2 5 3 2" xfId="13999" xr:uid="{148F28C6-C63B-4D23-957E-05F735224400}"/>
    <cellStyle name="Normal 4 2 4 2 5 4" xfId="9781" xr:uid="{3DD72241-9D81-4C0A-8386-7F3F894FB33E}"/>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2D4657AB-7D05-4449-AC37-D3525834B487}"/>
    <cellStyle name="Normal 4 2 4 2 6 2 3" xfId="12339" xr:uid="{14AD8545-89C3-47FA-8BBB-6E7FDCEF7581}"/>
    <cellStyle name="Normal 4 2 4 2 6 3" xfId="5973" xr:uid="{00000000-0005-0000-0000-000075130000}"/>
    <cellStyle name="Normal 4 2 4 2 6 3 2" xfId="14412" xr:uid="{A3E4124A-915C-4E08-81E8-C916863F2F55}"/>
    <cellStyle name="Normal 4 2 4 2 6 4" xfId="10194" xr:uid="{80A06460-18D6-4B57-A911-B4002889D4E1}"/>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93D1D1A3-8516-42C3-A34F-AE03EF8AE6BE}"/>
    <cellStyle name="Normal 4 2 4 2 7 2 3" xfId="12752" xr:uid="{3F7AC3BC-E9B5-4C6F-A707-7B38FC232CDB}"/>
    <cellStyle name="Normal 4 2 4 2 7 3" xfId="6386" xr:uid="{00000000-0005-0000-0000-000079130000}"/>
    <cellStyle name="Normal 4 2 4 2 7 3 2" xfId="14825" xr:uid="{9413DB19-C0D0-459C-B6F3-76B13A04FAF8}"/>
    <cellStyle name="Normal 4 2 4 2 7 4" xfId="10607" xr:uid="{839E3319-A4A2-40D5-8248-0CF1CE4DC890}"/>
    <cellStyle name="Normal 4 2 4 2 8" xfId="2515" xr:uid="{00000000-0005-0000-0000-00007A130000}"/>
    <cellStyle name="Normal 4 2 4 2 8 2" xfId="6799" xr:uid="{00000000-0005-0000-0000-00007B130000}"/>
    <cellStyle name="Normal 4 2 4 2 8 2 2" xfId="15238" xr:uid="{827989F0-A6F8-4B90-B0F2-E8B224BD01C0}"/>
    <cellStyle name="Normal 4 2 4 2 8 3" xfId="11020" xr:uid="{F9EA820A-C961-4E19-AF52-81C1A469A926}"/>
    <cellStyle name="Normal 4 2 4 2 9" xfId="4734" xr:uid="{00000000-0005-0000-0000-00007C130000}"/>
    <cellStyle name="Normal 4 2 4 2 9 2" xfId="13173" xr:uid="{3DE7D132-4518-4FD0-B682-7B607599E4C8}"/>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2992AB9C-B89F-4C22-9D06-59914477245E}"/>
    <cellStyle name="Normal 4 2 4 3 2 2 2 3" xfId="11518" xr:uid="{C0A34AC8-CC21-4572-A381-EBFB367476A3}"/>
    <cellStyle name="Normal 4 2 4 3 2 2 3" xfId="5152" xr:uid="{00000000-0005-0000-0000-000082130000}"/>
    <cellStyle name="Normal 4 2 4 3 2 2 3 2" xfId="13591" xr:uid="{3B2CE110-CF81-4EEC-8DBA-F66FFB2E15FC}"/>
    <cellStyle name="Normal 4 2 4 3 2 2 4" xfId="9373" xr:uid="{EDA6B075-7C81-4797-A9DB-73305CCA81F7}"/>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8367ED04-19B6-4871-A31A-430D7F011430}"/>
    <cellStyle name="Normal 4 2 4 3 2 3 2 3" xfId="11931" xr:uid="{0761AC82-062E-4BA5-A393-1CCACE89F1F7}"/>
    <cellStyle name="Normal 4 2 4 3 2 3 3" xfId="5565" xr:uid="{00000000-0005-0000-0000-000086130000}"/>
    <cellStyle name="Normal 4 2 4 3 2 3 3 2" xfId="14004" xr:uid="{29E67725-4B50-4F49-9B92-781139DDCC03}"/>
    <cellStyle name="Normal 4 2 4 3 2 3 4" xfId="9786" xr:uid="{D025A77E-554A-41F3-91CB-DDC70CC36597}"/>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D1B13A98-A657-4358-BB07-1C58603F29CA}"/>
    <cellStyle name="Normal 4 2 4 3 2 4 2 3" xfId="12344" xr:uid="{39E4641F-82ED-45A3-8039-2C3C453434D4}"/>
    <cellStyle name="Normal 4 2 4 3 2 4 3" xfId="5978" xr:uid="{00000000-0005-0000-0000-00008A130000}"/>
    <cellStyle name="Normal 4 2 4 3 2 4 3 2" xfId="14417" xr:uid="{ADBA5B46-3F39-478B-ACC8-B7A90E71EFAD}"/>
    <cellStyle name="Normal 4 2 4 3 2 4 4" xfId="10199" xr:uid="{6602DAF1-C7B8-4849-8401-8206396B1A04}"/>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06AD23EA-1201-4B74-892B-B7B6EF85481A}"/>
    <cellStyle name="Normal 4 2 4 3 2 5 2 3" xfId="12757" xr:uid="{D39D1CEC-6E54-49D6-9E8B-A8CC2D2EF951}"/>
    <cellStyle name="Normal 4 2 4 3 2 5 3" xfId="6391" xr:uid="{00000000-0005-0000-0000-00008E130000}"/>
    <cellStyle name="Normal 4 2 4 3 2 5 3 2" xfId="14830" xr:uid="{EECFE375-BFEA-4B82-BE47-666A3AEFBCCC}"/>
    <cellStyle name="Normal 4 2 4 3 2 5 4" xfId="10612" xr:uid="{FE4BA614-6646-4A66-B471-0EFA2FF397BC}"/>
    <cellStyle name="Normal 4 2 4 3 2 6" xfId="2520" xr:uid="{00000000-0005-0000-0000-00008F130000}"/>
    <cellStyle name="Normal 4 2 4 3 2 6 2" xfId="6804" xr:uid="{00000000-0005-0000-0000-000090130000}"/>
    <cellStyle name="Normal 4 2 4 3 2 6 2 2" xfId="15243" xr:uid="{C9BA28CC-AAD8-4310-AC39-27ADE394529F}"/>
    <cellStyle name="Normal 4 2 4 3 2 6 3" xfId="11025" xr:uid="{FF3E9836-73D2-4F2D-B1AB-05BAB0786128}"/>
    <cellStyle name="Normal 4 2 4 3 2 7" xfId="4739" xr:uid="{00000000-0005-0000-0000-000091130000}"/>
    <cellStyle name="Normal 4 2 4 3 2 7 2" xfId="13178" xr:uid="{50EF5CDC-FD18-4300-885F-3218A8F05B53}"/>
    <cellStyle name="Normal 4 2 4 3 2 8" xfId="8960" xr:uid="{F8376252-B156-4C6B-8DCC-1961592FF65F}"/>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898FE42A-F3F9-4BD4-ABF4-C11344CA30C1}"/>
    <cellStyle name="Normal 4 2 4 3 3 2 3" xfId="11517" xr:uid="{DC01085C-562B-4A52-9F7B-E273825A35C8}"/>
    <cellStyle name="Normal 4 2 4 3 3 3" xfId="5151" xr:uid="{00000000-0005-0000-0000-000095130000}"/>
    <cellStyle name="Normal 4 2 4 3 3 3 2" xfId="13590" xr:uid="{375943F9-5742-4242-8D33-BDCE4BEB3A3A}"/>
    <cellStyle name="Normal 4 2 4 3 3 4" xfId="9372" xr:uid="{A31E4C5D-05A3-45CC-8D70-3F136D2C0C96}"/>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EBB91F3B-94EB-4A57-B3FE-C4AC875E0E5A}"/>
    <cellStyle name="Normal 4 2 4 3 4 2 3" xfId="11930" xr:uid="{C5F8196F-6BF5-407C-A7AB-ECE83F72C3F5}"/>
    <cellStyle name="Normal 4 2 4 3 4 3" xfId="5564" xr:uid="{00000000-0005-0000-0000-000099130000}"/>
    <cellStyle name="Normal 4 2 4 3 4 3 2" xfId="14003" xr:uid="{301638A2-10DB-44C5-9B5B-B74D4EDA2004}"/>
    <cellStyle name="Normal 4 2 4 3 4 4" xfId="9785" xr:uid="{5DA79F0B-C842-413A-905F-E1B299CAEB39}"/>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D230C25B-6151-4FC8-9AB1-EFA0F31C1549}"/>
    <cellStyle name="Normal 4 2 4 3 5 2 3" xfId="12343" xr:uid="{528AA92C-DF31-440D-B100-3A81DAF481C8}"/>
    <cellStyle name="Normal 4 2 4 3 5 3" xfId="5977" xr:uid="{00000000-0005-0000-0000-00009D130000}"/>
    <cellStyle name="Normal 4 2 4 3 5 3 2" xfId="14416" xr:uid="{2EEE12DB-3E20-41CD-99DB-F8F6D0724FAA}"/>
    <cellStyle name="Normal 4 2 4 3 5 4" xfId="10198" xr:uid="{7E3E67BC-5580-4CEF-B32D-5435CD20626B}"/>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0D8096A1-8654-4759-83B1-04FDAD8A4312}"/>
    <cellStyle name="Normal 4 2 4 3 6 2 3" xfId="12756" xr:uid="{BB64EAB5-8D7C-4871-805F-19FC52E14051}"/>
    <cellStyle name="Normal 4 2 4 3 6 3" xfId="6390" xr:uid="{00000000-0005-0000-0000-0000A1130000}"/>
    <cellStyle name="Normal 4 2 4 3 6 3 2" xfId="14829" xr:uid="{9B64913F-3DF5-4C9F-A54C-ED914DD040B6}"/>
    <cellStyle name="Normal 4 2 4 3 6 4" xfId="10611" xr:uid="{BF413E99-CA44-42A8-8A37-EDB8408ACAA8}"/>
    <cellStyle name="Normal 4 2 4 3 7" xfId="2519" xr:uid="{00000000-0005-0000-0000-0000A2130000}"/>
    <cellStyle name="Normal 4 2 4 3 7 2" xfId="6803" xr:uid="{00000000-0005-0000-0000-0000A3130000}"/>
    <cellStyle name="Normal 4 2 4 3 7 2 2" xfId="15242" xr:uid="{8824C123-A2FE-466F-AD29-12B8C71E8C3C}"/>
    <cellStyle name="Normal 4 2 4 3 7 3" xfId="11024" xr:uid="{B86434C3-FF85-4673-9B3C-D1B04EC31E32}"/>
    <cellStyle name="Normal 4 2 4 3 8" xfId="4738" xr:uid="{00000000-0005-0000-0000-0000A4130000}"/>
    <cellStyle name="Normal 4 2 4 3 8 2" xfId="13177" xr:uid="{1C543227-4C56-4931-80C2-3CF2C16E4957}"/>
    <cellStyle name="Normal 4 2 4 3 9" xfId="8959" xr:uid="{1C72FDC4-967D-4D89-9931-C57A00F58566}"/>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CE55EFB1-6613-4C6D-9A64-4F9EBCD8AE40}"/>
    <cellStyle name="Normal 4 2 4 4 2 2 3" xfId="11519" xr:uid="{8F86339D-7CDB-4E11-93BA-600D30758E97}"/>
    <cellStyle name="Normal 4 2 4 4 2 3" xfId="5153" xr:uid="{00000000-0005-0000-0000-0000A9130000}"/>
    <cellStyle name="Normal 4 2 4 4 2 3 2" xfId="13592" xr:uid="{92FA4B76-FC78-4806-A8E3-DC688BFE7685}"/>
    <cellStyle name="Normal 4 2 4 4 2 4" xfId="9374" xr:uid="{8E8D272B-D5B7-4FE2-90A7-72D17239C0C4}"/>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C3C142EB-F279-43BF-8D16-FADB73B3C8BA}"/>
    <cellStyle name="Normal 4 2 4 4 3 2 3" xfId="11932" xr:uid="{BBAC90A1-ADF5-4F1D-BC59-099EF4031D13}"/>
    <cellStyle name="Normal 4 2 4 4 3 3" xfId="5566" xr:uid="{00000000-0005-0000-0000-0000AD130000}"/>
    <cellStyle name="Normal 4 2 4 4 3 3 2" xfId="14005" xr:uid="{4D79E644-D3A4-4018-B920-9F9B2DDD6B42}"/>
    <cellStyle name="Normal 4 2 4 4 3 4" xfId="9787" xr:uid="{CF618E52-9054-45B7-833B-858A267DD7C8}"/>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1B304DDF-AF5B-4C69-9A28-104B0A77BF4F}"/>
    <cellStyle name="Normal 4 2 4 4 4 2 3" xfId="12345" xr:uid="{E886CEB8-4A73-47D0-B57D-DF76344AECDB}"/>
    <cellStyle name="Normal 4 2 4 4 4 3" xfId="5979" xr:uid="{00000000-0005-0000-0000-0000B1130000}"/>
    <cellStyle name="Normal 4 2 4 4 4 3 2" xfId="14418" xr:uid="{012F2AB7-BA01-4356-89C0-28D96269F1A0}"/>
    <cellStyle name="Normal 4 2 4 4 4 4" xfId="10200" xr:uid="{0FA99FBC-2EAB-4FE4-9B7A-C3743DDAFB61}"/>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E50C330E-1211-4AC1-96E8-093553CF93B4}"/>
    <cellStyle name="Normal 4 2 4 4 5 2 3" xfId="12758" xr:uid="{BC28D586-DED7-4BBF-B585-FC26755E0328}"/>
    <cellStyle name="Normal 4 2 4 4 5 3" xfId="6392" xr:uid="{00000000-0005-0000-0000-0000B5130000}"/>
    <cellStyle name="Normal 4 2 4 4 5 3 2" xfId="14831" xr:uid="{AD6AE031-F80E-4F6A-9105-C463FF9691F9}"/>
    <cellStyle name="Normal 4 2 4 4 5 4" xfId="10613" xr:uid="{3A5CCF30-D375-42D5-B482-62D48756F7AA}"/>
    <cellStyle name="Normal 4 2 4 4 6" xfId="2521" xr:uid="{00000000-0005-0000-0000-0000B6130000}"/>
    <cellStyle name="Normal 4 2 4 4 6 2" xfId="6805" xr:uid="{00000000-0005-0000-0000-0000B7130000}"/>
    <cellStyle name="Normal 4 2 4 4 6 2 2" xfId="15244" xr:uid="{AD3F2E1A-1DB5-4758-AAB0-FAA9F92B13A6}"/>
    <cellStyle name="Normal 4 2 4 4 6 3" xfId="11026" xr:uid="{A00C3945-6CF2-49CA-A6C3-204349F9102E}"/>
    <cellStyle name="Normal 4 2 4 4 7" xfId="4740" xr:uid="{00000000-0005-0000-0000-0000B8130000}"/>
    <cellStyle name="Normal 4 2 4 4 7 2" xfId="13179" xr:uid="{DF2153E9-0DEF-47F5-9E7F-834D913E09BB}"/>
    <cellStyle name="Normal 4 2 4 4 8" xfId="8961" xr:uid="{3E2DE062-2970-4C0E-85B5-6403F626000D}"/>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94EDC8EC-2042-4779-B7A5-5CDE2125FC2B}"/>
    <cellStyle name="Normal 4 2 4 5 2 3" xfId="11512" xr:uid="{42E3C88B-8700-4A84-8057-EEF1B4E376CA}"/>
    <cellStyle name="Normal 4 2 4 5 3" xfId="5146" xr:uid="{00000000-0005-0000-0000-0000BC130000}"/>
    <cellStyle name="Normal 4 2 4 5 3 2" xfId="13585" xr:uid="{A2B55C8B-8684-490B-9735-FA61E76486E1}"/>
    <cellStyle name="Normal 4 2 4 5 4" xfId="9367" xr:uid="{38D7E125-0F81-44F2-9166-0DF896D89FBE}"/>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510AD4B1-41F4-4556-984A-63254FB4BB08}"/>
    <cellStyle name="Normal 4 2 4 6 2 3" xfId="11925" xr:uid="{2B3123A2-0ED5-41E7-8BF1-A1CFFBFC3EDE}"/>
    <cellStyle name="Normal 4 2 4 6 3" xfId="5559" xr:uid="{00000000-0005-0000-0000-0000C0130000}"/>
    <cellStyle name="Normal 4 2 4 6 3 2" xfId="13998" xr:uid="{929225C1-06A1-43F1-AD0E-97AE4C874E18}"/>
    <cellStyle name="Normal 4 2 4 6 4" xfId="9780" xr:uid="{FE7CDDC6-55C5-4BF7-836E-00406248BA90}"/>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29B39B7B-DCFF-4525-AE46-4C5F39602FB1}"/>
    <cellStyle name="Normal 4 2 4 7 2 3" xfId="12338" xr:uid="{32B30CE7-6541-4A30-B8FE-A09FFA4A77D0}"/>
    <cellStyle name="Normal 4 2 4 7 3" xfId="5972" xr:uid="{00000000-0005-0000-0000-0000C4130000}"/>
    <cellStyle name="Normal 4 2 4 7 3 2" xfId="14411" xr:uid="{A11A17E4-8336-4C19-908C-F8FCC6BA0E7E}"/>
    <cellStyle name="Normal 4 2 4 7 4" xfId="10193" xr:uid="{1FC5736E-14F6-4A39-AA54-DD936B1D8F14}"/>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01EC2279-4425-4AD5-BE3E-6A37C73238E3}"/>
    <cellStyle name="Normal 4 2 4 8 2 3" xfId="12751" xr:uid="{34CAACC8-D4C2-4174-99E4-6C2DFDE1CA64}"/>
    <cellStyle name="Normal 4 2 4 8 3" xfId="6385" xr:uid="{00000000-0005-0000-0000-0000C8130000}"/>
    <cellStyle name="Normal 4 2 4 8 3 2" xfId="14824" xr:uid="{16610B5C-E7EF-4940-ACC5-CE6EEC458725}"/>
    <cellStyle name="Normal 4 2 4 8 4" xfId="10606" xr:uid="{37ADE934-54E1-493D-B117-E1A341BB7BE7}"/>
    <cellStyle name="Normal 4 2 4 9" xfId="2514" xr:uid="{00000000-0005-0000-0000-0000C9130000}"/>
    <cellStyle name="Normal 4 2 4 9 2" xfId="6798" xr:uid="{00000000-0005-0000-0000-0000CA130000}"/>
    <cellStyle name="Normal 4 2 4 9 2 2" xfId="15237" xr:uid="{CDA3E2C3-0AA4-4450-94E0-E6E00BA27994}"/>
    <cellStyle name="Normal 4 2 4 9 3" xfId="11019" xr:uid="{F2E743E3-47F5-49D8-9D66-A64A3F53CE9E}"/>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02D99379-5877-4812-818F-461807EEB913}"/>
    <cellStyle name="Normal 4 2 5 2 2 2 3" xfId="11521" xr:uid="{44D0D643-F3F4-43EA-9E29-01F7A8B83015}"/>
    <cellStyle name="Normal 4 2 5 2 2 3" xfId="5155" xr:uid="{00000000-0005-0000-0000-0000D0130000}"/>
    <cellStyle name="Normal 4 2 5 2 2 3 2" xfId="13594" xr:uid="{0A3FBA0A-277C-4B2B-A058-F1250B00DA79}"/>
    <cellStyle name="Normal 4 2 5 2 2 4" xfId="9376" xr:uid="{2E52CA24-587C-4639-9BBB-155019DE8C20}"/>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5BE88988-7991-4BDF-9A67-777931D18C27}"/>
    <cellStyle name="Normal 4 2 5 2 3 2 3" xfId="11934" xr:uid="{19FA090A-DDA8-4190-B130-ED4F34BA98A5}"/>
    <cellStyle name="Normal 4 2 5 2 3 3" xfId="5568" xr:uid="{00000000-0005-0000-0000-0000D4130000}"/>
    <cellStyle name="Normal 4 2 5 2 3 3 2" xfId="14007" xr:uid="{69B762D0-21A6-4DBA-AADB-D72B84E4C991}"/>
    <cellStyle name="Normal 4 2 5 2 3 4" xfId="9789" xr:uid="{C25B9F38-D2B2-4D84-9D7F-36B7E40F7E8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92A5CA20-E716-4B1F-AC14-54FE7DA7FD33}"/>
    <cellStyle name="Normal 4 2 5 2 4 2 3" xfId="12347" xr:uid="{618C638B-2CE9-46FE-9277-29E6B3F6B3C5}"/>
    <cellStyle name="Normal 4 2 5 2 4 3" xfId="5981" xr:uid="{00000000-0005-0000-0000-0000D8130000}"/>
    <cellStyle name="Normal 4 2 5 2 4 3 2" xfId="14420" xr:uid="{2A22B697-DA6C-49AA-AC58-7BD7C3D56C65}"/>
    <cellStyle name="Normal 4 2 5 2 4 4" xfId="10202" xr:uid="{406ADB45-9584-4DFC-A3C0-733E2ED09936}"/>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8CF74A05-F1BB-45D9-8B3E-89A8501891AD}"/>
    <cellStyle name="Normal 4 2 5 2 5 2 3" xfId="12760" xr:uid="{93591296-04AF-415E-BA61-46B277453EE5}"/>
    <cellStyle name="Normal 4 2 5 2 5 3" xfId="6394" xr:uid="{00000000-0005-0000-0000-0000DC130000}"/>
    <cellStyle name="Normal 4 2 5 2 5 3 2" xfId="14833" xr:uid="{3C997D55-7BC0-4781-9979-50A3ADE8B09D}"/>
    <cellStyle name="Normal 4 2 5 2 5 4" xfId="10615" xr:uid="{81C050C7-5768-409B-BF50-2979F9B8F884}"/>
    <cellStyle name="Normal 4 2 5 2 6" xfId="2523" xr:uid="{00000000-0005-0000-0000-0000DD130000}"/>
    <cellStyle name="Normal 4 2 5 2 6 2" xfId="6807" xr:uid="{00000000-0005-0000-0000-0000DE130000}"/>
    <cellStyle name="Normal 4 2 5 2 6 2 2" xfId="15246" xr:uid="{266B01E4-0532-4BF1-B250-78811FDC5686}"/>
    <cellStyle name="Normal 4 2 5 2 6 3" xfId="11028" xr:uid="{437B3C6C-E882-4173-8AF8-F5D5D2913A5C}"/>
    <cellStyle name="Normal 4 2 5 2 7" xfId="4742" xr:uid="{00000000-0005-0000-0000-0000DF130000}"/>
    <cellStyle name="Normal 4 2 5 2 7 2" xfId="13181" xr:uid="{7A3A2E1E-CF56-422C-B702-BF21D4EC56C1}"/>
    <cellStyle name="Normal 4 2 5 2 8" xfId="8963" xr:uid="{42A7B875-E5DF-4EE8-BB81-464303CBB522}"/>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7E92214D-EE05-4DD3-BDBD-F914102D8F50}"/>
    <cellStyle name="Normal 4 2 5 3 2 3" xfId="11520" xr:uid="{C53310AE-43F6-43BC-A4F4-92003992F78F}"/>
    <cellStyle name="Normal 4 2 5 3 3" xfId="5154" xr:uid="{00000000-0005-0000-0000-0000E3130000}"/>
    <cellStyle name="Normal 4 2 5 3 3 2" xfId="13593" xr:uid="{75D51F91-6F84-44C8-BC10-D768CA5608FD}"/>
    <cellStyle name="Normal 4 2 5 3 4" xfId="9375" xr:uid="{B5E0A980-30FB-4439-8BAF-789FAF95713B}"/>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05D28804-FD7C-4139-A5F6-0FD46F75855E}"/>
    <cellStyle name="Normal 4 2 5 4 2 3" xfId="11933" xr:uid="{2AD3AE07-C84F-47FB-B52D-688E989993C7}"/>
    <cellStyle name="Normal 4 2 5 4 3" xfId="5567" xr:uid="{00000000-0005-0000-0000-0000E7130000}"/>
    <cellStyle name="Normal 4 2 5 4 3 2" xfId="14006" xr:uid="{44EC3326-178F-4214-8016-98D6C5D30264}"/>
    <cellStyle name="Normal 4 2 5 4 4" xfId="9788" xr:uid="{C3EFE27B-0DB3-44D9-BC75-EC7FB37E5F15}"/>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F5B6BBF7-97B3-4B2C-A3DF-ADDB82C5C154}"/>
    <cellStyle name="Normal 4 2 5 5 2 3" xfId="12346" xr:uid="{138DD9A9-C758-4658-A71C-20DCB94333DC}"/>
    <cellStyle name="Normal 4 2 5 5 3" xfId="5980" xr:uid="{00000000-0005-0000-0000-0000EB130000}"/>
    <cellStyle name="Normal 4 2 5 5 3 2" xfId="14419" xr:uid="{4F039571-4FE8-44BA-BC72-FA85CF16FD9F}"/>
    <cellStyle name="Normal 4 2 5 5 4" xfId="10201" xr:uid="{FD58E752-0C0E-4519-A16E-1CE4117B938B}"/>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6E5E1259-5BB5-46E0-B530-9D99F892988A}"/>
    <cellStyle name="Normal 4 2 5 6 2 3" xfId="12759" xr:uid="{CA296C3E-3ADD-48B1-A430-F00AD20265B3}"/>
    <cellStyle name="Normal 4 2 5 6 3" xfId="6393" xr:uid="{00000000-0005-0000-0000-0000EF130000}"/>
    <cellStyle name="Normal 4 2 5 6 3 2" xfId="14832" xr:uid="{52407A92-74FD-48EC-A821-FF3ABF8D869C}"/>
    <cellStyle name="Normal 4 2 5 6 4" xfId="10614" xr:uid="{C9437D3C-D727-4B8A-891D-1A2AA116DA69}"/>
    <cellStyle name="Normal 4 2 5 7" xfId="2522" xr:uid="{00000000-0005-0000-0000-0000F0130000}"/>
    <cellStyle name="Normal 4 2 5 7 2" xfId="6806" xr:uid="{00000000-0005-0000-0000-0000F1130000}"/>
    <cellStyle name="Normal 4 2 5 7 2 2" xfId="15245" xr:uid="{85F9B679-40FF-4C60-AB53-900F0056266A}"/>
    <cellStyle name="Normal 4 2 5 7 3" xfId="11027" xr:uid="{FE7E3921-2EE0-478C-8D2C-9C4950B17665}"/>
    <cellStyle name="Normal 4 2 5 8" xfId="4741" xr:uid="{00000000-0005-0000-0000-0000F2130000}"/>
    <cellStyle name="Normal 4 2 5 8 2" xfId="13180" xr:uid="{2CF506F1-CF5C-4DCF-8828-D1EF7CA14E7A}"/>
    <cellStyle name="Normal 4 2 5 9" xfId="8962" xr:uid="{27CB69E3-FEC5-464A-8FD9-D48169103039}"/>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9FC4E769-E0BF-4ADF-A758-F4F2B861600A}"/>
    <cellStyle name="Normal 4 2 6 2 2 3" xfId="11522" xr:uid="{B6CA0E74-D535-41BB-90A6-B7248A52E572}"/>
    <cellStyle name="Normal 4 2 6 2 3" xfId="5156" xr:uid="{00000000-0005-0000-0000-0000F7130000}"/>
    <cellStyle name="Normal 4 2 6 2 3 2" xfId="13595" xr:uid="{1C7981D2-A00E-48A3-946C-B6445E83356F}"/>
    <cellStyle name="Normal 4 2 6 2 4" xfId="9377" xr:uid="{3161A737-408C-45D2-B090-3FA9C57B5510}"/>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33175FEF-D1C9-4D26-9A61-D86836B712FE}"/>
    <cellStyle name="Normal 4 2 6 3 2 3" xfId="11935" xr:uid="{A3EA52F4-FAB4-44E2-B78E-13A47FC15ABE}"/>
    <cellStyle name="Normal 4 2 6 3 3" xfId="5569" xr:uid="{00000000-0005-0000-0000-0000FB130000}"/>
    <cellStyle name="Normal 4 2 6 3 3 2" xfId="14008" xr:uid="{3D178744-1330-4DC7-A438-64215A819400}"/>
    <cellStyle name="Normal 4 2 6 3 4" xfId="9790" xr:uid="{D250FF92-A978-45B6-9621-650ECD379D60}"/>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052AB058-A7A2-4133-A043-02B13317EAF8}"/>
    <cellStyle name="Normal 4 2 6 4 2 3" xfId="12348" xr:uid="{C027F38E-0A12-43AB-A124-060A9E22166D}"/>
    <cellStyle name="Normal 4 2 6 4 3" xfId="5982" xr:uid="{00000000-0005-0000-0000-0000FF130000}"/>
    <cellStyle name="Normal 4 2 6 4 3 2" xfId="14421" xr:uid="{E9FE6A4C-E760-4BF2-A0BF-54B1C301AF8B}"/>
    <cellStyle name="Normal 4 2 6 4 4" xfId="10203" xr:uid="{2570C15B-5321-4292-8704-9219D6B2F043}"/>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E758CCDD-2757-42C3-AA1D-3ABC0F3CA196}"/>
    <cellStyle name="Normal 4 2 6 5 2 3" xfId="12761" xr:uid="{6B32C686-1DF3-4EF5-821C-D4129843768B}"/>
    <cellStyle name="Normal 4 2 6 5 3" xfId="6395" xr:uid="{00000000-0005-0000-0000-000003140000}"/>
    <cellStyle name="Normal 4 2 6 5 3 2" xfId="14834" xr:uid="{8FB5E74A-7002-451D-B288-2E077C1F3C91}"/>
    <cellStyle name="Normal 4 2 6 5 4" xfId="10616" xr:uid="{01C966F2-6392-4464-A578-95648F580955}"/>
    <cellStyle name="Normal 4 2 6 6" xfId="2524" xr:uid="{00000000-0005-0000-0000-000004140000}"/>
    <cellStyle name="Normal 4 2 6 6 2" xfId="6808" xr:uid="{00000000-0005-0000-0000-000005140000}"/>
    <cellStyle name="Normal 4 2 6 6 2 2" xfId="15247" xr:uid="{C5B50CBB-64E8-467C-8E3D-0ADCA8ACBF18}"/>
    <cellStyle name="Normal 4 2 6 6 3" xfId="11029" xr:uid="{05F3153A-C128-49F0-AB87-9F841E424046}"/>
    <cellStyle name="Normal 4 2 6 7" xfId="4743" xr:uid="{00000000-0005-0000-0000-000006140000}"/>
    <cellStyle name="Normal 4 2 6 7 2" xfId="13182" xr:uid="{F41D848B-51FB-436F-9279-FC5B5E8EECCA}"/>
    <cellStyle name="Normal 4 2 6 8" xfId="8964" xr:uid="{66F91C7C-6C48-4751-A375-343E083F6024}"/>
    <cellStyle name="Normal 4 3" xfId="366" xr:uid="{00000000-0005-0000-0000-000007140000}"/>
    <cellStyle name="Normal 4 3 10" xfId="8965" xr:uid="{0F438715-F38A-4C13-8CA5-5682846482F4}"/>
    <cellStyle name="Normal 4 3 2" xfId="367" xr:uid="{00000000-0005-0000-0000-000008140000}"/>
    <cellStyle name="Normal 4 3 2 2" xfId="368" xr:uid="{00000000-0005-0000-0000-000009140000}"/>
    <cellStyle name="Normal 4 3 2 2 2" xfId="369" xr:uid="{00000000-0005-0000-0000-00000A140000}"/>
    <cellStyle name="Normal 4 3 2 2 2 10" xfId="8966" xr:uid="{34B89E23-07FB-4585-BB22-C1C5A8EC3EF6}"/>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742AB6A3-F3C0-466D-BE47-A39103E5F6EA}"/>
    <cellStyle name="Normal 4 3 2 2 2 2 2 2 2 3" xfId="11526" xr:uid="{DB0FDD01-566E-46F3-B704-292579CD2CA6}"/>
    <cellStyle name="Normal 4 3 2 2 2 2 2 2 3" xfId="5160" xr:uid="{00000000-0005-0000-0000-000010140000}"/>
    <cellStyle name="Normal 4 3 2 2 2 2 2 2 3 2" xfId="13599" xr:uid="{307CF7B4-EBF4-4ACA-8984-DF89186AF07E}"/>
    <cellStyle name="Normal 4 3 2 2 2 2 2 2 4" xfId="9381" xr:uid="{FA2232CE-7DC3-458F-8B1B-EB23243DCE32}"/>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04909867-5D19-4BB3-8888-625F3BB951F3}"/>
    <cellStyle name="Normal 4 3 2 2 2 2 2 3 2 3" xfId="11939" xr:uid="{9A77585E-48B7-48A4-835D-527CC8E1584F}"/>
    <cellStyle name="Normal 4 3 2 2 2 2 2 3 3" xfId="5573" xr:uid="{00000000-0005-0000-0000-000014140000}"/>
    <cellStyle name="Normal 4 3 2 2 2 2 2 3 3 2" xfId="14012" xr:uid="{987922A8-BCA9-45E7-AE1E-A0E442B26563}"/>
    <cellStyle name="Normal 4 3 2 2 2 2 2 3 4" xfId="9794" xr:uid="{0BA8490F-2E50-4901-BB9D-ED60B42E0E88}"/>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D0FF78E4-5321-4606-94D1-C738DC898FC8}"/>
    <cellStyle name="Normal 4 3 2 2 2 2 2 4 2 3" xfId="12352" xr:uid="{3E9601F3-1890-4162-8C65-3DB8ED43663A}"/>
    <cellStyle name="Normal 4 3 2 2 2 2 2 4 3" xfId="5986" xr:uid="{00000000-0005-0000-0000-000018140000}"/>
    <cellStyle name="Normal 4 3 2 2 2 2 2 4 3 2" xfId="14425" xr:uid="{3BA2CB42-2D5F-4498-A681-F92B2F8DB650}"/>
    <cellStyle name="Normal 4 3 2 2 2 2 2 4 4" xfId="10207" xr:uid="{5DD5836C-508C-4227-8FBF-1BBB264A98E4}"/>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CB6FAE53-A62A-4C5E-920E-E6E4E2CC3814}"/>
    <cellStyle name="Normal 4 3 2 2 2 2 2 5 2 3" xfId="12765" xr:uid="{2D73DFE4-76BC-4527-B65D-7E228B340BAC}"/>
    <cellStyle name="Normal 4 3 2 2 2 2 2 5 3" xfId="6399" xr:uid="{00000000-0005-0000-0000-00001C140000}"/>
    <cellStyle name="Normal 4 3 2 2 2 2 2 5 3 2" xfId="14838" xr:uid="{561171CB-2833-4AB0-8502-6D1F6059A3BD}"/>
    <cellStyle name="Normal 4 3 2 2 2 2 2 5 4" xfId="10620" xr:uid="{B91ABC0A-3AA8-4A82-9F6E-C0D63B424CE3}"/>
    <cellStyle name="Normal 4 3 2 2 2 2 2 6" xfId="2528" xr:uid="{00000000-0005-0000-0000-00001D140000}"/>
    <cellStyle name="Normal 4 3 2 2 2 2 2 6 2" xfId="6812" xr:uid="{00000000-0005-0000-0000-00001E140000}"/>
    <cellStyle name="Normal 4 3 2 2 2 2 2 6 2 2" xfId="15251" xr:uid="{2B61EF28-7FD8-4576-84F7-8CE5B186F691}"/>
    <cellStyle name="Normal 4 3 2 2 2 2 2 6 3" xfId="11033" xr:uid="{98CC1DD2-662C-4644-B818-EED18EC7D681}"/>
    <cellStyle name="Normal 4 3 2 2 2 2 2 7" xfId="4747" xr:uid="{00000000-0005-0000-0000-00001F140000}"/>
    <cellStyle name="Normal 4 3 2 2 2 2 2 7 2" xfId="13186" xr:uid="{CE4B6562-5FD3-4BC9-ADF0-0702B2307761}"/>
    <cellStyle name="Normal 4 3 2 2 2 2 2 8" xfId="8968" xr:uid="{285C0AF2-1D0A-4F1B-A4BD-4D58087C3807}"/>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C21FB13C-5C53-441E-955F-D46389F1BB7C}"/>
    <cellStyle name="Normal 4 3 2 2 2 2 3 2 3" xfId="11525" xr:uid="{CF784912-7D07-4FD3-86EF-DBC8B3E59EB3}"/>
    <cellStyle name="Normal 4 3 2 2 2 2 3 3" xfId="5159" xr:uid="{00000000-0005-0000-0000-000023140000}"/>
    <cellStyle name="Normal 4 3 2 2 2 2 3 3 2" xfId="13598" xr:uid="{C83F4EEE-5294-4CE6-9F91-EC65D55A5623}"/>
    <cellStyle name="Normal 4 3 2 2 2 2 3 4" xfId="9380" xr:uid="{EE817F49-4073-48DD-A0BD-DB65CB934D67}"/>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5027EA82-600A-457C-9D06-93AD0DD54DD2}"/>
    <cellStyle name="Normal 4 3 2 2 2 2 4 2 3" xfId="11938" xr:uid="{96E79B65-58D4-427A-BCDA-ACA038CDD4BC}"/>
    <cellStyle name="Normal 4 3 2 2 2 2 4 3" xfId="5572" xr:uid="{00000000-0005-0000-0000-000027140000}"/>
    <cellStyle name="Normal 4 3 2 2 2 2 4 3 2" xfId="14011" xr:uid="{2E01611B-8807-4CF6-93B3-A3D0AFEFE85C}"/>
    <cellStyle name="Normal 4 3 2 2 2 2 4 4" xfId="9793" xr:uid="{98BC216F-3553-45E9-A97D-7E82E4AE034A}"/>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24C33210-40F7-4242-B29D-6B443213B350}"/>
    <cellStyle name="Normal 4 3 2 2 2 2 5 2 3" xfId="12351" xr:uid="{AEC6C8CF-162C-4FD5-99E2-749760B7E9E7}"/>
    <cellStyle name="Normal 4 3 2 2 2 2 5 3" xfId="5985" xr:uid="{00000000-0005-0000-0000-00002B140000}"/>
    <cellStyle name="Normal 4 3 2 2 2 2 5 3 2" xfId="14424" xr:uid="{8F280509-AEAE-4C25-BDC2-E274E4712619}"/>
    <cellStyle name="Normal 4 3 2 2 2 2 5 4" xfId="10206" xr:uid="{6EC64C08-B505-433C-AA67-514BE670BE02}"/>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241940E3-87E1-400E-B35C-AAE7A2FBAF8D}"/>
    <cellStyle name="Normal 4 3 2 2 2 2 6 2 3" xfId="12764" xr:uid="{CE83408E-C483-423F-A727-61E01C593378}"/>
    <cellStyle name="Normal 4 3 2 2 2 2 6 3" xfId="6398" xr:uid="{00000000-0005-0000-0000-00002F140000}"/>
    <cellStyle name="Normal 4 3 2 2 2 2 6 3 2" xfId="14837" xr:uid="{98232E52-2BD8-409F-AC7B-27FC31C40E66}"/>
    <cellStyle name="Normal 4 3 2 2 2 2 6 4" xfId="10619" xr:uid="{49BDDA16-310B-4D3E-8CA0-0546FBF715E4}"/>
    <cellStyle name="Normal 4 3 2 2 2 2 7" xfId="2527" xr:uid="{00000000-0005-0000-0000-000030140000}"/>
    <cellStyle name="Normal 4 3 2 2 2 2 7 2" xfId="6811" xr:uid="{00000000-0005-0000-0000-000031140000}"/>
    <cellStyle name="Normal 4 3 2 2 2 2 7 2 2" xfId="15250" xr:uid="{5E1F468B-C560-48B7-BB8F-4C8BC07F4F9A}"/>
    <cellStyle name="Normal 4 3 2 2 2 2 7 3" xfId="11032" xr:uid="{002D6681-F187-470C-BE73-07723A6393EA}"/>
    <cellStyle name="Normal 4 3 2 2 2 2 8" xfId="4746" xr:uid="{00000000-0005-0000-0000-000032140000}"/>
    <cellStyle name="Normal 4 3 2 2 2 2 8 2" xfId="13185" xr:uid="{39894104-E605-4459-88D3-FA8928DA4D0A}"/>
    <cellStyle name="Normal 4 3 2 2 2 2 9" xfId="8967" xr:uid="{0C47CC6D-7777-4C85-A3F3-5C2470C27173}"/>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91F4C4DF-6E89-4FBC-9B0A-6D2902199F48}"/>
    <cellStyle name="Normal 4 3 2 2 2 3 2 2 3" xfId="11527" xr:uid="{547FD2A8-6425-409C-A8FD-1E22C51E3433}"/>
    <cellStyle name="Normal 4 3 2 2 2 3 2 3" xfId="5161" xr:uid="{00000000-0005-0000-0000-000037140000}"/>
    <cellStyle name="Normal 4 3 2 2 2 3 2 3 2" xfId="13600" xr:uid="{44F8A775-5F95-4032-8E79-23B4BC4511E6}"/>
    <cellStyle name="Normal 4 3 2 2 2 3 2 4" xfId="9382" xr:uid="{CC3DFF1A-1439-4B71-A737-7BA16A310558}"/>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D72DE700-C1A7-4538-80A6-144A3AAE80C3}"/>
    <cellStyle name="Normal 4 3 2 2 2 3 3 2 3" xfId="11940" xr:uid="{EBADE8A6-B6B4-4100-8358-C535916E04BA}"/>
    <cellStyle name="Normal 4 3 2 2 2 3 3 3" xfId="5574" xr:uid="{00000000-0005-0000-0000-00003B140000}"/>
    <cellStyle name="Normal 4 3 2 2 2 3 3 3 2" xfId="14013" xr:uid="{1E4C16B2-4CF8-42FE-82AC-86F1C6EFF5A3}"/>
    <cellStyle name="Normal 4 3 2 2 2 3 3 4" xfId="9795" xr:uid="{A6BB1892-1480-429A-9201-EEF8050722EF}"/>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C6DEADE3-9277-45FA-A2ED-DA04BA72A4ED}"/>
    <cellStyle name="Normal 4 3 2 2 2 3 4 2 3" xfId="12353" xr:uid="{725117CB-4B96-44E9-830E-74C075872855}"/>
    <cellStyle name="Normal 4 3 2 2 2 3 4 3" xfId="5987" xr:uid="{00000000-0005-0000-0000-00003F140000}"/>
    <cellStyle name="Normal 4 3 2 2 2 3 4 3 2" xfId="14426" xr:uid="{A037B902-C43C-443D-B15A-3FC650C3C6EE}"/>
    <cellStyle name="Normal 4 3 2 2 2 3 4 4" xfId="10208" xr:uid="{73DB7B44-DDFE-4AC7-B50E-B5D9F309C289}"/>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93CFA913-3C47-4A81-BD67-26AE21FF1452}"/>
    <cellStyle name="Normal 4 3 2 2 2 3 5 2 3" xfId="12766" xr:uid="{FCEC269B-DFC3-43CE-AAA1-9CDE2ABDACF1}"/>
    <cellStyle name="Normal 4 3 2 2 2 3 5 3" xfId="6400" xr:uid="{00000000-0005-0000-0000-000043140000}"/>
    <cellStyle name="Normal 4 3 2 2 2 3 5 3 2" xfId="14839" xr:uid="{1A6E807F-63E4-4C04-B6E6-6F09C92FD5B0}"/>
    <cellStyle name="Normal 4 3 2 2 2 3 5 4" xfId="10621" xr:uid="{7D0A46B7-9F55-499F-9661-06D21DE702F3}"/>
    <cellStyle name="Normal 4 3 2 2 2 3 6" xfId="2529" xr:uid="{00000000-0005-0000-0000-000044140000}"/>
    <cellStyle name="Normal 4 3 2 2 2 3 6 2" xfId="6813" xr:uid="{00000000-0005-0000-0000-000045140000}"/>
    <cellStyle name="Normal 4 3 2 2 2 3 6 2 2" xfId="15252" xr:uid="{E90E1706-C440-4CB0-8A6A-64D26B8C5F08}"/>
    <cellStyle name="Normal 4 3 2 2 2 3 6 3" xfId="11034" xr:uid="{8FBD1670-4AFF-4ECC-B7F7-2CD96CC9D87D}"/>
    <cellStyle name="Normal 4 3 2 2 2 3 7" xfId="4748" xr:uid="{00000000-0005-0000-0000-000046140000}"/>
    <cellStyle name="Normal 4 3 2 2 2 3 7 2" xfId="13187" xr:uid="{B0E4123A-CE4F-4C54-97CD-0D3D9DA8ECD8}"/>
    <cellStyle name="Normal 4 3 2 2 2 3 8" xfId="8969" xr:uid="{9A879463-BD8D-49C3-B39D-B369A297B6A2}"/>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73771B0F-B47E-464A-95E7-B42559C48759}"/>
    <cellStyle name="Normal 4 3 2 2 2 4 2 3" xfId="11524" xr:uid="{5FCF13EA-9FE1-4BAC-A2E2-6B5505A9273D}"/>
    <cellStyle name="Normal 4 3 2 2 2 4 3" xfId="5158" xr:uid="{00000000-0005-0000-0000-00004A140000}"/>
    <cellStyle name="Normal 4 3 2 2 2 4 3 2" xfId="13597" xr:uid="{A86B5C81-CA31-4670-AEC3-2636A48358F8}"/>
    <cellStyle name="Normal 4 3 2 2 2 4 4" xfId="9379" xr:uid="{357B36B1-2E99-4C2E-926A-48D25D0B6D02}"/>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2FC77662-1250-4994-BAE2-AD058F209475}"/>
    <cellStyle name="Normal 4 3 2 2 2 5 2 3" xfId="11937" xr:uid="{3206A787-16D4-44E7-ACA0-1C5EF056EA28}"/>
    <cellStyle name="Normal 4 3 2 2 2 5 3" xfId="5571" xr:uid="{00000000-0005-0000-0000-00004E140000}"/>
    <cellStyle name="Normal 4 3 2 2 2 5 3 2" xfId="14010" xr:uid="{86730264-B8E1-41DA-80A7-3EE29476E32A}"/>
    <cellStyle name="Normal 4 3 2 2 2 5 4" xfId="9792" xr:uid="{98293FE1-E560-4AD6-A98D-0D6B7A3EEB52}"/>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9BC0F9C7-C4ED-421C-981A-C59CF5DDCD8B}"/>
    <cellStyle name="Normal 4 3 2 2 2 6 2 3" xfId="12350" xr:uid="{692CF85C-376E-4029-84A8-0E18CBF40850}"/>
    <cellStyle name="Normal 4 3 2 2 2 6 3" xfId="5984" xr:uid="{00000000-0005-0000-0000-000052140000}"/>
    <cellStyle name="Normal 4 3 2 2 2 6 3 2" xfId="14423" xr:uid="{F69C1E21-A40D-4F92-AB7E-816A8C0D144D}"/>
    <cellStyle name="Normal 4 3 2 2 2 6 4" xfId="10205" xr:uid="{0763EA5D-46AB-4424-B406-671CA0DE96AA}"/>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5ADBFF8D-1623-4DB1-86F4-52AB961756C0}"/>
    <cellStyle name="Normal 4 3 2 2 2 7 2 3" xfId="12763" xr:uid="{D488416F-FE4C-4EED-A398-3BD4C99FB882}"/>
    <cellStyle name="Normal 4 3 2 2 2 7 3" xfId="6397" xr:uid="{00000000-0005-0000-0000-000056140000}"/>
    <cellStyle name="Normal 4 3 2 2 2 7 3 2" xfId="14836" xr:uid="{DC4D545C-C8F2-4624-9EE6-CC362AA3E8A2}"/>
    <cellStyle name="Normal 4 3 2 2 2 7 4" xfId="10618" xr:uid="{D2736D6A-34FF-4CF8-83E2-79F07886357A}"/>
    <cellStyle name="Normal 4 3 2 2 2 8" xfId="2526" xr:uid="{00000000-0005-0000-0000-000057140000}"/>
    <cellStyle name="Normal 4 3 2 2 2 8 2" xfId="6810" xr:uid="{00000000-0005-0000-0000-000058140000}"/>
    <cellStyle name="Normal 4 3 2 2 2 8 2 2" xfId="15249" xr:uid="{6AD9BF33-B02D-4C61-8FC3-EB2F503EC418}"/>
    <cellStyle name="Normal 4 3 2 2 2 8 3" xfId="11031" xr:uid="{7D2A5874-3D37-48B2-8C4E-CB4A7332AB23}"/>
    <cellStyle name="Normal 4 3 2 2 2 9" xfId="4745" xr:uid="{00000000-0005-0000-0000-000059140000}"/>
    <cellStyle name="Normal 4 3 2 2 2 9 2" xfId="13184" xr:uid="{71359EFE-BC98-4BA2-BB35-8BA0B34749AE}"/>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8E867F24-4E2D-49D6-B0D8-0A4021688016}"/>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5B868B28-9227-4FB2-B0AD-EBAC04FA268D}"/>
    <cellStyle name="Normal 4 3 3 2 2 2 2 3" xfId="11530" xr:uid="{94F019DE-0D5F-493A-916A-B6ADD3F96F6A}"/>
    <cellStyle name="Normal 4 3 3 2 2 2 3" xfId="5164" xr:uid="{00000000-0005-0000-0000-000063140000}"/>
    <cellStyle name="Normal 4 3 3 2 2 2 3 2" xfId="13603" xr:uid="{5F16B8FB-33C4-4D08-82BA-A8E90E2034CE}"/>
    <cellStyle name="Normal 4 3 3 2 2 2 4" xfId="9385" xr:uid="{A85AE249-91D4-476B-82C9-136D0241421A}"/>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60F5A32C-2C47-47B0-AE27-603B1BCCCEE1}"/>
    <cellStyle name="Normal 4 3 3 2 2 3 2 3" xfId="11943" xr:uid="{7BCB2EF8-8BC5-4BCB-AAC4-D826D0984288}"/>
    <cellStyle name="Normal 4 3 3 2 2 3 3" xfId="5577" xr:uid="{00000000-0005-0000-0000-000067140000}"/>
    <cellStyle name="Normal 4 3 3 2 2 3 3 2" xfId="14016" xr:uid="{80434A28-2AE2-43AD-A760-A5E2B23CF852}"/>
    <cellStyle name="Normal 4 3 3 2 2 3 4" xfId="9798" xr:uid="{DEF1F8EB-EA41-4512-B12B-9DDC796850F7}"/>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2C7ADBF0-43CD-4336-B98C-F8EF48BFC68C}"/>
    <cellStyle name="Normal 4 3 3 2 2 4 2 3" xfId="12356" xr:uid="{51F87D91-DCBF-487E-A7F7-E16E904572FB}"/>
    <cellStyle name="Normal 4 3 3 2 2 4 3" xfId="5990" xr:uid="{00000000-0005-0000-0000-00006B140000}"/>
    <cellStyle name="Normal 4 3 3 2 2 4 3 2" xfId="14429" xr:uid="{7CDE3A2F-1973-4DAA-A165-B57DAD0C1E83}"/>
    <cellStyle name="Normal 4 3 3 2 2 4 4" xfId="10211" xr:uid="{1FBD0F1E-49D9-4C9F-9409-C14B6040514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5EE334BC-9CE7-4E00-888E-F79FAE125841}"/>
    <cellStyle name="Normal 4 3 3 2 2 5 2 3" xfId="12769" xr:uid="{1BF690BE-A38C-43A0-981F-C6E48C5A7962}"/>
    <cellStyle name="Normal 4 3 3 2 2 5 3" xfId="6403" xr:uid="{00000000-0005-0000-0000-00006F140000}"/>
    <cellStyle name="Normal 4 3 3 2 2 5 3 2" xfId="14842" xr:uid="{DD9C951D-679B-463B-BCD1-4D52035F084B}"/>
    <cellStyle name="Normal 4 3 3 2 2 5 4" xfId="10624" xr:uid="{4D7B22E9-CEAA-42E9-B89F-AF1DCB757FB9}"/>
    <cellStyle name="Normal 4 3 3 2 2 6" xfId="2532" xr:uid="{00000000-0005-0000-0000-000070140000}"/>
    <cellStyle name="Normal 4 3 3 2 2 6 2" xfId="6816" xr:uid="{00000000-0005-0000-0000-000071140000}"/>
    <cellStyle name="Normal 4 3 3 2 2 6 2 2" xfId="15255" xr:uid="{C5A06B01-6BDC-4A10-B016-133CBC921F1A}"/>
    <cellStyle name="Normal 4 3 3 2 2 6 3" xfId="11037" xr:uid="{CAC4C5F4-C1DA-49DB-9B19-7075ECBA7C87}"/>
    <cellStyle name="Normal 4 3 3 2 2 7" xfId="4751" xr:uid="{00000000-0005-0000-0000-000072140000}"/>
    <cellStyle name="Normal 4 3 3 2 2 7 2" xfId="13190" xr:uid="{B95607D9-15A5-4B37-86B1-3447C35C6458}"/>
    <cellStyle name="Normal 4 3 3 2 2 8" xfId="8972" xr:uid="{BD446E9F-9015-4250-A10E-578EEE7842DF}"/>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4A0FD1DC-6BDF-4766-B3F4-F62387A4277D}"/>
    <cellStyle name="Normal 4 3 3 2 3 2 3" xfId="11529" xr:uid="{6A45BADF-6A1F-437B-A15F-589393E72D96}"/>
    <cellStyle name="Normal 4 3 3 2 3 3" xfId="5163" xr:uid="{00000000-0005-0000-0000-000076140000}"/>
    <cellStyle name="Normal 4 3 3 2 3 3 2" xfId="13602" xr:uid="{27BEBBE5-A1A7-450C-BC4C-D50ED789B6D3}"/>
    <cellStyle name="Normal 4 3 3 2 3 4" xfId="9384" xr:uid="{DF3ECCF4-F373-4F1B-BFB3-1C08BB0F8494}"/>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AB8329DB-4BCE-49DE-BC7E-AE0EA69FAB6F}"/>
    <cellStyle name="Normal 4 3 3 2 4 2 3" xfId="11942" xr:uid="{940DFC86-34AD-464D-8DFC-D99E00A9F618}"/>
    <cellStyle name="Normal 4 3 3 2 4 3" xfId="5576" xr:uid="{00000000-0005-0000-0000-00007A140000}"/>
    <cellStyle name="Normal 4 3 3 2 4 3 2" xfId="14015" xr:uid="{4BD2EDA9-F7AC-46E0-AE49-FA5FA3A7FC3F}"/>
    <cellStyle name="Normal 4 3 3 2 4 4" xfId="9797" xr:uid="{E1B902C7-A84E-498D-8B1D-B2B252CAEE35}"/>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C065C4F2-5216-4ED3-9F70-6C21679903D5}"/>
    <cellStyle name="Normal 4 3 3 2 5 2 3" xfId="12355" xr:uid="{8E543646-AB7A-460D-B2C5-A890FA90397A}"/>
    <cellStyle name="Normal 4 3 3 2 5 3" xfId="5989" xr:uid="{00000000-0005-0000-0000-00007E140000}"/>
    <cellStyle name="Normal 4 3 3 2 5 3 2" xfId="14428" xr:uid="{232154F6-237F-42A8-9212-CECBE50628D4}"/>
    <cellStyle name="Normal 4 3 3 2 5 4" xfId="10210" xr:uid="{F969C3D2-0EF4-4E39-A0F2-857746834D4A}"/>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B08E3F94-D162-4BC3-92E4-28A2CEED8AC1}"/>
    <cellStyle name="Normal 4 3 3 2 6 2 3" xfId="12768" xr:uid="{20673B65-CC60-401F-AB03-6A5A13D10805}"/>
    <cellStyle name="Normal 4 3 3 2 6 3" xfId="6402" xr:uid="{00000000-0005-0000-0000-000082140000}"/>
    <cellStyle name="Normal 4 3 3 2 6 3 2" xfId="14841" xr:uid="{12405D8F-9588-4D1A-BD32-00A0B8FF68C3}"/>
    <cellStyle name="Normal 4 3 3 2 6 4" xfId="10623" xr:uid="{36A40B78-4C0E-4A30-8487-FF0B573BDA5C}"/>
    <cellStyle name="Normal 4 3 3 2 7" xfId="2531" xr:uid="{00000000-0005-0000-0000-000083140000}"/>
    <cellStyle name="Normal 4 3 3 2 7 2" xfId="6815" xr:uid="{00000000-0005-0000-0000-000084140000}"/>
    <cellStyle name="Normal 4 3 3 2 7 2 2" xfId="15254" xr:uid="{A0052B59-CD51-4A01-B765-F0063C95C4FD}"/>
    <cellStyle name="Normal 4 3 3 2 7 3" xfId="11036" xr:uid="{DF8D3201-6F20-4838-9A8A-FE28024B416C}"/>
    <cellStyle name="Normal 4 3 3 2 8" xfId="4750" xr:uid="{00000000-0005-0000-0000-000085140000}"/>
    <cellStyle name="Normal 4 3 3 2 8 2" xfId="13189" xr:uid="{99E89AB8-FD29-4574-87C6-AA7909414608}"/>
    <cellStyle name="Normal 4 3 3 2 9" xfId="8971" xr:uid="{24ABEF6D-FE8D-4C49-98F4-03503739A79F}"/>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FA442F90-F6F2-4FD7-9C93-8AE69AED5010}"/>
    <cellStyle name="Normal 4 3 3 3 2 2 3" xfId="11531" xr:uid="{A789A2BE-087F-4B9B-911C-F92D99B3DEA9}"/>
    <cellStyle name="Normal 4 3 3 3 2 3" xfId="5165" xr:uid="{00000000-0005-0000-0000-00008A140000}"/>
    <cellStyle name="Normal 4 3 3 3 2 3 2" xfId="13604" xr:uid="{F7D98CAD-746F-4A28-BB16-EF8490E22834}"/>
    <cellStyle name="Normal 4 3 3 3 2 4" xfId="9386" xr:uid="{0D17C8AB-AEEB-497C-B07A-5F0DE115EE70}"/>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CBB84B65-FCB0-4F27-B8DB-C169F6270DFD}"/>
    <cellStyle name="Normal 4 3 3 3 3 2 3" xfId="11944" xr:uid="{A7790360-F781-4BC2-93A3-1EF18F597A4D}"/>
    <cellStyle name="Normal 4 3 3 3 3 3" xfId="5578" xr:uid="{00000000-0005-0000-0000-00008E140000}"/>
    <cellStyle name="Normal 4 3 3 3 3 3 2" xfId="14017" xr:uid="{BDA82EB7-6FC2-462E-B9D1-19DEDC6EB60D}"/>
    <cellStyle name="Normal 4 3 3 3 3 4" xfId="9799" xr:uid="{DB21C7B9-1ECB-4116-9561-D0494DF06F27}"/>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C3EA327F-D6D0-4D11-B843-9DC8776504F6}"/>
    <cellStyle name="Normal 4 3 3 3 4 2 3" xfId="12357" xr:uid="{44ABD049-EAE5-4589-B480-FBCCE80D3AB4}"/>
    <cellStyle name="Normal 4 3 3 3 4 3" xfId="5991" xr:uid="{00000000-0005-0000-0000-000092140000}"/>
    <cellStyle name="Normal 4 3 3 3 4 3 2" xfId="14430" xr:uid="{EF5F8F14-DDE4-439A-AB3D-E806F43AEF7C}"/>
    <cellStyle name="Normal 4 3 3 3 4 4" xfId="10212" xr:uid="{E366F46D-68B0-4794-9331-D835209121AC}"/>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B337E335-390E-42E4-B91F-D562D834EDA4}"/>
    <cellStyle name="Normal 4 3 3 3 5 2 3" xfId="12770" xr:uid="{9BA1BC47-37D6-4392-895E-B14D61779A42}"/>
    <cellStyle name="Normal 4 3 3 3 5 3" xfId="6404" xr:uid="{00000000-0005-0000-0000-000096140000}"/>
    <cellStyle name="Normal 4 3 3 3 5 3 2" xfId="14843" xr:uid="{A9490027-1631-4675-85D3-46C6EF119D21}"/>
    <cellStyle name="Normal 4 3 3 3 5 4" xfId="10625" xr:uid="{D6833975-E528-46A6-91F1-CB296EB5827B}"/>
    <cellStyle name="Normal 4 3 3 3 6" xfId="2533" xr:uid="{00000000-0005-0000-0000-000097140000}"/>
    <cellStyle name="Normal 4 3 3 3 6 2" xfId="6817" xr:uid="{00000000-0005-0000-0000-000098140000}"/>
    <cellStyle name="Normal 4 3 3 3 6 2 2" xfId="15256" xr:uid="{EE483A10-9390-45A6-853F-7D2E214CCE9C}"/>
    <cellStyle name="Normal 4 3 3 3 6 3" xfId="11038" xr:uid="{D27F7E04-3B11-4576-852F-D7CEFED51EB6}"/>
    <cellStyle name="Normal 4 3 3 3 7" xfId="4752" xr:uid="{00000000-0005-0000-0000-000099140000}"/>
    <cellStyle name="Normal 4 3 3 3 7 2" xfId="13191" xr:uid="{264C1C8F-5DD2-43C0-96C2-DE0E71C5E472}"/>
    <cellStyle name="Normal 4 3 3 3 8" xfId="8973" xr:uid="{C013BD9E-36F7-436E-A88D-590CBA2247D3}"/>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96328992-3A51-4A69-BE82-175AA117592F}"/>
    <cellStyle name="Normal 4 3 3 4 2 3" xfId="11528" xr:uid="{EDEBF136-8A8E-4FB5-ABD3-CF663866EA5A}"/>
    <cellStyle name="Normal 4 3 3 4 3" xfId="5162" xr:uid="{00000000-0005-0000-0000-00009D140000}"/>
    <cellStyle name="Normal 4 3 3 4 3 2" xfId="13601" xr:uid="{A31318D1-E765-409F-8088-B6820FD5FDAD}"/>
    <cellStyle name="Normal 4 3 3 4 4" xfId="9383" xr:uid="{75C64B1F-BAED-434A-A8F1-F0E94695B9A1}"/>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8E7A271C-CC41-4078-BA7A-CAE00EDAB8DB}"/>
    <cellStyle name="Normal 4 3 3 5 2 3" xfId="11941" xr:uid="{B998F749-A400-4D17-B9D2-539A9292FCD7}"/>
    <cellStyle name="Normal 4 3 3 5 3" xfId="5575" xr:uid="{00000000-0005-0000-0000-0000A1140000}"/>
    <cellStyle name="Normal 4 3 3 5 3 2" xfId="14014" xr:uid="{227362D7-58F0-48D3-82E0-7432BC63D63E}"/>
    <cellStyle name="Normal 4 3 3 5 4" xfId="9796" xr:uid="{BBB75F53-9185-4BCE-8241-2E02C285AF12}"/>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FD51861F-B28A-4FF7-BA86-23B88CDF780B}"/>
    <cellStyle name="Normal 4 3 3 6 2 3" xfId="12354" xr:uid="{A6C4FCDC-6E46-4FFC-8E70-8F2635B2C9AB}"/>
    <cellStyle name="Normal 4 3 3 6 3" xfId="5988" xr:uid="{00000000-0005-0000-0000-0000A5140000}"/>
    <cellStyle name="Normal 4 3 3 6 3 2" xfId="14427" xr:uid="{A7A8509C-07B9-465E-9AF4-6B34DA2A4F8F}"/>
    <cellStyle name="Normal 4 3 3 6 4" xfId="10209" xr:uid="{C80693DA-7FE0-4E07-8296-128600EE091D}"/>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F07B6CF1-5753-4182-929D-BF39BA298EAD}"/>
    <cellStyle name="Normal 4 3 3 7 2 3" xfId="12767" xr:uid="{4A9B4CC2-85DE-49C5-A798-AC96871AFCC0}"/>
    <cellStyle name="Normal 4 3 3 7 3" xfId="6401" xr:uid="{00000000-0005-0000-0000-0000A9140000}"/>
    <cellStyle name="Normal 4 3 3 7 3 2" xfId="14840" xr:uid="{11FC44F7-FE6C-4064-9206-9541D6390074}"/>
    <cellStyle name="Normal 4 3 3 7 4" xfId="10622" xr:uid="{2D7ED0A8-7329-4423-ACC4-5912183E28FE}"/>
    <cellStyle name="Normal 4 3 3 8" xfId="2530" xr:uid="{00000000-0005-0000-0000-0000AA140000}"/>
    <cellStyle name="Normal 4 3 3 8 2" xfId="6814" xr:uid="{00000000-0005-0000-0000-0000AB140000}"/>
    <cellStyle name="Normal 4 3 3 8 2 2" xfId="15253" xr:uid="{2E2C4E0D-AF84-48B7-87A6-1209E38F52EF}"/>
    <cellStyle name="Normal 4 3 3 8 3" xfId="11035" xr:uid="{602871BD-CB16-4649-93E9-44A48C10D716}"/>
    <cellStyle name="Normal 4 3 3 9" xfId="4749" xr:uid="{00000000-0005-0000-0000-0000AC140000}"/>
    <cellStyle name="Normal 4 3 3 9 2" xfId="13188" xr:uid="{42C65CB6-E63C-4551-A09E-E76180CCD3F3}"/>
    <cellStyle name="Normal 4 3 4" xfId="842" xr:uid="{00000000-0005-0000-0000-0000AD140000}"/>
    <cellStyle name="Normal 4 3 4 2" xfId="3079" xr:uid="{00000000-0005-0000-0000-0000AE140000}"/>
    <cellStyle name="Normal 4 3 4 2 2" xfId="7302" xr:uid="{00000000-0005-0000-0000-0000AF140000}"/>
    <cellStyle name="Normal 4 3 4 2 2 2" xfId="15741" xr:uid="{380BE89D-9778-41D7-97C8-D963C9CA4E86}"/>
    <cellStyle name="Normal 4 3 4 2 3" xfId="11523" xr:uid="{EB8DBC12-6333-46A6-86E4-68406B7C8478}"/>
    <cellStyle name="Normal 4 3 4 3" xfId="5157" xr:uid="{00000000-0005-0000-0000-0000B0140000}"/>
    <cellStyle name="Normal 4 3 4 3 2" xfId="13596" xr:uid="{732B6038-AF24-4A72-8FD8-4EB4684A9E2C}"/>
    <cellStyle name="Normal 4 3 4 4" xfId="9378" xr:uid="{88FC5160-D4C7-43FA-8B55-DA49A5202C07}"/>
    <cellStyle name="Normal 4 3 5" xfId="1262" xr:uid="{00000000-0005-0000-0000-0000B1140000}"/>
    <cellStyle name="Normal 4 3 5 2" xfId="3492" xr:uid="{00000000-0005-0000-0000-0000B2140000}"/>
    <cellStyle name="Normal 4 3 5 2 2" xfId="7715" xr:uid="{00000000-0005-0000-0000-0000B3140000}"/>
    <cellStyle name="Normal 4 3 5 2 2 2" xfId="16154" xr:uid="{0452B734-A673-435D-90D9-8D97603C6497}"/>
    <cellStyle name="Normal 4 3 5 2 3" xfId="11936" xr:uid="{3E403E65-D843-4560-AC56-DC0DC25D1617}"/>
    <cellStyle name="Normal 4 3 5 3" xfId="5570" xr:uid="{00000000-0005-0000-0000-0000B4140000}"/>
    <cellStyle name="Normal 4 3 5 3 2" xfId="14009" xr:uid="{ABFC2EDC-D449-499C-9448-E6E6323FE567}"/>
    <cellStyle name="Normal 4 3 5 4" xfId="9791" xr:uid="{5C81F763-FFEB-4F98-8754-2A5FB472A1AB}"/>
    <cellStyle name="Normal 4 3 6" xfId="1675" xr:uid="{00000000-0005-0000-0000-0000B5140000}"/>
    <cellStyle name="Normal 4 3 6 2" xfId="3905" xr:uid="{00000000-0005-0000-0000-0000B6140000}"/>
    <cellStyle name="Normal 4 3 6 2 2" xfId="8128" xr:uid="{00000000-0005-0000-0000-0000B7140000}"/>
    <cellStyle name="Normal 4 3 6 2 2 2" xfId="16567" xr:uid="{EC98C747-CF92-459A-87E7-053715037162}"/>
    <cellStyle name="Normal 4 3 6 2 3" xfId="12349" xr:uid="{C8AA92A5-1B4A-4239-847F-D6F7E24F53C5}"/>
    <cellStyle name="Normal 4 3 6 3" xfId="5983" xr:uid="{00000000-0005-0000-0000-0000B8140000}"/>
    <cellStyle name="Normal 4 3 6 3 2" xfId="14422" xr:uid="{3C9ACB9D-7D6D-4408-AA10-F8364E613480}"/>
    <cellStyle name="Normal 4 3 6 4" xfId="10204" xr:uid="{CB53F5AA-D337-4501-A768-44E8F9AB169B}"/>
    <cellStyle name="Normal 4 3 7" xfId="2089" xr:uid="{00000000-0005-0000-0000-0000B9140000}"/>
    <cellStyle name="Normal 4 3 7 2" xfId="4318" xr:uid="{00000000-0005-0000-0000-0000BA140000}"/>
    <cellStyle name="Normal 4 3 7 2 2" xfId="8541" xr:uid="{00000000-0005-0000-0000-0000BB140000}"/>
    <cellStyle name="Normal 4 3 7 2 2 2" xfId="16980" xr:uid="{91F9C770-7FB3-4101-B4C2-022B51532C35}"/>
    <cellStyle name="Normal 4 3 7 2 3" xfId="12762" xr:uid="{5537AC53-EF24-4F5A-B41C-3D1A302D9836}"/>
    <cellStyle name="Normal 4 3 7 3" xfId="6396" xr:uid="{00000000-0005-0000-0000-0000BC140000}"/>
    <cellStyle name="Normal 4 3 7 3 2" xfId="14835" xr:uid="{0460E323-F9EB-405E-9CB6-CAAE6E304ACA}"/>
    <cellStyle name="Normal 4 3 7 4" xfId="10617" xr:uid="{36DC6165-5C0D-480D-8BCE-34299AFE38F1}"/>
    <cellStyle name="Normal 4 3 8" xfId="2525" xr:uid="{00000000-0005-0000-0000-0000BD140000}"/>
    <cellStyle name="Normal 4 3 8 2" xfId="6809" xr:uid="{00000000-0005-0000-0000-0000BE140000}"/>
    <cellStyle name="Normal 4 3 8 2 2" xfId="15248" xr:uid="{5D427DDB-9EBC-41A6-9654-E194539D06C5}"/>
    <cellStyle name="Normal 4 3 8 3" xfId="11030" xr:uid="{CAB51B22-ABAD-495C-92F0-54FF580CE9CE}"/>
    <cellStyle name="Normal 4 3 9" xfId="4744" xr:uid="{00000000-0005-0000-0000-0000BF140000}"/>
    <cellStyle name="Normal 4 3 9 2" xfId="13183" xr:uid="{AE152244-74DA-4EB3-B0FF-38132704E09F}"/>
    <cellStyle name="Normal 4 4" xfId="378" xr:uid="{00000000-0005-0000-0000-0000C0140000}"/>
    <cellStyle name="Normal 4 4 10" xfId="2534" xr:uid="{00000000-0005-0000-0000-0000C1140000}"/>
    <cellStyle name="Normal 4 4 10 2" xfId="6818" xr:uid="{00000000-0005-0000-0000-0000C2140000}"/>
    <cellStyle name="Normal 4 4 10 2 2" xfId="15257" xr:uid="{61DCC9B5-AE7B-439D-A077-2FFD33A05537}"/>
    <cellStyle name="Normal 4 4 10 3" xfId="11039" xr:uid="{975C8AB3-5BAA-4B1B-9C51-2159C63EC8DE}"/>
    <cellStyle name="Normal 4 4 11" xfId="4753" xr:uid="{00000000-0005-0000-0000-0000C3140000}"/>
    <cellStyle name="Normal 4 4 11 2" xfId="13192" xr:uid="{9219597D-56BE-45AA-9D77-1307176FE63E}"/>
    <cellStyle name="Normal 4 4 12" xfId="8974" xr:uid="{A970B548-0AAC-4C65-A308-A5533A0B0BF7}"/>
    <cellStyle name="Normal 4 4 2" xfId="379" xr:uid="{00000000-0005-0000-0000-0000C4140000}"/>
    <cellStyle name="Normal 4 4 2 10" xfId="4754" xr:uid="{00000000-0005-0000-0000-0000C5140000}"/>
    <cellStyle name="Normal 4 4 2 10 2" xfId="13193" xr:uid="{788F8B5B-40F6-42A7-B669-CECF3BE5C38C}"/>
    <cellStyle name="Normal 4 4 2 11" xfId="8975" xr:uid="{8D00D2FB-62D2-4491-83C7-66E165BC87DD}"/>
    <cellStyle name="Normal 4 4 2 2" xfId="380" xr:uid="{00000000-0005-0000-0000-0000C6140000}"/>
    <cellStyle name="Normal 4 4 2 2 10" xfId="8976" xr:uid="{9DA948FD-0F93-4FA3-937D-2806F44CFD4F}"/>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75AF3D43-364E-4A6D-9ABF-3D84B37AA581}"/>
    <cellStyle name="Normal 4 4 2 2 2 2 2 2 3" xfId="11536" xr:uid="{5C3097D4-0D0C-4E43-9B18-29D1DFB5E7CB}"/>
    <cellStyle name="Normal 4 4 2 2 2 2 2 3" xfId="5170" xr:uid="{00000000-0005-0000-0000-0000CC140000}"/>
    <cellStyle name="Normal 4 4 2 2 2 2 2 3 2" xfId="13609" xr:uid="{1FC1C0B0-69DB-4DEF-937C-A1F811DA9A12}"/>
    <cellStyle name="Normal 4 4 2 2 2 2 2 4" xfId="9391" xr:uid="{AED9ED1C-2E04-48AB-8FFA-CAFE48933AED}"/>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3B020A39-630F-40BA-B66D-A02107554D41}"/>
    <cellStyle name="Normal 4 4 2 2 2 2 3 2 3" xfId="11949" xr:uid="{436E288B-790B-4629-92CE-FAEAADA93E53}"/>
    <cellStyle name="Normal 4 4 2 2 2 2 3 3" xfId="5583" xr:uid="{00000000-0005-0000-0000-0000D0140000}"/>
    <cellStyle name="Normal 4 4 2 2 2 2 3 3 2" xfId="14022" xr:uid="{412D49EB-CEF9-498E-A4B5-2FBB0961AE7D}"/>
    <cellStyle name="Normal 4 4 2 2 2 2 3 4" xfId="9804" xr:uid="{DCF664F0-2C6E-4029-AF8F-7F246341701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1D197DBB-B052-48CA-985E-2F1A1552B26F}"/>
    <cellStyle name="Normal 4 4 2 2 2 2 4 2 3" xfId="12362" xr:uid="{6914B97D-97E4-439E-A6F2-7148D7ACC59F}"/>
    <cellStyle name="Normal 4 4 2 2 2 2 4 3" xfId="5996" xr:uid="{00000000-0005-0000-0000-0000D4140000}"/>
    <cellStyle name="Normal 4 4 2 2 2 2 4 3 2" xfId="14435" xr:uid="{3387EE23-6C4B-4A12-B669-FED1702B278A}"/>
    <cellStyle name="Normal 4 4 2 2 2 2 4 4" xfId="10217" xr:uid="{F921DB46-F672-409E-9E64-911902260881}"/>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51594D66-7BAD-4ED7-A0A9-6756269087AC}"/>
    <cellStyle name="Normal 4 4 2 2 2 2 5 2 3" xfId="12775" xr:uid="{50AE57DC-CE07-495E-982D-1E778EE9DA58}"/>
    <cellStyle name="Normal 4 4 2 2 2 2 5 3" xfId="6409" xr:uid="{00000000-0005-0000-0000-0000D8140000}"/>
    <cellStyle name="Normal 4 4 2 2 2 2 5 3 2" xfId="14848" xr:uid="{B4CD05B4-8792-4FEF-BD8F-24FA50A513D1}"/>
    <cellStyle name="Normal 4 4 2 2 2 2 5 4" xfId="10630" xr:uid="{1E3388E2-5045-40B9-AC3F-4E932ED96A08}"/>
    <cellStyle name="Normal 4 4 2 2 2 2 6" xfId="2538" xr:uid="{00000000-0005-0000-0000-0000D9140000}"/>
    <cellStyle name="Normal 4 4 2 2 2 2 6 2" xfId="6822" xr:uid="{00000000-0005-0000-0000-0000DA140000}"/>
    <cellStyle name="Normal 4 4 2 2 2 2 6 2 2" xfId="15261" xr:uid="{325D257D-F247-4AD8-9A5B-26419C07E995}"/>
    <cellStyle name="Normal 4 4 2 2 2 2 6 3" xfId="11043" xr:uid="{54E799B0-AE11-4281-A90A-947C0264658F}"/>
    <cellStyle name="Normal 4 4 2 2 2 2 7" xfId="4757" xr:uid="{00000000-0005-0000-0000-0000DB140000}"/>
    <cellStyle name="Normal 4 4 2 2 2 2 7 2" xfId="13196" xr:uid="{D32FA9DF-1731-4A24-8123-08AA117AFB0D}"/>
    <cellStyle name="Normal 4 4 2 2 2 2 8" xfId="8978" xr:uid="{8D953B27-97DA-473A-A64B-958086B6C8BA}"/>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52C31531-BBBB-4F43-97D5-B56F69012449}"/>
    <cellStyle name="Normal 4 4 2 2 2 3 2 3" xfId="11535" xr:uid="{73EEC569-8176-4450-8F40-C13F31C4C7C7}"/>
    <cellStyle name="Normal 4 4 2 2 2 3 3" xfId="5169" xr:uid="{00000000-0005-0000-0000-0000DF140000}"/>
    <cellStyle name="Normal 4 4 2 2 2 3 3 2" xfId="13608" xr:uid="{C20B9DC6-6CC3-4810-82BB-38EDFF29E7AB}"/>
    <cellStyle name="Normal 4 4 2 2 2 3 4" xfId="9390" xr:uid="{13D14E1C-5A1C-42BA-BF48-EB3189436ADD}"/>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43FDF689-FD51-4A09-8DDD-B0DE062635D1}"/>
    <cellStyle name="Normal 4 4 2 2 2 4 2 3" xfId="11948" xr:uid="{E1B3BC70-8CE2-44EA-8721-C9E3320EDE24}"/>
    <cellStyle name="Normal 4 4 2 2 2 4 3" xfId="5582" xr:uid="{00000000-0005-0000-0000-0000E3140000}"/>
    <cellStyle name="Normal 4 4 2 2 2 4 3 2" xfId="14021" xr:uid="{827A9172-7651-446D-9935-5A1B3A3FDA40}"/>
    <cellStyle name="Normal 4 4 2 2 2 4 4" xfId="9803" xr:uid="{AC53432F-03FC-4DAC-8652-244FBDDB6F4B}"/>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E715E7B8-1D84-4F41-9B89-B02DEE700BDB}"/>
    <cellStyle name="Normal 4 4 2 2 2 5 2 3" xfId="12361" xr:uid="{DE187690-F6D1-4222-9602-FC7BD74BF345}"/>
    <cellStyle name="Normal 4 4 2 2 2 5 3" xfId="5995" xr:uid="{00000000-0005-0000-0000-0000E7140000}"/>
    <cellStyle name="Normal 4 4 2 2 2 5 3 2" xfId="14434" xr:uid="{D35B8B5A-08A8-4329-B46A-81B7E6CD27D1}"/>
    <cellStyle name="Normal 4 4 2 2 2 5 4" xfId="10216" xr:uid="{261D460D-CF36-4800-919B-E76CB36F4D6B}"/>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7BFDBADC-C7B8-42A0-ADEB-CD051D379FD0}"/>
    <cellStyle name="Normal 4 4 2 2 2 6 2 3" xfId="12774" xr:uid="{0BAF8C70-24AE-476C-BCB0-F1CF5D127186}"/>
    <cellStyle name="Normal 4 4 2 2 2 6 3" xfId="6408" xr:uid="{00000000-0005-0000-0000-0000EB140000}"/>
    <cellStyle name="Normal 4 4 2 2 2 6 3 2" xfId="14847" xr:uid="{AFEA3359-0DFE-4B37-B836-F1FC5CE2DAC6}"/>
    <cellStyle name="Normal 4 4 2 2 2 6 4" xfId="10629" xr:uid="{08250A0A-CBC4-4BCF-8998-09E6588AE54D}"/>
    <cellStyle name="Normal 4 4 2 2 2 7" xfId="2537" xr:uid="{00000000-0005-0000-0000-0000EC140000}"/>
    <cellStyle name="Normal 4 4 2 2 2 7 2" xfId="6821" xr:uid="{00000000-0005-0000-0000-0000ED140000}"/>
    <cellStyle name="Normal 4 4 2 2 2 7 2 2" xfId="15260" xr:uid="{FC4F05A1-2F42-4A5C-A257-EAB53258AA0B}"/>
    <cellStyle name="Normal 4 4 2 2 2 7 3" xfId="11042" xr:uid="{8763F4B7-51BD-4D16-AE6C-E34CE6E6F8FA}"/>
    <cellStyle name="Normal 4 4 2 2 2 8" xfId="4756" xr:uid="{00000000-0005-0000-0000-0000EE140000}"/>
    <cellStyle name="Normal 4 4 2 2 2 8 2" xfId="13195" xr:uid="{EB014559-535D-4A67-B769-C86918FE8128}"/>
    <cellStyle name="Normal 4 4 2 2 2 9" xfId="8977" xr:uid="{FD4FA194-D88D-4A90-9481-581D103CCB6F}"/>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36EAB006-3A1E-4476-BF42-645B10C4E32B}"/>
    <cellStyle name="Normal 4 4 2 2 3 2 2 3" xfId="11537" xr:uid="{BA715D4D-0D97-41F2-883A-920FFAE55C3F}"/>
    <cellStyle name="Normal 4 4 2 2 3 2 3" xfId="5171" xr:uid="{00000000-0005-0000-0000-0000F3140000}"/>
    <cellStyle name="Normal 4 4 2 2 3 2 3 2" xfId="13610" xr:uid="{29CD5008-5C9A-429C-97CB-C61A5C33369C}"/>
    <cellStyle name="Normal 4 4 2 2 3 2 4" xfId="9392" xr:uid="{715C807A-A01F-47C9-A24D-F7DC873E9AE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F096EB75-96EF-45F4-9842-E10B36BD5C5C}"/>
    <cellStyle name="Normal 4 4 2 2 3 3 2 3" xfId="11950" xr:uid="{3A4E8395-F201-41FA-9364-DC66FACE6B7B}"/>
    <cellStyle name="Normal 4 4 2 2 3 3 3" xfId="5584" xr:uid="{00000000-0005-0000-0000-0000F7140000}"/>
    <cellStyle name="Normal 4 4 2 2 3 3 3 2" xfId="14023" xr:uid="{AB721DFC-3A53-4457-87D8-4F03BF73782D}"/>
    <cellStyle name="Normal 4 4 2 2 3 3 4" xfId="9805" xr:uid="{B9ED2D37-11DE-4E17-BF4F-B1D03253F34D}"/>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4E23B6E9-D3C3-4B56-83E2-644A8E366E57}"/>
    <cellStyle name="Normal 4 4 2 2 3 4 2 3" xfId="12363" xr:uid="{01D24D40-5B58-495D-B7E0-B90EDE2A5841}"/>
    <cellStyle name="Normal 4 4 2 2 3 4 3" xfId="5997" xr:uid="{00000000-0005-0000-0000-0000FB140000}"/>
    <cellStyle name="Normal 4 4 2 2 3 4 3 2" xfId="14436" xr:uid="{31C242F4-D569-4CC6-8ADD-25E91DF2652D}"/>
    <cellStyle name="Normal 4 4 2 2 3 4 4" xfId="10218" xr:uid="{83767172-28F4-4C27-9807-14D8E23BEE14}"/>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75ED7CC4-F0BA-452D-8E62-F58D3EA0BFA3}"/>
    <cellStyle name="Normal 4 4 2 2 3 5 2 3" xfId="12776" xr:uid="{F3020BB7-9CF5-45D7-BF6D-062E62EDB812}"/>
    <cellStyle name="Normal 4 4 2 2 3 5 3" xfId="6410" xr:uid="{00000000-0005-0000-0000-0000FF140000}"/>
    <cellStyle name="Normal 4 4 2 2 3 5 3 2" xfId="14849" xr:uid="{5B45EEA7-68C3-40C4-9319-2F2C1B1128C1}"/>
    <cellStyle name="Normal 4 4 2 2 3 5 4" xfId="10631" xr:uid="{01080F3F-EF39-4203-8360-20567405EFBF}"/>
    <cellStyle name="Normal 4 4 2 2 3 6" xfId="2539" xr:uid="{00000000-0005-0000-0000-000000150000}"/>
    <cellStyle name="Normal 4 4 2 2 3 6 2" xfId="6823" xr:uid="{00000000-0005-0000-0000-000001150000}"/>
    <cellStyle name="Normal 4 4 2 2 3 6 2 2" xfId="15262" xr:uid="{D00B16C6-5FFC-4541-A510-555FA5291891}"/>
    <cellStyle name="Normal 4 4 2 2 3 6 3" xfId="11044" xr:uid="{23124AF0-C54B-43E9-B38B-6E59E87F53B5}"/>
    <cellStyle name="Normal 4 4 2 2 3 7" xfId="4758" xr:uid="{00000000-0005-0000-0000-000002150000}"/>
    <cellStyle name="Normal 4 4 2 2 3 7 2" xfId="13197" xr:uid="{97492737-6C07-48F4-B889-05ED8F6647B5}"/>
    <cellStyle name="Normal 4 4 2 2 3 8" xfId="8979" xr:uid="{CE5C70D5-DF6C-4517-9B95-682C9A8F953E}"/>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B6D60409-1ECB-48DE-B7F4-516FC54C38DA}"/>
    <cellStyle name="Normal 4 4 2 2 4 2 3" xfId="11534" xr:uid="{99913540-A2DE-4726-B525-933DB71DCF82}"/>
    <cellStyle name="Normal 4 4 2 2 4 3" xfId="5168" xr:uid="{00000000-0005-0000-0000-000006150000}"/>
    <cellStyle name="Normal 4 4 2 2 4 3 2" xfId="13607" xr:uid="{C7D7D48E-E385-4E24-BC70-AD4B76FBB0AA}"/>
    <cellStyle name="Normal 4 4 2 2 4 4" xfId="9389" xr:uid="{F4823961-80C4-4EF4-BA58-220FBC5FD50C}"/>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4FBE8FC8-29F0-4BDE-865E-8B91669E8FC8}"/>
    <cellStyle name="Normal 4 4 2 2 5 2 3" xfId="11947" xr:uid="{DD1AE590-B431-479E-B6BA-59C930B7BBE2}"/>
    <cellStyle name="Normal 4 4 2 2 5 3" xfId="5581" xr:uid="{00000000-0005-0000-0000-00000A150000}"/>
    <cellStyle name="Normal 4 4 2 2 5 3 2" xfId="14020" xr:uid="{9F31BF95-8E7A-4E93-BDEE-EA3A0D03B361}"/>
    <cellStyle name="Normal 4 4 2 2 5 4" xfId="9802" xr:uid="{9E24D074-DA19-425F-BBFF-4544FC16693A}"/>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489CA14E-6A36-4194-AD8B-148D19855E5B}"/>
    <cellStyle name="Normal 4 4 2 2 6 2 3" xfId="12360" xr:uid="{C035944F-495D-466D-87D0-190827CAF3B1}"/>
    <cellStyle name="Normal 4 4 2 2 6 3" xfId="5994" xr:uid="{00000000-0005-0000-0000-00000E150000}"/>
    <cellStyle name="Normal 4 4 2 2 6 3 2" xfId="14433" xr:uid="{3C6A1A7F-4452-4A3E-A2CF-F2A9425EDCD4}"/>
    <cellStyle name="Normal 4 4 2 2 6 4" xfId="10215" xr:uid="{528795A7-261B-4A1B-96C1-627C3F4C5456}"/>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D656B7CA-69B2-4186-B7BB-B983D159B7B9}"/>
    <cellStyle name="Normal 4 4 2 2 7 2 3" xfId="12773" xr:uid="{FE60DDE4-C668-4F86-A780-5B434A6DAD08}"/>
    <cellStyle name="Normal 4 4 2 2 7 3" xfId="6407" xr:uid="{00000000-0005-0000-0000-000012150000}"/>
    <cellStyle name="Normal 4 4 2 2 7 3 2" xfId="14846" xr:uid="{EA610217-367E-421A-972F-98BFDE541925}"/>
    <cellStyle name="Normal 4 4 2 2 7 4" xfId="10628" xr:uid="{A5BB2D43-2633-4E28-A6D0-C703D7CDD543}"/>
    <cellStyle name="Normal 4 4 2 2 8" xfId="2536" xr:uid="{00000000-0005-0000-0000-000013150000}"/>
    <cellStyle name="Normal 4 4 2 2 8 2" xfId="6820" xr:uid="{00000000-0005-0000-0000-000014150000}"/>
    <cellStyle name="Normal 4 4 2 2 8 2 2" xfId="15259" xr:uid="{F060FE19-1F29-46FB-A579-66D35A1FED11}"/>
    <cellStyle name="Normal 4 4 2 2 8 3" xfId="11041" xr:uid="{BD974C2D-9AF9-4664-842D-B3E06F7ADD9C}"/>
    <cellStyle name="Normal 4 4 2 2 9" xfId="4755" xr:uid="{00000000-0005-0000-0000-000015150000}"/>
    <cellStyle name="Normal 4 4 2 2 9 2" xfId="13194" xr:uid="{E6D64A3B-DF5F-45C1-98DD-14BC0375046C}"/>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93F64DFF-E94F-426C-A351-528FFAF59777}"/>
    <cellStyle name="Normal 4 4 2 3 2 2 2 3" xfId="11539" xr:uid="{5ACFCBED-3EBC-43F3-935D-86CFB0E24777}"/>
    <cellStyle name="Normal 4 4 2 3 2 2 3" xfId="5173" xr:uid="{00000000-0005-0000-0000-00001B150000}"/>
    <cellStyle name="Normal 4 4 2 3 2 2 3 2" xfId="13612" xr:uid="{1D6C6F76-E125-4216-86A9-BF9CE8F153AA}"/>
    <cellStyle name="Normal 4 4 2 3 2 2 4" xfId="9394" xr:uid="{0801555A-979A-4272-8F54-8F84F5AABA0F}"/>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CF3B4C41-AFA6-4B89-89A4-1B515279F4D5}"/>
    <cellStyle name="Normal 4 4 2 3 2 3 2 3" xfId="11952" xr:uid="{481C358C-B39E-4422-97A9-2FEA7E439F57}"/>
    <cellStyle name="Normal 4 4 2 3 2 3 3" xfId="5586" xr:uid="{00000000-0005-0000-0000-00001F150000}"/>
    <cellStyle name="Normal 4 4 2 3 2 3 3 2" xfId="14025" xr:uid="{DE1B56D6-2080-4F75-A31D-27480D0F0529}"/>
    <cellStyle name="Normal 4 4 2 3 2 3 4" xfId="9807" xr:uid="{F828D2DC-CA2C-44D7-8346-4F0350E5C262}"/>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49542C69-62B8-4557-9940-5FA557275000}"/>
    <cellStyle name="Normal 4 4 2 3 2 4 2 3" xfId="12365" xr:uid="{BCBB6580-6041-4ABF-BDF6-2832CE41A593}"/>
    <cellStyle name="Normal 4 4 2 3 2 4 3" xfId="5999" xr:uid="{00000000-0005-0000-0000-000023150000}"/>
    <cellStyle name="Normal 4 4 2 3 2 4 3 2" xfId="14438" xr:uid="{D8A5431B-74DC-46F0-803A-5D87A60A04C6}"/>
    <cellStyle name="Normal 4 4 2 3 2 4 4" xfId="10220" xr:uid="{123EDE00-DA76-4978-BCC0-CCAB5D1D6C4C}"/>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86C90FE2-0779-44DC-AE5B-6113DAF6745C}"/>
    <cellStyle name="Normal 4 4 2 3 2 5 2 3" xfId="12778" xr:uid="{5B1E50A0-B005-45C2-A277-DAD5629128C2}"/>
    <cellStyle name="Normal 4 4 2 3 2 5 3" xfId="6412" xr:uid="{00000000-0005-0000-0000-000027150000}"/>
    <cellStyle name="Normal 4 4 2 3 2 5 3 2" xfId="14851" xr:uid="{250E7714-A5B1-4C9A-AC81-9CA83ECA0AD5}"/>
    <cellStyle name="Normal 4 4 2 3 2 5 4" xfId="10633" xr:uid="{3179F154-ECF7-4643-B6AA-7B79FDF28DCD}"/>
    <cellStyle name="Normal 4 4 2 3 2 6" xfId="2541" xr:uid="{00000000-0005-0000-0000-000028150000}"/>
    <cellStyle name="Normal 4 4 2 3 2 6 2" xfId="6825" xr:uid="{00000000-0005-0000-0000-000029150000}"/>
    <cellStyle name="Normal 4 4 2 3 2 6 2 2" xfId="15264" xr:uid="{DC23BAD7-55A0-4AC4-9F2B-36B5DD1361EF}"/>
    <cellStyle name="Normal 4 4 2 3 2 6 3" xfId="11046" xr:uid="{DC93BB87-439F-4F89-B105-9B33BABD917E}"/>
    <cellStyle name="Normal 4 4 2 3 2 7" xfId="4760" xr:uid="{00000000-0005-0000-0000-00002A150000}"/>
    <cellStyle name="Normal 4 4 2 3 2 7 2" xfId="13199" xr:uid="{1F6869C2-30B3-4818-AF2E-ECA49CC57CF8}"/>
    <cellStyle name="Normal 4 4 2 3 2 8" xfId="8981" xr:uid="{5BD54D27-7EA7-40CE-9C4B-4B95D1BAFB1A}"/>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0AE56CE5-B657-4323-B3B4-5CDA8881F64A}"/>
    <cellStyle name="Normal 4 4 2 3 3 2 3" xfId="11538" xr:uid="{8ADA96AD-303E-4AE2-AEF2-95955A3C8705}"/>
    <cellStyle name="Normal 4 4 2 3 3 3" xfId="5172" xr:uid="{00000000-0005-0000-0000-00002E150000}"/>
    <cellStyle name="Normal 4 4 2 3 3 3 2" xfId="13611" xr:uid="{2967C575-D272-4CAB-B1A9-4C42FA5F381C}"/>
    <cellStyle name="Normal 4 4 2 3 3 4" xfId="9393" xr:uid="{1F5CEF4A-09E4-4D40-B249-6AC05AFEA0E1}"/>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579CDCCE-911A-4A8E-BBDF-A02185A645F8}"/>
    <cellStyle name="Normal 4 4 2 3 4 2 3" xfId="11951" xr:uid="{4A204E9F-82DE-4D05-9700-BD1DFA7E159F}"/>
    <cellStyle name="Normal 4 4 2 3 4 3" xfId="5585" xr:uid="{00000000-0005-0000-0000-000032150000}"/>
    <cellStyle name="Normal 4 4 2 3 4 3 2" xfId="14024" xr:uid="{787819B0-FD64-40C5-A66C-3AED2F436E80}"/>
    <cellStyle name="Normal 4 4 2 3 4 4" xfId="9806" xr:uid="{0EE48A75-2F60-4868-80C4-7A3E7C70EEC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7B14ACA4-188E-41D4-ACEE-44240A62B9E1}"/>
    <cellStyle name="Normal 4 4 2 3 5 2 3" xfId="12364" xr:uid="{08C916DC-524B-49F3-87DD-2648F5A3F004}"/>
    <cellStyle name="Normal 4 4 2 3 5 3" xfId="5998" xr:uid="{00000000-0005-0000-0000-000036150000}"/>
    <cellStyle name="Normal 4 4 2 3 5 3 2" xfId="14437" xr:uid="{60957206-C7BC-4237-80B2-2AE2D7778562}"/>
    <cellStyle name="Normal 4 4 2 3 5 4" xfId="10219" xr:uid="{C391AE56-EC91-481D-B5BC-44E6852D7765}"/>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A01CF1E9-B6A6-4BB4-833B-5FF9B8AAA3F9}"/>
    <cellStyle name="Normal 4 4 2 3 6 2 3" xfId="12777" xr:uid="{DED5345F-6913-48F3-846D-22420D224126}"/>
    <cellStyle name="Normal 4 4 2 3 6 3" xfId="6411" xr:uid="{00000000-0005-0000-0000-00003A150000}"/>
    <cellStyle name="Normal 4 4 2 3 6 3 2" xfId="14850" xr:uid="{4C0D1588-9A97-4EF7-A2D8-F1D022F0CBC7}"/>
    <cellStyle name="Normal 4 4 2 3 6 4" xfId="10632" xr:uid="{2C85ACCF-A3FF-4DD5-94EA-B3312409A82C}"/>
    <cellStyle name="Normal 4 4 2 3 7" xfId="2540" xr:uid="{00000000-0005-0000-0000-00003B150000}"/>
    <cellStyle name="Normal 4 4 2 3 7 2" xfId="6824" xr:uid="{00000000-0005-0000-0000-00003C150000}"/>
    <cellStyle name="Normal 4 4 2 3 7 2 2" xfId="15263" xr:uid="{F7F2B231-1826-4804-A1CD-3B1130EDF615}"/>
    <cellStyle name="Normal 4 4 2 3 7 3" xfId="11045" xr:uid="{89B1B3DD-B2FF-4099-ADAA-B7E0C566FCEA}"/>
    <cellStyle name="Normal 4 4 2 3 8" xfId="4759" xr:uid="{00000000-0005-0000-0000-00003D150000}"/>
    <cellStyle name="Normal 4 4 2 3 8 2" xfId="13198" xr:uid="{428768D5-EEC4-44DD-9586-90AE9C722F43}"/>
    <cellStyle name="Normal 4 4 2 3 9" xfId="8980" xr:uid="{2A2DEA1E-311B-4006-938E-7DCEC8B6CDBF}"/>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7B598B2E-D5F3-4F9A-B715-7433D49457BE}"/>
    <cellStyle name="Normal 4 4 2 4 2 2 3" xfId="11540" xr:uid="{AEA9E934-7B04-4EE0-936A-8B83D79CCA7A}"/>
    <cellStyle name="Normal 4 4 2 4 2 3" xfId="5174" xr:uid="{00000000-0005-0000-0000-000042150000}"/>
    <cellStyle name="Normal 4 4 2 4 2 3 2" xfId="13613" xr:uid="{A397F0BA-7EDA-4FE2-A85F-14ACBD8F42C0}"/>
    <cellStyle name="Normal 4 4 2 4 2 4" xfId="9395" xr:uid="{7465FB95-83EF-43A5-97DD-524BB1D6962C}"/>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68AB7F32-93CC-4AC3-B3E2-76E8ADC4FA73}"/>
    <cellStyle name="Normal 4 4 2 4 3 2 3" xfId="11953" xr:uid="{F875BA99-E19E-4EEA-A9B6-EEEBF14515FC}"/>
    <cellStyle name="Normal 4 4 2 4 3 3" xfId="5587" xr:uid="{00000000-0005-0000-0000-000046150000}"/>
    <cellStyle name="Normal 4 4 2 4 3 3 2" xfId="14026" xr:uid="{E1C8B947-9F1D-425F-AD25-9FB65BEB2688}"/>
    <cellStyle name="Normal 4 4 2 4 3 4" xfId="9808" xr:uid="{C5B4569B-1186-4838-9FB4-CFAFD3F5C79F}"/>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594E1A86-895A-4728-ADF7-5132FFF58CC3}"/>
    <cellStyle name="Normal 4 4 2 4 4 2 3" xfId="12366" xr:uid="{87933770-C7D6-4364-B3D5-0B9751851F8C}"/>
    <cellStyle name="Normal 4 4 2 4 4 3" xfId="6000" xr:uid="{00000000-0005-0000-0000-00004A150000}"/>
    <cellStyle name="Normal 4 4 2 4 4 3 2" xfId="14439" xr:uid="{349ABBB7-D6D2-4757-A791-0ECC4F469FEB}"/>
    <cellStyle name="Normal 4 4 2 4 4 4" xfId="10221" xr:uid="{9C6F3192-15CF-4E7D-9C0D-85C13E372B90}"/>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E2A8D08D-613C-4918-999A-1A7A2F3EADED}"/>
    <cellStyle name="Normal 4 4 2 4 5 2 3" xfId="12779" xr:uid="{2444A221-9538-4554-B494-E5845D69BE7F}"/>
    <cellStyle name="Normal 4 4 2 4 5 3" xfId="6413" xr:uid="{00000000-0005-0000-0000-00004E150000}"/>
    <cellStyle name="Normal 4 4 2 4 5 3 2" xfId="14852" xr:uid="{84F5C1DC-6FC3-44D5-87D0-D96D4F60FECC}"/>
    <cellStyle name="Normal 4 4 2 4 5 4" xfId="10634" xr:uid="{2DDB112A-6832-4AED-A823-FFAD2B3A4958}"/>
    <cellStyle name="Normal 4 4 2 4 6" xfId="2542" xr:uid="{00000000-0005-0000-0000-00004F150000}"/>
    <cellStyle name="Normal 4 4 2 4 6 2" xfId="6826" xr:uid="{00000000-0005-0000-0000-000050150000}"/>
    <cellStyle name="Normal 4 4 2 4 6 2 2" xfId="15265" xr:uid="{C0026690-35DB-4BBB-A150-2B1DDEBE2C10}"/>
    <cellStyle name="Normal 4 4 2 4 6 3" xfId="11047" xr:uid="{709E8DAB-6634-4F58-9578-82129A4CBDD2}"/>
    <cellStyle name="Normal 4 4 2 4 7" xfId="4761" xr:uid="{00000000-0005-0000-0000-000051150000}"/>
    <cellStyle name="Normal 4 4 2 4 7 2" xfId="13200" xr:uid="{182BCE17-05F2-405B-BE72-1402EC19FC8E}"/>
    <cellStyle name="Normal 4 4 2 4 8" xfId="8982" xr:uid="{27E205AA-E94C-42CB-9EA2-724997819435}"/>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A48CDFEC-246C-4FAF-8C10-A4A6FBC23057}"/>
    <cellStyle name="Normal 4 4 2 5 2 3" xfId="11533" xr:uid="{9447C78A-966A-467F-9D28-E142B9AE62F7}"/>
    <cellStyle name="Normal 4 4 2 5 3" xfId="5167" xr:uid="{00000000-0005-0000-0000-000055150000}"/>
    <cellStyle name="Normal 4 4 2 5 3 2" xfId="13606" xr:uid="{67073BDA-8AB4-420A-ADC5-69E1FAE202C5}"/>
    <cellStyle name="Normal 4 4 2 5 4" xfId="9388" xr:uid="{D6F31B70-D9C3-4D27-B2A6-3B20BD72C20E}"/>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AC797F2A-7240-44E6-8130-31FB1669AD4E}"/>
    <cellStyle name="Normal 4 4 2 6 2 3" xfId="11946" xr:uid="{4B9665C3-884A-4F9C-A778-472A30555A15}"/>
    <cellStyle name="Normal 4 4 2 6 3" xfId="5580" xr:uid="{00000000-0005-0000-0000-000059150000}"/>
    <cellStyle name="Normal 4 4 2 6 3 2" xfId="14019" xr:uid="{3B78DB68-8AE7-482E-8B69-0A1F77070F45}"/>
    <cellStyle name="Normal 4 4 2 6 4" xfId="9801" xr:uid="{CA63DBE7-FE05-45A6-A821-E8F359510385}"/>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A424A95E-95FD-4965-95CA-0D5E917BB7B4}"/>
    <cellStyle name="Normal 4 4 2 7 2 3" xfId="12359" xr:uid="{75706824-E03F-40A0-A0C8-ECD6BC5B2301}"/>
    <cellStyle name="Normal 4 4 2 7 3" xfId="5993" xr:uid="{00000000-0005-0000-0000-00005D150000}"/>
    <cellStyle name="Normal 4 4 2 7 3 2" xfId="14432" xr:uid="{A70B87F8-1F3D-49F9-99D8-0F2685DCF279}"/>
    <cellStyle name="Normal 4 4 2 7 4" xfId="10214" xr:uid="{8EDCC3A8-1A0A-4032-A2C0-0E7871DC6EC2}"/>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19E99C1F-9AB0-4ACD-B06B-BAD9885D0F2F}"/>
    <cellStyle name="Normal 4 4 2 8 2 3" xfId="12772" xr:uid="{309D114D-34E7-4233-AB30-8C487A0D49E6}"/>
    <cellStyle name="Normal 4 4 2 8 3" xfId="6406" xr:uid="{00000000-0005-0000-0000-000061150000}"/>
    <cellStyle name="Normal 4 4 2 8 3 2" xfId="14845" xr:uid="{B36A9D2B-8126-44E5-925F-41E4C0829600}"/>
    <cellStyle name="Normal 4 4 2 8 4" xfId="10627" xr:uid="{E1D5FDA9-A63F-4D9C-A7BA-816083439BD5}"/>
    <cellStyle name="Normal 4 4 2 9" xfId="2535" xr:uid="{00000000-0005-0000-0000-000062150000}"/>
    <cellStyle name="Normal 4 4 2 9 2" xfId="6819" xr:uid="{00000000-0005-0000-0000-000063150000}"/>
    <cellStyle name="Normal 4 4 2 9 2 2" xfId="15258" xr:uid="{3F2DC119-2BAF-4C71-A200-5B8223DB7BB0}"/>
    <cellStyle name="Normal 4 4 2 9 3" xfId="11040" xr:uid="{3816902C-DA3C-47B4-AB57-94A5FF23C48D}"/>
    <cellStyle name="Normal 4 4 3" xfId="387" xr:uid="{00000000-0005-0000-0000-000064150000}"/>
    <cellStyle name="Normal 4 4 3 10" xfId="8983" xr:uid="{CBBD2E48-5234-474B-B8E4-B46BA992420C}"/>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5F1CAFFC-DE2B-4E50-B4DA-5D042EC566B5}"/>
    <cellStyle name="Normal 4 4 3 2 2 2 2 3" xfId="11543" xr:uid="{79786DDE-FDB8-4706-A577-A57AC76A39CE}"/>
    <cellStyle name="Normal 4 4 3 2 2 2 3" xfId="5177" xr:uid="{00000000-0005-0000-0000-00006A150000}"/>
    <cellStyle name="Normal 4 4 3 2 2 2 3 2" xfId="13616" xr:uid="{AE3FA337-1F6E-42AA-8597-4B8C19C17352}"/>
    <cellStyle name="Normal 4 4 3 2 2 2 4" xfId="9398" xr:uid="{E8B0FEDD-1ACB-4F31-9D65-AF9E9AA58535}"/>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F32A3306-0CF1-47BD-870D-524DB0A9B197}"/>
    <cellStyle name="Normal 4 4 3 2 2 3 2 3" xfId="11956" xr:uid="{63B60CB5-C37B-4BD6-823B-5EE443F110FB}"/>
    <cellStyle name="Normal 4 4 3 2 2 3 3" xfId="5590" xr:uid="{00000000-0005-0000-0000-00006E150000}"/>
    <cellStyle name="Normal 4 4 3 2 2 3 3 2" xfId="14029" xr:uid="{B5818CA6-B4B2-4946-BAEA-198BCA1E8F5B}"/>
    <cellStyle name="Normal 4 4 3 2 2 3 4" xfId="9811" xr:uid="{13297271-DE93-4D8D-96D8-4B59FCC9B78C}"/>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70851C5C-D620-4877-94F2-C52B70B73603}"/>
    <cellStyle name="Normal 4 4 3 2 2 4 2 3" xfId="12369" xr:uid="{929E4230-5B3D-41F0-A653-2936083E231E}"/>
    <cellStyle name="Normal 4 4 3 2 2 4 3" xfId="6003" xr:uid="{00000000-0005-0000-0000-000072150000}"/>
    <cellStyle name="Normal 4 4 3 2 2 4 3 2" xfId="14442" xr:uid="{718C3ACC-366A-4DD2-AFD6-61EBD9201789}"/>
    <cellStyle name="Normal 4 4 3 2 2 4 4" xfId="10224" xr:uid="{148F236A-563A-4DD3-90CD-8464E8E481C2}"/>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6578302F-5315-45A4-B5FD-4508EF621328}"/>
    <cellStyle name="Normal 4 4 3 2 2 5 2 3" xfId="12782" xr:uid="{76A45A7C-A19B-4C1F-AF16-559AA2860A97}"/>
    <cellStyle name="Normal 4 4 3 2 2 5 3" xfId="6416" xr:uid="{00000000-0005-0000-0000-000076150000}"/>
    <cellStyle name="Normal 4 4 3 2 2 5 3 2" xfId="14855" xr:uid="{9FD31D0D-6969-4D43-BEBF-A5FFAA7135F9}"/>
    <cellStyle name="Normal 4 4 3 2 2 5 4" xfId="10637" xr:uid="{42FE008B-9E32-4C2D-B45E-6359A5494FCE}"/>
    <cellStyle name="Normal 4 4 3 2 2 6" xfId="2545" xr:uid="{00000000-0005-0000-0000-000077150000}"/>
    <cellStyle name="Normal 4 4 3 2 2 6 2" xfId="6829" xr:uid="{00000000-0005-0000-0000-000078150000}"/>
    <cellStyle name="Normal 4 4 3 2 2 6 2 2" xfId="15268" xr:uid="{0EA16CF5-66CF-4D9C-8994-E9DC5C04001A}"/>
    <cellStyle name="Normal 4 4 3 2 2 6 3" xfId="11050" xr:uid="{AAB8E7D2-CB1A-4E9C-9ABE-6C09AE9F6D95}"/>
    <cellStyle name="Normal 4 4 3 2 2 7" xfId="4764" xr:uid="{00000000-0005-0000-0000-000079150000}"/>
    <cellStyle name="Normal 4 4 3 2 2 7 2" xfId="13203" xr:uid="{E7B0A911-4CB6-413B-8A93-0B3054D1FF81}"/>
    <cellStyle name="Normal 4 4 3 2 2 8" xfId="8985" xr:uid="{279F3F4F-D9C7-4335-9839-CB05E4F8A962}"/>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BD1D980F-5735-4326-93BD-215E7929EFCC}"/>
    <cellStyle name="Normal 4 4 3 2 3 2 3" xfId="11542" xr:uid="{61127D46-0ED5-48D3-823F-E4F03439691E}"/>
    <cellStyle name="Normal 4 4 3 2 3 3" xfId="5176" xr:uid="{00000000-0005-0000-0000-00007D150000}"/>
    <cellStyle name="Normal 4 4 3 2 3 3 2" xfId="13615" xr:uid="{EBE2EB1B-075E-4443-BA03-82D22D88762B}"/>
    <cellStyle name="Normal 4 4 3 2 3 4" xfId="9397" xr:uid="{BE20E6F5-CEA1-4C7E-BC92-1B1B6D2DE547}"/>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A30DCB64-0AD8-4234-B9B1-C1D7185D4764}"/>
    <cellStyle name="Normal 4 4 3 2 4 2 3" xfId="11955" xr:uid="{DE3EEBC3-E234-4057-AB80-AF200D87EE3D}"/>
    <cellStyle name="Normal 4 4 3 2 4 3" xfId="5589" xr:uid="{00000000-0005-0000-0000-000081150000}"/>
    <cellStyle name="Normal 4 4 3 2 4 3 2" xfId="14028" xr:uid="{105EBBDC-1F86-424D-8702-6D7B7B305A27}"/>
    <cellStyle name="Normal 4 4 3 2 4 4" xfId="9810" xr:uid="{9E4ADB38-FB95-4EEA-892D-D22C7D07987B}"/>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D838B45B-EFFA-4B49-A1B5-9B3070B403C4}"/>
    <cellStyle name="Normal 4 4 3 2 5 2 3" xfId="12368" xr:uid="{8259AD7C-680E-4F0D-943E-300BFC22EC04}"/>
    <cellStyle name="Normal 4 4 3 2 5 3" xfId="6002" xr:uid="{00000000-0005-0000-0000-000085150000}"/>
    <cellStyle name="Normal 4 4 3 2 5 3 2" xfId="14441" xr:uid="{D5937542-E38F-4321-AC71-AB98DCCB131D}"/>
    <cellStyle name="Normal 4 4 3 2 5 4" xfId="10223" xr:uid="{F4C5614B-C3BA-4A5C-9CF8-3678CDE9EDA7}"/>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9A7C53A2-A4BF-4287-992E-41D8881B2B6B}"/>
    <cellStyle name="Normal 4 4 3 2 6 2 3" xfId="12781" xr:uid="{EC2D0971-A7CE-4ABF-A62B-4A6440B86583}"/>
    <cellStyle name="Normal 4 4 3 2 6 3" xfId="6415" xr:uid="{00000000-0005-0000-0000-000089150000}"/>
    <cellStyle name="Normal 4 4 3 2 6 3 2" xfId="14854" xr:uid="{AE399CFD-6DE3-481E-87FC-9BF4E28A277F}"/>
    <cellStyle name="Normal 4 4 3 2 6 4" xfId="10636" xr:uid="{B46B78D2-D77A-4040-9BE8-E635709D200E}"/>
    <cellStyle name="Normal 4 4 3 2 7" xfId="2544" xr:uid="{00000000-0005-0000-0000-00008A150000}"/>
    <cellStyle name="Normal 4 4 3 2 7 2" xfId="6828" xr:uid="{00000000-0005-0000-0000-00008B150000}"/>
    <cellStyle name="Normal 4 4 3 2 7 2 2" xfId="15267" xr:uid="{64A75170-1600-4638-92A0-2817B0EF84EC}"/>
    <cellStyle name="Normal 4 4 3 2 7 3" xfId="11049" xr:uid="{D09DF7DB-C85D-42C2-AF73-12CE44820BD6}"/>
    <cellStyle name="Normal 4 4 3 2 8" xfId="4763" xr:uid="{00000000-0005-0000-0000-00008C150000}"/>
    <cellStyle name="Normal 4 4 3 2 8 2" xfId="13202" xr:uid="{AB22CE09-AD80-43BA-A621-CD700D22F5FC}"/>
    <cellStyle name="Normal 4 4 3 2 9" xfId="8984" xr:uid="{F36A4404-09D3-422A-AC63-204ACE6BD64B}"/>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DEB857CA-8786-4012-AA0E-6ABB909EED43}"/>
    <cellStyle name="Normal 4 4 3 3 2 2 3" xfId="11544" xr:uid="{00F473EE-0A7C-40CC-80CC-E463B7746AC1}"/>
    <cellStyle name="Normal 4 4 3 3 2 3" xfId="5178" xr:uid="{00000000-0005-0000-0000-000091150000}"/>
    <cellStyle name="Normal 4 4 3 3 2 3 2" xfId="13617" xr:uid="{6B1CC6A4-0E43-41E2-BAD7-B59B36D5BBBF}"/>
    <cellStyle name="Normal 4 4 3 3 2 4" xfId="9399" xr:uid="{879A9915-399A-48FE-8F4A-0B5839D558D2}"/>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5E4CA4C4-93FE-4B4B-A09A-659E63B9E668}"/>
    <cellStyle name="Normal 4 4 3 3 3 2 3" xfId="11957" xr:uid="{89B4577B-B82C-4B02-91F6-1A8FB942067C}"/>
    <cellStyle name="Normal 4 4 3 3 3 3" xfId="5591" xr:uid="{00000000-0005-0000-0000-000095150000}"/>
    <cellStyle name="Normal 4 4 3 3 3 3 2" xfId="14030" xr:uid="{611ECDD0-7AD9-425C-BD1F-C69233CF9799}"/>
    <cellStyle name="Normal 4 4 3 3 3 4" xfId="9812" xr:uid="{84B60EE3-7D5D-4836-A6B9-B27C62CF19EC}"/>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43063C7D-2D5D-4B04-89B4-BE3E3B7B7E75}"/>
    <cellStyle name="Normal 4 4 3 3 4 2 3" xfId="12370" xr:uid="{1B9F65D2-CF41-40F9-90D0-691A4489A15A}"/>
    <cellStyle name="Normal 4 4 3 3 4 3" xfId="6004" xr:uid="{00000000-0005-0000-0000-000099150000}"/>
    <cellStyle name="Normal 4 4 3 3 4 3 2" xfId="14443" xr:uid="{8A004B69-7148-4E61-9BDE-44E48AA274B9}"/>
    <cellStyle name="Normal 4 4 3 3 4 4" xfId="10225" xr:uid="{2E281C55-8620-4762-ABBA-D3C0BFB488DF}"/>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0F3383E1-7C46-4F69-AAF6-99FA4808A977}"/>
    <cellStyle name="Normal 4 4 3 3 5 2 3" xfId="12783" xr:uid="{8E8BA291-426B-4DA8-855E-94A48C4BE403}"/>
    <cellStyle name="Normal 4 4 3 3 5 3" xfId="6417" xr:uid="{00000000-0005-0000-0000-00009D150000}"/>
    <cellStyle name="Normal 4 4 3 3 5 3 2" xfId="14856" xr:uid="{F7760A70-E888-41AA-8AEB-A33A326B56E7}"/>
    <cellStyle name="Normal 4 4 3 3 5 4" xfId="10638" xr:uid="{50491052-CAAA-4D93-853A-6EF7ED60D436}"/>
    <cellStyle name="Normal 4 4 3 3 6" xfId="2546" xr:uid="{00000000-0005-0000-0000-00009E150000}"/>
    <cellStyle name="Normal 4 4 3 3 6 2" xfId="6830" xr:uid="{00000000-0005-0000-0000-00009F150000}"/>
    <cellStyle name="Normal 4 4 3 3 6 2 2" xfId="15269" xr:uid="{09758814-DFBA-43C7-A8DA-E4A152CAB041}"/>
    <cellStyle name="Normal 4 4 3 3 6 3" xfId="11051" xr:uid="{0901C446-3BC6-479C-B700-607BA04E41DB}"/>
    <cellStyle name="Normal 4 4 3 3 7" xfId="4765" xr:uid="{00000000-0005-0000-0000-0000A0150000}"/>
    <cellStyle name="Normal 4 4 3 3 7 2" xfId="13204" xr:uid="{5A47131B-79D6-4388-B956-C46C0E931C5B}"/>
    <cellStyle name="Normal 4 4 3 3 8" xfId="8986" xr:uid="{B4549061-38E2-4E7B-B70C-086567F87766}"/>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58A2971D-36E0-4653-B060-C32C3531B655}"/>
    <cellStyle name="Normal 4 4 3 4 2 3" xfId="11541" xr:uid="{2F323E14-F02B-4D6D-BFD7-DAADBC8E3546}"/>
    <cellStyle name="Normal 4 4 3 4 3" xfId="5175" xr:uid="{00000000-0005-0000-0000-0000A4150000}"/>
    <cellStyle name="Normal 4 4 3 4 3 2" xfId="13614" xr:uid="{BA80E5CA-A32F-43C5-9631-CE65C2D7638C}"/>
    <cellStyle name="Normal 4 4 3 4 4" xfId="9396" xr:uid="{EECBC3D7-C359-4921-A03B-CEE2EBA6909D}"/>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18E2EE69-FAB6-4B33-A1FD-616FB46ED992}"/>
    <cellStyle name="Normal 4 4 3 5 2 3" xfId="11954" xr:uid="{A76BEEE2-8D9B-401B-BB97-DB477A30A59D}"/>
    <cellStyle name="Normal 4 4 3 5 3" xfId="5588" xr:uid="{00000000-0005-0000-0000-0000A8150000}"/>
    <cellStyle name="Normal 4 4 3 5 3 2" xfId="14027" xr:uid="{CE8A6BD4-6EA1-4CA3-B128-F2C2A7478F93}"/>
    <cellStyle name="Normal 4 4 3 5 4" xfId="9809" xr:uid="{799B7B40-BAB4-46BC-94A9-EE6923733062}"/>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10E97181-761A-4916-AB44-2A8C1A329481}"/>
    <cellStyle name="Normal 4 4 3 6 2 3" xfId="12367" xr:uid="{22AC9374-2779-4453-A3A3-8E8F654785CE}"/>
    <cellStyle name="Normal 4 4 3 6 3" xfId="6001" xr:uid="{00000000-0005-0000-0000-0000AC150000}"/>
    <cellStyle name="Normal 4 4 3 6 3 2" xfId="14440" xr:uid="{67E93DBE-579B-424E-B51D-9A32D1673C1C}"/>
    <cellStyle name="Normal 4 4 3 6 4" xfId="10222" xr:uid="{38BD84E1-0C5C-456D-8275-D6CFBE83CDC4}"/>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220DA59A-19F1-489B-90A1-F83176EC5234}"/>
    <cellStyle name="Normal 4 4 3 7 2 3" xfId="12780" xr:uid="{21BB19F6-4659-4E36-85BE-F56DDBA54626}"/>
    <cellStyle name="Normal 4 4 3 7 3" xfId="6414" xr:uid="{00000000-0005-0000-0000-0000B0150000}"/>
    <cellStyle name="Normal 4 4 3 7 3 2" xfId="14853" xr:uid="{2D3C2749-078A-45B2-B569-B36DC758AE1C}"/>
    <cellStyle name="Normal 4 4 3 7 4" xfId="10635" xr:uid="{37B6999D-17CF-4D0B-85BD-94DA4E398175}"/>
    <cellStyle name="Normal 4 4 3 8" xfId="2543" xr:uid="{00000000-0005-0000-0000-0000B1150000}"/>
    <cellStyle name="Normal 4 4 3 8 2" xfId="6827" xr:uid="{00000000-0005-0000-0000-0000B2150000}"/>
    <cellStyle name="Normal 4 4 3 8 2 2" xfId="15266" xr:uid="{3AC598A4-06FB-492D-A152-AFCFA95F56DB}"/>
    <cellStyle name="Normal 4 4 3 8 3" xfId="11048" xr:uid="{88F0B1C8-2253-4C5B-B1D9-4683441E055A}"/>
    <cellStyle name="Normal 4 4 3 9" xfId="4762" xr:uid="{00000000-0005-0000-0000-0000B3150000}"/>
    <cellStyle name="Normal 4 4 3 9 2" xfId="13201" xr:uid="{4746A89D-D8D1-4FF6-B1A8-6A01BC5834B7}"/>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16DF9EC3-AC85-4F8A-B09D-7A437930A5C5}"/>
    <cellStyle name="Normal 4 4 4 2 2 2 3" xfId="11546" xr:uid="{70DED018-4E82-4149-9D20-4A44F9B1A5E9}"/>
    <cellStyle name="Normal 4 4 4 2 2 3" xfId="5180" xr:uid="{00000000-0005-0000-0000-0000B9150000}"/>
    <cellStyle name="Normal 4 4 4 2 2 3 2" xfId="13619" xr:uid="{7CCDAA65-BBE7-4937-9D62-B2124D6C0FD5}"/>
    <cellStyle name="Normal 4 4 4 2 2 4" xfId="9401" xr:uid="{DB78ACCF-FF05-4CFC-9D15-7943CD896F63}"/>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5B5DF49A-FA10-4C1D-9ECB-2F36BA57B0C2}"/>
    <cellStyle name="Normal 4 4 4 2 3 2 3" xfId="11959" xr:uid="{6BF09628-1AC8-47C9-B3D6-9822B9A85953}"/>
    <cellStyle name="Normal 4 4 4 2 3 3" xfId="5593" xr:uid="{00000000-0005-0000-0000-0000BD150000}"/>
    <cellStyle name="Normal 4 4 4 2 3 3 2" xfId="14032" xr:uid="{C8D4A83F-806D-44FA-A017-1EE9C9834C9B}"/>
    <cellStyle name="Normal 4 4 4 2 3 4" xfId="9814" xr:uid="{2D052BD7-8E7A-4770-A80D-68A60DE5BC9E}"/>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EA121714-BB96-4202-A7D0-928BF09F10DD}"/>
    <cellStyle name="Normal 4 4 4 2 4 2 3" xfId="12372" xr:uid="{F1FBE625-CE2C-4C2C-9E8D-4E18A5B32D80}"/>
    <cellStyle name="Normal 4 4 4 2 4 3" xfId="6006" xr:uid="{00000000-0005-0000-0000-0000C1150000}"/>
    <cellStyle name="Normal 4 4 4 2 4 3 2" xfId="14445" xr:uid="{225D036A-501C-4067-B4C2-E61D71773EDE}"/>
    <cellStyle name="Normal 4 4 4 2 4 4" xfId="10227" xr:uid="{A6C4C193-354A-41C8-A3F5-89BB7C2C2B97}"/>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88673191-D605-4EE3-A7D2-88AE3A1182E4}"/>
    <cellStyle name="Normal 4 4 4 2 5 2 3" xfId="12785" xr:uid="{D4D8C3AF-7E3E-455D-8E12-C374A279FD90}"/>
    <cellStyle name="Normal 4 4 4 2 5 3" xfId="6419" xr:uid="{00000000-0005-0000-0000-0000C5150000}"/>
    <cellStyle name="Normal 4 4 4 2 5 3 2" xfId="14858" xr:uid="{91F8C5ED-2102-42AC-ACE0-4F6D4F0D3476}"/>
    <cellStyle name="Normal 4 4 4 2 5 4" xfId="10640" xr:uid="{49419727-C1CA-40AF-A91E-92EE34CD4844}"/>
    <cellStyle name="Normal 4 4 4 2 6" xfId="2548" xr:uid="{00000000-0005-0000-0000-0000C6150000}"/>
    <cellStyle name="Normal 4 4 4 2 6 2" xfId="6832" xr:uid="{00000000-0005-0000-0000-0000C7150000}"/>
    <cellStyle name="Normal 4 4 4 2 6 2 2" xfId="15271" xr:uid="{79D96089-24DA-4F71-B8B3-02177E8973E2}"/>
    <cellStyle name="Normal 4 4 4 2 6 3" xfId="11053" xr:uid="{7BD5993B-0AA7-44CB-A778-906DB1732A8A}"/>
    <cellStyle name="Normal 4 4 4 2 7" xfId="4767" xr:uid="{00000000-0005-0000-0000-0000C8150000}"/>
    <cellStyle name="Normal 4 4 4 2 7 2" xfId="13206" xr:uid="{143534B1-1F4E-4E45-9A56-277AA7D83074}"/>
    <cellStyle name="Normal 4 4 4 2 8" xfId="8988" xr:uid="{7639A482-40B9-474A-8FE1-4ADCDCB5F29C}"/>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E4D15551-FACF-4B7E-A11E-6ACA0B6B6B1A}"/>
    <cellStyle name="Normal 4 4 4 3 2 3" xfId="11545" xr:uid="{D0B49189-C784-4D4F-8A67-8A4E98A70CAF}"/>
    <cellStyle name="Normal 4 4 4 3 3" xfId="5179" xr:uid="{00000000-0005-0000-0000-0000CC150000}"/>
    <cellStyle name="Normal 4 4 4 3 3 2" xfId="13618" xr:uid="{7B7CEC57-0DF1-4E33-8B75-262FC0485CAF}"/>
    <cellStyle name="Normal 4 4 4 3 4" xfId="9400" xr:uid="{AC3C27F7-37A7-446E-B634-3E45F34FDF32}"/>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593B2D6B-6C35-40D1-B715-8DEB7050DA51}"/>
    <cellStyle name="Normal 4 4 4 4 2 3" xfId="11958" xr:uid="{B0EB3449-512A-4419-83A1-2884F3516B20}"/>
    <cellStyle name="Normal 4 4 4 4 3" xfId="5592" xr:uid="{00000000-0005-0000-0000-0000D0150000}"/>
    <cellStyle name="Normal 4 4 4 4 3 2" xfId="14031" xr:uid="{A4FBAB4A-5C22-42F3-A74A-47258D3000F9}"/>
    <cellStyle name="Normal 4 4 4 4 4" xfId="9813" xr:uid="{0EE92E90-714F-41F0-B17A-FA552106776A}"/>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04121334-E59C-4287-B42A-4350B43649CA}"/>
    <cellStyle name="Normal 4 4 4 5 2 3" xfId="12371" xr:uid="{80E4D1AF-7C62-44CE-BE80-6F92D95DFB51}"/>
    <cellStyle name="Normal 4 4 4 5 3" xfId="6005" xr:uid="{00000000-0005-0000-0000-0000D4150000}"/>
    <cellStyle name="Normal 4 4 4 5 3 2" xfId="14444" xr:uid="{1C729A39-622F-42FC-A56B-688DE8174980}"/>
    <cellStyle name="Normal 4 4 4 5 4" xfId="10226" xr:uid="{034A3A17-0148-45C7-9A24-E8FDF0705261}"/>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BF3D1F1C-C53B-4389-B584-04378AA54043}"/>
    <cellStyle name="Normal 4 4 4 6 2 3" xfId="12784" xr:uid="{4595B2CE-401B-483F-906C-5F58EDAF7D3E}"/>
    <cellStyle name="Normal 4 4 4 6 3" xfId="6418" xr:uid="{00000000-0005-0000-0000-0000D8150000}"/>
    <cellStyle name="Normal 4 4 4 6 3 2" xfId="14857" xr:uid="{AADE56D9-6AB4-4984-99EE-0E833260AB4B}"/>
    <cellStyle name="Normal 4 4 4 6 4" xfId="10639" xr:uid="{8A6F6BD9-5A93-4F96-B1E9-A5999D60B77E}"/>
    <cellStyle name="Normal 4 4 4 7" xfId="2547" xr:uid="{00000000-0005-0000-0000-0000D9150000}"/>
    <cellStyle name="Normal 4 4 4 7 2" xfId="6831" xr:uid="{00000000-0005-0000-0000-0000DA150000}"/>
    <cellStyle name="Normal 4 4 4 7 2 2" xfId="15270" xr:uid="{6C2365BB-F32E-4F18-BF8B-06D0E4AC9DDE}"/>
    <cellStyle name="Normal 4 4 4 7 3" xfId="11052" xr:uid="{F505C622-0B80-4122-BF6E-5173D4024B18}"/>
    <cellStyle name="Normal 4 4 4 8" xfId="4766" xr:uid="{00000000-0005-0000-0000-0000DB150000}"/>
    <cellStyle name="Normal 4 4 4 8 2" xfId="13205" xr:uid="{76F328F7-310B-4C57-8DC4-324B27580888}"/>
    <cellStyle name="Normal 4 4 4 9" xfId="8987" xr:uid="{C3408EEB-2167-42B6-AF5C-3EF936B51CF9}"/>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5E1DFE37-90D2-46E9-8357-91A18C545E13}"/>
    <cellStyle name="Normal 4 4 5 2 2 3" xfId="11547" xr:uid="{3396D243-EE15-4197-BCAD-24B8D9208750}"/>
    <cellStyle name="Normal 4 4 5 2 3" xfId="5181" xr:uid="{00000000-0005-0000-0000-0000E0150000}"/>
    <cellStyle name="Normal 4 4 5 2 3 2" xfId="13620" xr:uid="{6C8DF493-4C33-407B-AFED-631A3E397AB7}"/>
    <cellStyle name="Normal 4 4 5 2 4" xfId="9402" xr:uid="{ACE9EA58-DB60-478A-AE5C-74EAD204F127}"/>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BBA64D2A-7D07-4808-B324-531EF84E5923}"/>
    <cellStyle name="Normal 4 4 5 3 2 3" xfId="11960" xr:uid="{C06BEB99-CE35-4A8F-B964-744E711B1EE2}"/>
    <cellStyle name="Normal 4 4 5 3 3" xfId="5594" xr:uid="{00000000-0005-0000-0000-0000E4150000}"/>
    <cellStyle name="Normal 4 4 5 3 3 2" xfId="14033" xr:uid="{2CC0F181-3670-4F7E-A11F-5990589C4AFB}"/>
    <cellStyle name="Normal 4 4 5 3 4" xfId="9815" xr:uid="{2C7F9EA1-49E1-495A-B966-C10ED0155932}"/>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5A6E85BD-E0DB-4619-935D-C9FFAB74DF06}"/>
    <cellStyle name="Normal 4 4 5 4 2 3" xfId="12373" xr:uid="{7E311791-AFBF-42BB-BF03-EEFBE9E1B802}"/>
    <cellStyle name="Normal 4 4 5 4 3" xfId="6007" xr:uid="{00000000-0005-0000-0000-0000E8150000}"/>
    <cellStyle name="Normal 4 4 5 4 3 2" xfId="14446" xr:uid="{1D211482-5E50-4154-96AF-89949194E507}"/>
    <cellStyle name="Normal 4 4 5 4 4" xfId="10228" xr:uid="{56DA6EE5-B2AF-4D3D-AE16-FDB435E9D4FD}"/>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E1440F37-914A-4C35-9583-6F1C3D60D6BF}"/>
    <cellStyle name="Normal 4 4 5 5 2 3" xfId="12786" xr:uid="{BC3EE4B3-AF4A-4EAD-89A6-F2E1333A1859}"/>
    <cellStyle name="Normal 4 4 5 5 3" xfId="6420" xr:uid="{00000000-0005-0000-0000-0000EC150000}"/>
    <cellStyle name="Normal 4 4 5 5 3 2" xfId="14859" xr:uid="{6CEC8555-EFFA-4D1F-9997-B9FC030DE18B}"/>
    <cellStyle name="Normal 4 4 5 5 4" xfId="10641" xr:uid="{434925C2-A834-4C9A-848A-F403A639630B}"/>
    <cellStyle name="Normal 4 4 5 6" xfId="2549" xr:uid="{00000000-0005-0000-0000-0000ED150000}"/>
    <cellStyle name="Normal 4 4 5 6 2" xfId="6833" xr:uid="{00000000-0005-0000-0000-0000EE150000}"/>
    <cellStyle name="Normal 4 4 5 6 2 2" xfId="15272" xr:uid="{6AC0BB83-F44E-494B-92DC-A9CE09942CC1}"/>
    <cellStyle name="Normal 4 4 5 6 3" xfId="11054" xr:uid="{69120D3E-DFDA-4D1E-B31A-5631AA1C0F23}"/>
    <cellStyle name="Normal 4 4 5 7" xfId="4768" xr:uid="{00000000-0005-0000-0000-0000EF150000}"/>
    <cellStyle name="Normal 4 4 5 7 2" xfId="13207" xr:uid="{F9C061D6-B1B0-4C9B-81BE-A0C8F3A3D05A}"/>
    <cellStyle name="Normal 4 4 5 8" xfId="8989" xr:uid="{99236893-7A23-4549-86CB-EE4B884B6D7C}"/>
    <cellStyle name="Normal 4 4 6" xfId="853" xr:uid="{00000000-0005-0000-0000-0000F0150000}"/>
    <cellStyle name="Normal 4 4 6 2" xfId="3088" xr:uid="{00000000-0005-0000-0000-0000F1150000}"/>
    <cellStyle name="Normal 4 4 6 2 2" xfId="7311" xr:uid="{00000000-0005-0000-0000-0000F2150000}"/>
    <cellStyle name="Normal 4 4 6 2 2 2" xfId="15750" xr:uid="{6336F7D5-E637-4128-9CD5-0FE0E4D96A97}"/>
    <cellStyle name="Normal 4 4 6 2 3" xfId="11532" xr:uid="{7004B9C9-6BE6-4AD4-AC23-4DB2EE3F14AE}"/>
    <cellStyle name="Normal 4 4 6 3" xfId="5166" xr:uid="{00000000-0005-0000-0000-0000F3150000}"/>
    <cellStyle name="Normal 4 4 6 3 2" xfId="13605" xr:uid="{AD50E13C-5AB2-43BB-B757-D423DB4DBF13}"/>
    <cellStyle name="Normal 4 4 6 4" xfId="9387" xr:uid="{6D29D883-E482-4968-85DD-9F9DB2DFBC28}"/>
    <cellStyle name="Normal 4 4 7" xfId="1271" xr:uid="{00000000-0005-0000-0000-0000F4150000}"/>
    <cellStyle name="Normal 4 4 7 2" xfId="3501" xr:uid="{00000000-0005-0000-0000-0000F5150000}"/>
    <cellStyle name="Normal 4 4 7 2 2" xfId="7724" xr:uid="{00000000-0005-0000-0000-0000F6150000}"/>
    <cellStyle name="Normal 4 4 7 2 2 2" xfId="16163" xr:uid="{05EC8DE7-FDA8-41F1-9CFD-BE77B354F1CB}"/>
    <cellStyle name="Normal 4 4 7 2 3" xfId="11945" xr:uid="{3B6DB26B-49FC-495B-8B0E-D54E944AD2CA}"/>
    <cellStyle name="Normal 4 4 7 3" xfId="5579" xr:uid="{00000000-0005-0000-0000-0000F7150000}"/>
    <cellStyle name="Normal 4 4 7 3 2" xfId="14018" xr:uid="{FF3CC7BE-A42A-49FB-9D9C-75676D657DEB}"/>
    <cellStyle name="Normal 4 4 7 4" xfId="9800" xr:uid="{34A91001-C634-4EC8-813F-524E49CF017D}"/>
    <cellStyle name="Normal 4 4 8" xfId="1684" xr:uid="{00000000-0005-0000-0000-0000F8150000}"/>
    <cellStyle name="Normal 4 4 8 2" xfId="3914" xr:uid="{00000000-0005-0000-0000-0000F9150000}"/>
    <cellStyle name="Normal 4 4 8 2 2" xfId="8137" xr:uid="{00000000-0005-0000-0000-0000FA150000}"/>
    <cellStyle name="Normal 4 4 8 2 2 2" xfId="16576" xr:uid="{5F13DF9F-7434-406D-8910-A179EFCBBEF4}"/>
    <cellStyle name="Normal 4 4 8 2 3" xfId="12358" xr:uid="{C5FD2DA2-0D1D-4708-A04D-8C43675BEF1D}"/>
    <cellStyle name="Normal 4 4 8 3" xfId="5992" xr:uid="{00000000-0005-0000-0000-0000FB150000}"/>
    <cellStyle name="Normal 4 4 8 3 2" xfId="14431" xr:uid="{D689898A-5EBA-4BDC-8151-334D0718EB7E}"/>
    <cellStyle name="Normal 4 4 8 4" xfId="10213" xr:uid="{852FFD54-3DE8-4A33-BA74-1A17D7450C06}"/>
    <cellStyle name="Normal 4 4 9" xfId="2098" xr:uid="{00000000-0005-0000-0000-0000FC150000}"/>
    <cellStyle name="Normal 4 4 9 2" xfId="4327" xr:uid="{00000000-0005-0000-0000-0000FD150000}"/>
    <cellStyle name="Normal 4 4 9 2 2" xfId="8550" xr:uid="{00000000-0005-0000-0000-0000FE150000}"/>
    <cellStyle name="Normal 4 4 9 2 2 2" xfId="16989" xr:uid="{0CC396AD-C511-4074-9CE2-93608F6F5D06}"/>
    <cellStyle name="Normal 4 4 9 2 3" xfId="12771" xr:uid="{B73ADA18-82BF-4265-BF88-A7EBAF773F6D}"/>
    <cellStyle name="Normal 4 4 9 3" xfId="6405" xr:uid="{00000000-0005-0000-0000-0000FF150000}"/>
    <cellStyle name="Normal 4 4 9 3 2" xfId="14844" xr:uid="{398A714B-8A73-4C51-A689-AFA5D137E3B3}"/>
    <cellStyle name="Normal 4 4 9 4" xfId="10626" xr:uid="{BEFF526A-AAF7-40FB-BF7A-6213D7DB7503}"/>
    <cellStyle name="Normal 4 5" xfId="394" xr:uid="{00000000-0005-0000-0000-000000160000}"/>
    <cellStyle name="Normal 4 6" xfId="395" xr:uid="{00000000-0005-0000-0000-000001160000}"/>
    <cellStyle name="Normal 4 6 10" xfId="4769" xr:uid="{00000000-0005-0000-0000-000002160000}"/>
    <cellStyle name="Normal 4 6 10 2" xfId="13208" xr:uid="{5DD69033-A0C8-4BB5-B46D-17AC6DDBCF1B}"/>
    <cellStyle name="Normal 4 6 11" xfId="8990" xr:uid="{563D393C-550E-49D0-A582-5A867BC99D7F}"/>
    <cellStyle name="Normal 4 6 2" xfId="396" xr:uid="{00000000-0005-0000-0000-000003160000}"/>
    <cellStyle name="Normal 4 6 2 10" xfId="8991" xr:uid="{C2AE9DC5-821B-4B93-95DA-9C4DE5D62A36}"/>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CEE3D526-C43E-48BF-8ED2-8CC2DCD4B158}"/>
    <cellStyle name="Normal 4 6 2 2 2 2 2 3" xfId="11551" xr:uid="{8BFDD6B2-6797-472F-ADE9-4EFBB6FF7C1B}"/>
    <cellStyle name="Normal 4 6 2 2 2 2 3" xfId="5185" xr:uid="{00000000-0005-0000-0000-000009160000}"/>
    <cellStyle name="Normal 4 6 2 2 2 2 3 2" xfId="13624" xr:uid="{0645FCA8-06A3-4206-8809-96F6264B0DAE}"/>
    <cellStyle name="Normal 4 6 2 2 2 2 4" xfId="9406" xr:uid="{0DFFB42B-1F72-45A0-B04E-6962105B4496}"/>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B43729C7-2776-48BA-BFC5-DC45E21C6509}"/>
    <cellStyle name="Normal 4 6 2 2 2 3 2 3" xfId="11964" xr:uid="{02D89783-0CCB-4CE0-A641-19556509BFA2}"/>
    <cellStyle name="Normal 4 6 2 2 2 3 3" xfId="5598" xr:uid="{00000000-0005-0000-0000-00000D160000}"/>
    <cellStyle name="Normal 4 6 2 2 2 3 3 2" xfId="14037" xr:uid="{35C8D4E4-700C-4847-88CF-E74190A8BC3A}"/>
    <cellStyle name="Normal 4 6 2 2 2 3 4" xfId="9819" xr:uid="{ED04866A-641F-4428-AE72-84D41D5CEC0E}"/>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38B932DB-5F5C-4162-A8E2-BAC2800CED40}"/>
    <cellStyle name="Normal 4 6 2 2 2 4 2 3" xfId="12377" xr:uid="{7B893035-73ED-4D03-9358-B67ACF5F384B}"/>
    <cellStyle name="Normal 4 6 2 2 2 4 3" xfId="6011" xr:uid="{00000000-0005-0000-0000-000011160000}"/>
    <cellStyle name="Normal 4 6 2 2 2 4 3 2" xfId="14450" xr:uid="{5E63F5B0-688F-41D0-BAA2-8354CA9AFAEC}"/>
    <cellStyle name="Normal 4 6 2 2 2 4 4" xfId="10232" xr:uid="{D7A9DD01-BA5E-43DB-9CE6-AF710201988B}"/>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7EB449C9-76C7-4E6A-B342-7DFB304B27D9}"/>
    <cellStyle name="Normal 4 6 2 2 2 5 2 3" xfId="12790" xr:uid="{76693223-F397-4FF9-80C8-F31E0A4A46DE}"/>
    <cellStyle name="Normal 4 6 2 2 2 5 3" xfId="6424" xr:uid="{00000000-0005-0000-0000-000015160000}"/>
    <cellStyle name="Normal 4 6 2 2 2 5 3 2" xfId="14863" xr:uid="{4ED251DA-B408-46CF-9271-0F04E2537FC3}"/>
    <cellStyle name="Normal 4 6 2 2 2 5 4" xfId="10645" xr:uid="{1C913F42-93CE-40BC-9CAA-0CF7A50265E3}"/>
    <cellStyle name="Normal 4 6 2 2 2 6" xfId="2553" xr:uid="{00000000-0005-0000-0000-000016160000}"/>
    <cellStyle name="Normal 4 6 2 2 2 6 2" xfId="6837" xr:uid="{00000000-0005-0000-0000-000017160000}"/>
    <cellStyle name="Normal 4 6 2 2 2 6 2 2" xfId="15276" xr:uid="{C36176E5-A2D2-4491-BA6A-7939A89BCC05}"/>
    <cellStyle name="Normal 4 6 2 2 2 6 3" xfId="11058" xr:uid="{7D49A416-BE9D-46B0-9A4B-EC53E9FB45EB}"/>
    <cellStyle name="Normal 4 6 2 2 2 7" xfId="4772" xr:uid="{00000000-0005-0000-0000-000018160000}"/>
    <cellStyle name="Normal 4 6 2 2 2 7 2" xfId="13211" xr:uid="{B24B65A0-286D-4C95-BB8A-5ADBA326F423}"/>
    <cellStyle name="Normal 4 6 2 2 2 8" xfId="8993" xr:uid="{CF5CB28D-0A2D-4ECE-95B2-A0CD50ADF985}"/>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17F66F99-653C-4480-AEE5-0E42A2056649}"/>
    <cellStyle name="Normal 4 6 2 2 3 2 3" xfId="11550" xr:uid="{FDC206C5-ADB1-4591-BECD-EB5499558681}"/>
    <cellStyle name="Normal 4 6 2 2 3 3" xfId="5184" xr:uid="{00000000-0005-0000-0000-00001C160000}"/>
    <cellStyle name="Normal 4 6 2 2 3 3 2" xfId="13623" xr:uid="{CC77E2F0-D79D-422C-AAC7-3255E4D2FD7A}"/>
    <cellStyle name="Normal 4 6 2 2 3 4" xfId="9405" xr:uid="{F24B9A4A-62EB-432A-9773-EA3EAB03A7E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FCB8D9CF-768D-414C-A606-7C98F617922C}"/>
    <cellStyle name="Normal 4 6 2 2 4 2 3" xfId="11963" xr:uid="{EFCA38BA-E504-4E2C-A9DE-68A15F3D9373}"/>
    <cellStyle name="Normal 4 6 2 2 4 3" xfId="5597" xr:uid="{00000000-0005-0000-0000-000020160000}"/>
    <cellStyle name="Normal 4 6 2 2 4 3 2" xfId="14036" xr:uid="{39795CC4-B4BE-4F36-AD17-26F0BE70B20D}"/>
    <cellStyle name="Normal 4 6 2 2 4 4" xfId="9818" xr:uid="{205A4A4E-E9C7-404A-936D-A951B9B9DE84}"/>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2A38381B-8B1E-48E5-A166-941D80C14838}"/>
    <cellStyle name="Normal 4 6 2 2 5 2 3" xfId="12376" xr:uid="{EA9BC78D-56EB-4BE7-802E-1CD1D6D81EC2}"/>
    <cellStyle name="Normal 4 6 2 2 5 3" xfId="6010" xr:uid="{00000000-0005-0000-0000-000024160000}"/>
    <cellStyle name="Normal 4 6 2 2 5 3 2" xfId="14449" xr:uid="{4B10A002-6A28-4BFA-8CDF-4A5D71511BA0}"/>
    <cellStyle name="Normal 4 6 2 2 5 4" xfId="10231" xr:uid="{EDC6905F-8F28-4C66-B87E-767C0A67ACF2}"/>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48376AD0-54E5-4F47-8B44-4F472693A826}"/>
    <cellStyle name="Normal 4 6 2 2 6 2 3" xfId="12789" xr:uid="{E491566E-E7C6-4A2F-9C0D-63A94E448B62}"/>
    <cellStyle name="Normal 4 6 2 2 6 3" xfId="6423" xr:uid="{00000000-0005-0000-0000-000028160000}"/>
    <cellStyle name="Normal 4 6 2 2 6 3 2" xfId="14862" xr:uid="{839DBEA0-8339-43E1-A786-8BFCA3A46D99}"/>
    <cellStyle name="Normal 4 6 2 2 6 4" xfId="10644" xr:uid="{A4B75892-DC70-4085-B4C5-CD84103D3027}"/>
    <cellStyle name="Normal 4 6 2 2 7" xfId="2552" xr:uid="{00000000-0005-0000-0000-000029160000}"/>
    <cellStyle name="Normal 4 6 2 2 7 2" xfId="6836" xr:uid="{00000000-0005-0000-0000-00002A160000}"/>
    <cellStyle name="Normal 4 6 2 2 7 2 2" xfId="15275" xr:uid="{95E2D6AA-352E-4681-8043-51FFA373F4AD}"/>
    <cellStyle name="Normal 4 6 2 2 7 3" xfId="11057" xr:uid="{4392BCEF-4995-4AD7-A747-F41F42849499}"/>
    <cellStyle name="Normal 4 6 2 2 8" xfId="4771" xr:uid="{00000000-0005-0000-0000-00002B160000}"/>
    <cellStyle name="Normal 4 6 2 2 8 2" xfId="13210" xr:uid="{C46761D6-08D9-40E0-98E1-C9D0FE395EEF}"/>
    <cellStyle name="Normal 4 6 2 2 9" xfId="8992" xr:uid="{9D78060D-6B35-40AD-A58A-AB8C0A8DAB0F}"/>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B174E430-E1BF-4636-9037-0C66FE1C1389}"/>
    <cellStyle name="Normal 4 6 2 3 2 2 3" xfId="11552" xr:uid="{2EF203EA-0E2B-43D4-900D-9E58E1F8F684}"/>
    <cellStyle name="Normal 4 6 2 3 2 3" xfId="5186" xr:uid="{00000000-0005-0000-0000-000030160000}"/>
    <cellStyle name="Normal 4 6 2 3 2 3 2" xfId="13625" xr:uid="{E4CDFB7D-878C-4134-9DC9-549A6835F471}"/>
    <cellStyle name="Normal 4 6 2 3 2 4" xfId="9407" xr:uid="{BC07D7BB-7322-4956-B657-E3C3D90D4437}"/>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2C7EEC3B-7F46-4EC0-8E1A-5B5F63DA8516}"/>
    <cellStyle name="Normal 4 6 2 3 3 2 3" xfId="11965" xr:uid="{DCA0D0B1-C1A2-4700-A8E9-991B16A3A183}"/>
    <cellStyle name="Normal 4 6 2 3 3 3" xfId="5599" xr:uid="{00000000-0005-0000-0000-000034160000}"/>
    <cellStyle name="Normal 4 6 2 3 3 3 2" xfId="14038" xr:uid="{73F777A7-FF29-45BF-B296-07E12F26EED4}"/>
    <cellStyle name="Normal 4 6 2 3 3 4" xfId="9820" xr:uid="{06FCAF6A-C77F-4A27-B352-975D69377FC6}"/>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81DAC1E4-B7B7-4EE6-B0BF-67E68F1FB78B}"/>
    <cellStyle name="Normal 4 6 2 3 4 2 3" xfId="12378" xr:uid="{E5087302-BFF9-403F-816A-6D30840E239B}"/>
    <cellStyle name="Normal 4 6 2 3 4 3" xfId="6012" xr:uid="{00000000-0005-0000-0000-000038160000}"/>
    <cellStyle name="Normal 4 6 2 3 4 3 2" xfId="14451" xr:uid="{A23B8DCE-DD89-4ACA-AED8-7BAB679EEE47}"/>
    <cellStyle name="Normal 4 6 2 3 4 4" xfId="10233" xr:uid="{56CAFDCF-BA4B-451F-B32D-3ED9E61914F0}"/>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67428821-9D1D-4612-9910-CCF3AFA89F96}"/>
    <cellStyle name="Normal 4 6 2 3 5 2 3" xfId="12791" xr:uid="{92D3C35B-F7F7-43EC-89F6-9B9F24B4BC20}"/>
    <cellStyle name="Normal 4 6 2 3 5 3" xfId="6425" xr:uid="{00000000-0005-0000-0000-00003C160000}"/>
    <cellStyle name="Normal 4 6 2 3 5 3 2" xfId="14864" xr:uid="{27D1644D-400E-440B-8491-965BF84135BE}"/>
    <cellStyle name="Normal 4 6 2 3 5 4" xfId="10646" xr:uid="{B8D6E78A-D935-4A87-823D-34C7EA72ABBB}"/>
    <cellStyle name="Normal 4 6 2 3 6" xfId="2554" xr:uid="{00000000-0005-0000-0000-00003D160000}"/>
    <cellStyle name="Normal 4 6 2 3 6 2" xfId="6838" xr:uid="{00000000-0005-0000-0000-00003E160000}"/>
    <cellStyle name="Normal 4 6 2 3 6 2 2" xfId="15277" xr:uid="{5BB8F44A-02F5-4016-ADD5-0BF1FB39A11C}"/>
    <cellStyle name="Normal 4 6 2 3 6 3" xfId="11059" xr:uid="{F5060387-BF8F-44E4-A0BD-C9393A8F7B06}"/>
    <cellStyle name="Normal 4 6 2 3 7" xfId="4773" xr:uid="{00000000-0005-0000-0000-00003F160000}"/>
    <cellStyle name="Normal 4 6 2 3 7 2" xfId="13212" xr:uid="{C4EC9A2F-ADE7-4CAB-AFA3-6DCDE79BF8F5}"/>
    <cellStyle name="Normal 4 6 2 3 8" xfId="8994" xr:uid="{284DE4DA-ED67-41F3-9136-7FA3C3E7DA67}"/>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3C4AD6A3-E167-4CAF-83D5-4DCD19316B23}"/>
    <cellStyle name="Normal 4 6 2 4 2 3" xfId="11549" xr:uid="{273ED30A-6FC1-43E1-BDA9-3AC3441B9FE3}"/>
    <cellStyle name="Normal 4 6 2 4 3" xfId="5183" xr:uid="{00000000-0005-0000-0000-000043160000}"/>
    <cellStyle name="Normal 4 6 2 4 3 2" xfId="13622" xr:uid="{4CFA3D02-1D90-4D17-94BA-5D11ED5EAE7D}"/>
    <cellStyle name="Normal 4 6 2 4 4" xfId="9404" xr:uid="{EB3F48A9-71D2-4FB2-937E-1FA0D8E3456A}"/>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9F38AE18-43F4-4739-93AA-F0779DBA4B00}"/>
    <cellStyle name="Normal 4 6 2 5 2 3" xfId="11962" xr:uid="{787B6A1A-995E-4573-8B52-D8B1639760DE}"/>
    <cellStyle name="Normal 4 6 2 5 3" xfId="5596" xr:uid="{00000000-0005-0000-0000-000047160000}"/>
    <cellStyle name="Normal 4 6 2 5 3 2" xfId="14035" xr:uid="{AA7AE44B-844F-4672-B6F1-2AD0CD69A1D9}"/>
    <cellStyle name="Normal 4 6 2 5 4" xfId="9817" xr:uid="{F46D64F7-F7AB-4F8A-8F49-AD98BF49E440}"/>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89A18650-0C99-49AD-A29C-4492F6E4767D}"/>
    <cellStyle name="Normal 4 6 2 6 2 3" xfId="12375" xr:uid="{62E2E9E7-1E4B-4367-A34F-D294D5BF20BE}"/>
    <cellStyle name="Normal 4 6 2 6 3" xfId="6009" xr:uid="{00000000-0005-0000-0000-00004B160000}"/>
    <cellStyle name="Normal 4 6 2 6 3 2" xfId="14448" xr:uid="{C5D06199-DD01-4766-A31A-482DAEBD68D8}"/>
    <cellStyle name="Normal 4 6 2 6 4" xfId="10230" xr:uid="{4707B54A-8E27-4F6D-A0A6-55D3925A214E}"/>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62960A5F-3526-4DB1-B2AA-0842ED542438}"/>
    <cellStyle name="Normal 4 6 2 7 2 3" xfId="12788" xr:uid="{5D9653BB-7873-46F2-B713-3452B5BD0E05}"/>
    <cellStyle name="Normal 4 6 2 7 3" xfId="6422" xr:uid="{00000000-0005-0000-0000-00004F160000}"/>
    <cellStyle name="Normal 4 6 2 7 3 2" xfId="14861" xr:uid="{EE92AD5D-7993-458A-8BAD-AB989CC48CF4}"/>
    <cellStyle name="Normal 4 6 2 7 4" xfId="10643" xr:uid="{3FFF6DC1-2614-4B0B-9E0C-FC306129365B}"/>
    <cellStyle name="Normal 4 6 2 8" xfId="2551" xr:uid="{00000000-0005-0000-0000-000050160000}"/>
    <cellStyle name="Normal 4 6 2 8 2" xfId="6835" xr:uid="{00000000-0005-0000-0000-000051160000}"/>
    <cellStyle name="Normal 4 6 2 8 2 2" xfId="15274" xr:uid="{84C11C5F-7397-4E9A-BB0A-BCADE371381A}"/>
    <cellStyle name="Normal 4 6 2 8 3" xfId="11056" xr:uid="{880D407A-319F-4E82-B399-363472C29327}"/>
    <cellStyle name="Normal 4 6 2 9" xfId="4770" xr:uid="{00000000-0005-0000-0000-000052160000}"/>
    <cellStyle name="Normal 4 6 2 9 2" xfId="13209" xr:uid="{FBA1939A-48BF-4588-A3AC-E566045A16D3}"/>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38FB3BCB-9910-4779-A136-5F27BFEF6CA5}"/>
    <cellStyle name="Normal 4 6 3 2 2 2 3" xfId="11554" xr:uid="{F74225B5-F1E2-4233-B928-53589F7EFF8B}"/>
    <cellStyle name="Normal 4 6 3 2 2 3" xfId="5188" xr:uid="{00000000-0005-0000-0000-000058160000}"/>
    <cellStyle name="Normal 4 6 3 2 2 3 2" xfId="13627" xr:uid="{FE779BE1-1E5C-4C43-BB7E-D694F2FBE4C8}"/>
    <cellStyle name="Normal 4 6 3 2 2 4" xfId="9409" xr:uid="{9837B103-7A0F-4E4E-A05F-185F6CBAAD5D}"/>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3825F30D-A90D-40F9-A439-52231C475DDE}"/>
    <cellStyle name="Normal 4 6 3 2 3 2 3" xfId="11967" xr:uid="{C9D8DE82-D4C9-42D7-8FF2-4D1BF891F926}"/>
    <cellStyle name="Normal 4 6 3 2 3 3" xfId="5601" xr:uid="{00000000-0005-0000-0000-00005C160000}"/>
    <cellStyle name="Normal 4 6 3 2 3 3 2" xfId="14040" xr:uid="{1BEB0718-A25F-47E8-AC96-C79DBDF36BE5}"/>
    <cellStyle name="Normal 4 6 3 2 3 4" xfId="9822" xr:uid="{DCEAEA09-ED69-4668-8BAE-1898A9A1B2E9}"/>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AFD7C6E5-E084-4633-9B9B-F5DC3802482C}"/>
    <cellStyle name="Normal 4 6 3 2 4 2 3" xfId="12380" xr:uid="{848B1FC7-40BC-4CD0-A9C4-7CD15F32D751}"/>
    <cellStyle name="Normal 4 6 3 2 4 3" xfId="6014" xr:uid="{00000000-0005-0000-0000-000060160000}"/>
    <cellStyle name="Normal 4 6 3 2 4 3 2" xfId="14453" xr:uid="{058E7297-07FC-4D27-AF44-57E7592B47CF}"/>
    <cellStyle name="Normal 4 6 3 2 4 4" xfId="10235" xr:uid="{5CCAFCA6-DE79-4A76-930A-9F7B80BCA178}"/>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80A53F18-A954-4C5F-9CBA-7791524B3626}"/>
    <cellStyle name="Normal 4 6 3 2 5 2 3" xfId="12793" xr:uid="{BF851730-F0CC-4E95-AF7A-AF6F22D30AB4}"/>
    <cellStyle name="Normal 4 6 3 2 5 3" xfId="6427" xr:uid="{00000000-0005-0000-0000-000064160000}"/>
    <cellStyle name="Normal 4 6 3 2 5 3 2" xfId="14866" xr:uid="{F857E50E-F83B-49B4-8FA8-7C584CF5E4A2}"/>
    <cellStyle name="Normal 4 6 3 2 5 4" xfId="10648" xr:uid="{709C3BC2-B41E-4299-821D-8EEED39C4626}"/>
    <cellStyle name="Normal 4 6 3 2 6" xfId="2556" xr:uid="{00000000-0005-0000-0000-000065160000}"/>
    <cellStyle name="Normal 4 6 3 2 6 2" xfId="6840" xr:uid="{00000000-0005-0000-0000-000066160000}"/>
    <cellStyle name="Normal 4 6 3 2 6 2 2" xfId="15279" xr:uid="{4348DF0E-05EB-49B8-9D6F-719D915F3CB6}"/>
    <cellStyle name="Normal 4 6 3 2 6 3" xfId="11061" xr:uid="{7B60B822-988A-45B1-AFC5-7152B7B8ABB4}"/>
    <cellStyle name="Normal 4 6 3 2 7" xfId="4775" xr:uid="{00000000-0005-0000-0000-000067160000}"/>
    <cellStyle name="Normal 4 6 3 2 7 2" xfId="13214" xr:uid="{ABE61D4B-8B1A-4C9E-8792-FE343341AD30}"/>
    <cellStyle name="Normal 4 6 3 2 8" xfId="8996" xr:uid="{3E1FE3C5-7D80-470B-8296-14416022922A}"/>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1614F61A-40D2-4AF7-90A1-115EC90363F2}"/>
    <cellStyle name="Normal 4 6 3 3 2 3" xfId="11553" xr:uid="{0D11867E-A647-47DF-AF60-C7A6101C1959}"/>
    <cellStyle name="Normal 4 6 3 3 3" xfId="5187" xr:uid="{00000000-0005-0000-0000-00006B160000}"/>
    <cellStyle name="Normal 4 6 3 3 3 2" xfId="13626" xr:uid="{5D2DE068-182A-4BA7-9997-C31402E51B85}"/>
    <cellStyle name="Normal 4 6 3 3 4" xfId="9408" xr:uid="{C9F1CBE8-7968-4DDC-933B-20F42AA96E66}"/>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F379A0F1-3D7F-4A60-B8E2-571C57DDF86B}"/>
    <cellStyle name="Normal 4 6 3 4 2 3" xfId="11966" xr:uid="{00C4A4D8-58D6-4BFE-8102-51A00646A542}"/>
    <cellStyle name="Normal 4 6 3 4 3" xfId="5600" xr:uid="{00000000-0005-0000-0000-00006F160000}"/>
    <cellStyle name="Normal 4 6 3 4 3 2" xfId="14039" xr:uid="{61F2AB23-631D-4068-9260-EDC66B97EFAA}"/>
    <cellStyle name="Normal 4 6 3 4 4" xfId="9821" xr:uid="{131F5209-D8F5-432A-95F4-EEBD071DEF20}"/>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E266CE1B-D0C6-459C-8A3D-DAC3F9C0D768}"/>
    <cellStyle name="Normal 4 6 3 5 2 3" xfId="12379" xr:uid="{66FDC6E5-8264-4DFC-9BE4-F40018A1E38C}"/>
    <cellStyle name="Normal 4 6 3 5 3" xfId="6013" xr:uid="{00000000-0005-0000-0000-000073160000}"/>
    <cellStyle name="Normal 4 6 3 5 3 2" xfId="14452" xr:uid="{13A2C996-E8E9-4B34-B6FB-3237340F6E64}"/>
    <cellStyle name="Normal 4 6 3 5 4" xfId="10234" xr:uid="{71AB3947-0014-4929-A840-6512EC8FDE50}"/>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0BAC58FC-8B5E-4891-8B2A-5C66A948C812}"/>
    <cellStyle name="Normal 4 6 3 6 2 3" xfId="12792" xr:uid="{5450F51A-AF1C-4AC4-8CB2-5959C1F2C2B9}"/>
    <cellStyle name="Normal 4 6 3 6 3" xfId="6426" xr:uid="{00000000-0005-0000-0000-000077160000}"/>
    <cellStyle name="Normal 4 6 3 6 3 2" xfId="14865" xr:uid="{90B3D004-A40C-4515-9895-BFEF2F373EA7}"/>
    <cellStyle name="Normal 4 6 3 6 4" xfId="10647" xr:uid="{18B49645-CCFD-428B-8147-8B3BC83068F4}"/>
    <cellStyle name="Normal 4 6 3 7" xfId="2555" xr:uid="{00000000-0005-0000-0000-000078160000}"/>
    <cellStyle name="Normal 4 6 3 7 2" xfId="6839" xr:uid="{00000000-0005-0000-0000-000079160000}"/>
    <cellStyle name="Normal 4 6 3 7 2 2" xfId="15278" xr:uid="{D01C6449-033C-4482-AAF8-FB0A650EC015}"/>
    <cellStyle name="Normal 4 6 3 7 3" xfId="11060" xr:uid="{4A98C557-34A5-4EBE-956A-5B9383FB3F0D}"/>
    <cellStyle name="Normal 4 6 3 8" xfId="4774" xr:uid="{00000000-0005-0000-0000-00007A160000}"/>
    <cellStyle name="Normal 4 6 3 8 2" xfId="13213" xr:uid="{BE5BCBB7-2504-40FB-9EEA-0F91FB5CEED2}"/>
    <cellStyle name="Normal 4 6 3 9" xfId="8995" xr:uid="{B72F0B1D-6D0E-457F-A1C9-1EF2E953E4A3}"/>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ABE51F68-316D-4921-B5DC-923AA5D3F65A}"/>
    <cellStyle name="Normal 4 6 4 2 2 3" xfId="11555" xr:uid="{2BA681E2-054C-4B43-904B-0DA6AED250E1}"/>
    <cellStyle name="Normal 4 6 4 2 3" xfId="5189" xr:uid="{00000000-0005-0000-0000-00007F160000}"/>
    <cellStyle name="Normal 4 6 4 2 3 2" xfId="13628" xr:uid="{E4D19557-3B40-4C2B-A7CC-57EE07D1FB64}"/>
    <cellStyle name="Normal 4 6 4 2 4" xfId="9410" xr:uid="{91BD7A80-3C6E-4DB7-A66D-8C14FC41C9F3}"/>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840940EA-8F47-4669-9BEF-B8961C5E7292}"/>
    <cellStyle name="Normal 4 6 4 3 2 3" xfId="11968" xr:uid="{B2327D73-A8D9-42D8-9933-82B90569F49C}"/>
    <cellStyle name="Normal 4 6 4 3 3" xfId="5602" xr:uid="{00000000-0005-0000-0000-000083160000}"/>
    <cellStyle name="Normal 4 6 4 3 3 2" xfId="14041" xr:uid="{431AFB84-C417-4219-BCD3-61BA6B1E8A10}"/>
    <cellStyle name="Normal 4 6 4 3 4" xfId="9823" xr:uid="{C740F83C-CCD4-470B-AF92-F2DD1FACA82D}"/>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43EAE308-4CA5-412E-AF58-30FCCCBDF2C5}"/>
    <cellStyle name="Normal 4 6 4 4 2 3" xfId="12381" xr:uid="{BBBA720A-9917-477D-B7A4-74600D83683B}"/>
    <cellStyle name="Normal 4 6 4 4 3" xfId="6015" xr:uid="{00000000-0005-0000-0000-000087160000}"/>
    <cellStyle name="Normal 4 6 4 4 3 2" xfId="14454" xr:uid="{292BDD84-BC11-47F1-A7ED-D0E6B220F883}"/>
    <cellStyle name="Normal 4 6 4 4 4" xfId="10236" xr:uid="{784B8E9C-AB66-420F-BED5-46007120DE68}"/>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4B5D6835-677A-420C-9812-A1C3B553999C}"/>
    <cellStyle name="Normal 4 6 4 5 2 3" xfId="12794" xr:uid="{6EA33D6B-8BC8-4528-A314-2A0103AE293E}"/>
    <cellStyle name="Normal 4 6 4 5 3" xfId="6428" xr:uid="{00000000-0005-0000-0000-00008B160000}"/>
    <cellStyle name="Normal 4 6 4 5 3 2" xfId="14867" xr:uid="{025F2F37-79B4-4B2D-A8B3-80202DA38F21}"/>
    <cellStyle name="Normal 4 6 4 5 4" xfId="10649" xr:uid="{6C30B0D4-9E3F-4415-9F91-A3ED4B9E0BB5}"/>
    <cellStyle name="Normal 4 6 4 6" xfId="2557" xr:uid="{00000000-0005-0000-0000-00008C160000}"/>
    <cellStyle name="Normal 4 6 4 6 2" xfId="6841" xr:uid="{00000000-0005-0000-0000-00008D160000}"/>
    <cellStyle name="Normal 4 6 4 6 2 2" xfId="15280" xr:uid="{B01BDD8C-1743-496E-9FE0-02FD30306F0A}"/>
    <cellStyle name="Normal 4 6 4 6 3" xfId="11062" xr:uid="{344FCD59-998C-4CE5-8083-8F37AFB29D51}"/>
    <cellStyle name="Normal 4 6 4 7" xfId="4776" xr:uid="{00000000-0005-0000-0000-00008E160000}"/>
    <cellStyle name="Normal 4 6 4 7 2" xfId="13215" xr:uid="{10EA9F7F-FC09-406D-A398-A9EC968680DF}"/>
    <cellStyle name="Normal 4 6 4 8" xfId="8997" xr:uid="{FC68926A-81D5-4CD0-8D3C-89FA26D1CB26}"/>
    <cellStyle name="Normal 4 6 5" xfId="869" xr:uid="{00000000-0005-0000-0000-00008F160000}"/>
    <cellStyle name="Normal 4 6 5 2" xfId="3104" xr:uid="{00000000-0005-0000-0000-000090160000}"/>
    <cellStyle name="Normal 4 6 5 2 2" xfId="7327" xr:uid="{00000000-0005-0000-0000-000091160000}"/>
    <cellStyle name="Normal 4 6 5 2 2 2" xfId="15766" xr:uid="{09B8472C-9AC4-44BB-A6F0-D4B11D096837}"/>
    <cellStyle name="Normal 4 6 5 2 3" xfId="11548" xr:uid="{6A5A434F-8616-454E-A98E-58176E38C279}"/>
    <cellStyle name="Normal 4 6 5 3" xfId="5182" xr:uid="{00000000-0005-0000-0000-000092160000}"/>
    <cellStyle name="Normal 4 6 5 3 2" xfId="13621" xr:uid="{A2C2CA28-8093-4692-A2E6-58B216A01942}"/>
    <cellStyle name="Normal 4 6 5 4" xfId="9403" xr:uid="{F2B75658-215D-4F49-8C43-3DFCC8448CE2}"/>
    <cellStyle name="Normal 4 6 6" xfId="1287" xr:uid="{00000000-0005-0000-0000-000093160000}"/>
    <cellStyle name="Normal 4 6 6 2" xfId="3517" xr:uid="{00000000-0005-0000-0000-000094160000}"/>
    <cellStyle name="Normal 4 6 6 2 2" xfId="7740" xr:uid="{00000000-0005-0000-0000-000095160000}"/>
    <cellStyle name="Normal 4 6 6 2 2 2" xfId="16179" xr:uid="{BEC6465B-D652-430D-A5D0-967020BB79D2}"/>
    <cellStyle name="Normal 4 6 6 2 3" xfId="11961" xr:uid="{118BEAC7-526E-4305-8E83-697CD82AC455}"/>
    <cellStyle name="Normal 4 6 6 3" xfId="5595" xr:uid="{00000000-0005-0000-0000-000096160000}"/>
    <cellStyle name="Normal 4 6 6 3 2" xfId="14034" xr:uid="{E6494A00-DBA1-4A11-B0A8-80C945FBFA24}"/>
    <cellStyle name="Normal 4 6 6 4" xfId="9816" xr:uid="{CFB63AA7-BAEE-4715-B587-40170513BE7A}"/>
    <cellStyle name="Normal 4 6 7" xfId="1700" xr:uid="{00000000-0005-0000-0000-000097160000}"/>
    <cellStyle name="Normal 4 6 7 2" xfId="3930" xr:uid="{00000000-0005-0000-0000-000098160000}"/>
    <cellStyle name="Normal 4 6 7 2 2" xfId="8153" xr:uid="{00000000-0005-0000-0000-000099160000}"/>
    <cellStyle name="Normal 4 6 7 2 2 2" xfId="16592" xr:uid="{4A863EE0-C3E4-4858-8469-9C96A092433D}"/>
    <cellStyle name="Normal 4 6 7 2 3" xfId="12374" xr:uid="{4BCDB20E-8C5E-40A1-9FD6-79A7164990C4}"/>
    <cellStyle name="Normal 4 6 7 3" xfId="6008" xr:uid="{00000000-0005-0000-0000-00009A160000}"/>
    <cellStyle name="Normal 4 6 7 3 2" xfId="14447" xr:uid="{81FC1779-5287-4318-99F6-630A78AF7D7E}"/>
    <cellStyle name="Normal 4 6 7 4" xfId="10229" xr:uid="{ED65E1A1-DBE4-48C9-8A3D-ACEA2EC38E65}"/>
    <cellStyle name="Normal 4 6 8" xfId="2114" xr:uid="{00000000-0005-0000-0000-00009B160000}"/>
    <cellStyle name="Normal 4 6 8 2" xfId="4343" xr:uid="{00000000-0005-0000-0000-00009C160000}"/>
    <cellStyle name="Normal 4 6 8 2 2" xfId="8566" xr:uid="{00000000-0005-0000-0000-00009D160000}"/>
    <cellStyle name="Normal 4 6 8 2 2 2" xfId="17005" xr:uid="{F3901B84-4677-418D-9823-823A732B134C}"/>
    <cellStyle name="Normal 4 6 8 2 3" xfId="12787" xr:uid="{F8C16FEA-1387-421E-B6AE-BF35EABACCC3}"/>
    <cellStyle name="Normal 4 6 8 3" xfId="6421" xr:uid="{00000000-0005-0000-0000-00009E160000}"/>
    <cellStyle name="Normal 4 6 8 3 2" xfId="14860" xr:uid="{B0FC301D-49A2-43BB-BAC4-A989D09BC8EA}"/>
    <cellStyle name="Normal 4 6 8 4" xfId="10642" xr:uid="{7BC0EEE4-1BD6-4FC6-B41B-160F629290E1}"/>
    <cellStyle name="Normal 4 6 9" xfId="2550" xr:uid="{00000000-0005-0000-0000-00009F160000}"/>
    <cellStyle name="Normal 4 6 9 2" xfId="6834" xr:uid="{00000000-0005-0000-0000-0000A0160000}"/>
    <cellStyle name="Normal 4 6 9 2 2" xfId="15273" xr:uid="{E519C310-3025-45B5-923A-18D5FABE899A}"/>
    <cellStyle name="Normal 4 6 9 3" xfId="11055" xr:uid="{0670A770-F12B-4BF8-B92B-FA258FC61753}"/>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78509193-16D8-4731-B970-2BE0CAABAD13}"/>
    <cellStyle name="Normal 4 7 2 2 2 3" xfId="11557" xr:uid="{2E529E86-CAA6-489E-917A-B4785D2F62DB}"/>
    <cellStyle name="Normal 4 7 2 2 3" xfId="5191" xr:uid="{00000000-0005-0000-0000-0000A6160000}"/>
    <cellStyle name="Normal 4 7 2 2 3 2" xfId="13630" xr:uid="{0BCDA87F-E260-49B3-B13A-1DD3D92BD62E}"/>
    <cellStyle name="Normal 4 7 2 2 4" xfId="9412" xr:uid="{C455881C-7CEF-4649-832A-BD0F2C353644}"/>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076D3C5F-A058-4F72-92AC-FC40B9B3D245}"/>
    <cellStyle name="Normal 4 7 2 3 2 3" xfId="11970" xr:uid="{74E91A55-758B-422C-A7B4-FFF58237A8D5}"/>
    <cellStyle name="Normal 4 7 2 3 3" xfId="5604" xr:uid="{00000000-0005-0000-0000-0000AA160000}"/>
    <cellStyle name="Normal 4 7 2 3 3 2" xfId="14043" xr:uid="{B46FE186-4F5C-4E2E-AA31-A174B88FFBE6}"/>
    <cellStyle name="Normal 4 7 2 3 4" xfId="9825" xr:uid="{CA5971B0-20EF-4430-BE21-812844C1708D}"/>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1E0136EE-C250-4BB3-91AA-6BB6AFF3B814}"/>
    <cellStyle name="Normal 4 7 2 4 2 3" xfId="12383" xr:uid="{676B8366-C3BE-4386-B559-89A53D8493C4}"/>
    <cellStyle name="Normal 4 7 2 4 3" xfId="6017" xr:uid="{00000000-0005-0000-0000-0000AE160000}"/>
    <cellStyle name="Normal 4 7 2 4 3 2" xfId="14456" xr:uid="{514525D9-614E-4DE8-ABA6-7EC9E09CD98E}"/>
    <cellStyle name="Normal 4 7 2 4 4" xfId="10238" xr:uid="{616594D0-9719-412E-B6CC-D79CC79753BB}"/>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8CE68A65-951D-42E6-98B9-07C984871F51}"/>
    <cellStyle name="Normal 4 7 2 5 2 3" xfId="12796" xr:uid="{F6A7A526-DA6C-4729-ADE8-F170B989C869}"/>
    <cellStyle name="Normal 4 7 2 5 3" xfId="6430" xr:uid="{00000000-0005-0000-0000-0000B2160000}"/>
    <cellStyle name="Normal 4 7 2 5 3 2" xfId="14869" xr:uid="{78D61018-8D80-4A6E-8EA9-0810E056028B}"/>
    <cellStyle name="Normal 4 7 2 5 4" xfId="10651" xr:uid="{EF49C751-F38C-4CBA-82D5-24BDEA94E4BF}"/>
    <cellStyle name="Normal 4 7 2 6" xfId="2559" xr:uid="{00000000-0005-0000-0000-0000B3160000}"/>
    <cellStyle name="Normal 4 7 2 6 2" xfId="6843" xr:uid="{00000000-0005-0000-0000-0000B4160000}"/>
    <cellStyle name="Normal 4 7 2 6 2 2" xfId="15282" xr:uid="{5BBAE4F6-B8D7-4280-A380-1F14081A496A}"/>
    <cellStyle name="Normal 4 7 2 6 3" xfId="11064" xr:uid="{26332EBF-106E-41DB-B0C6-485D4648ADC6}"/>
    <cellStyle name="Normal 4 7 2 7" xfId="4778" xr:uid="{00000000-0005-0000-0000-0000B5160000}"/>
    <cellStyle name="Normal 4 7 2 7 2" xfId="13217" xr:uid="{075156C6-4A4C-497E-BF70-9B2ADFD3BC9F}"/>
    <cellStyle name="Normal 4 7 2 8" xfId="8999" xr:uid="{78906A50-48AA-4C39-ACC9-322FD8BB21A9}"/>
    <cellStyle name="Normal 4 7 3" xfId="877" xr:uid="{00000000-0005-0000-0000-0000B6160000}"/>
    <cellStyle name="Normal 4 7 3 2" xfId="3112" xr:uid="{00000000-0005-0000-0000-0000B7160000}"/>
    <cellStyle name="Normal 4 7 3 2 2" xfId="7335" xr:uid="{00000000-0005-0000-0000-0000B8160000}"/>
    <cellStyle name="Normal 4 7 3 2 2 2" xfId="15774" xr:uid="{187DFA0D-F76E-46C4-98C3-ABDC6E3317DB}"/>
    <cellStyle name="Normal 4 7 3 2 3" xfId="11556" xr:uid="{16935716-7890-4097-BC9A-43ABCE7C5E14}"/>
    <cellStyle name="Normal 4 7 3 3" xfId="5190" xr:uid="{00000000-0005-0000-0000-0000B9160000}"/>
    <cellStyle name="Normal 4 7 3 3 2" xfId="13629" xr:uid="{619CA3CD-978D-46B9-BD11-2491A3776139}"/>
    <cellStyle name="Normal 4 7 3 4" xfId="9411" xr:uid="{63D5EA6C-4D69-4566-BD38-F0B353C1F768}"/>
    <cellStyle name="Normal 4 7 4" xfId="1295" xr:uid="{00000000-0005-0000-0000-0000BA160000}"/>
    <cellStyle name="Normal 4 7 4 2" xfId="3525" xr:uid="{00000000-0005-0000-0000-0000BB160000}"/>
    <cellStyle name="Normal 4 7 4 2 2" xfId="7748" xr:uid="{00000000-0005-0000-0000-0000BC160000}"/>
    <cellStyle name="Normal 4 7 4 2 2 2" xfId="16187" xr:uid="{ADB653A3-14CC-4759-88E0-40B6572DAA50}"/>
    <cellStyle name="Normal 4 7 4 2 3" xfId="11969" xr:uid="{A26EEA89-B1A6-487B-A79C-BDFA490AC7B4}"/>
    <cellStyle name="Normal 4 7 4 3" xfId="5603" xr:uid="{00000000-0005-0000-0000-0000BD160000}"/>
    <cellStyle name="Normal 4 7 4 3 2" xfId="14042" xr:uid="{4EB1D951-BBA1-411A-9789-565578A4EF0A}"/>
    <cellStyle name="Normal 4 7 4 4" xfId="9824" xr:uid="{B6FFA81B-0BFC-46EA-BE2D-1FDF2FF83FE0}"/>
    <cellStyle name="Normal 4 7 5" xfId="1708" xr:uid="{00000000-0005-0000-0000-0000BE160000}"/>
    <cellStyle name="Normal 4 7 5 2" xfId="3938" xr:uid="{00000000-0005-0000-0000-0000BF160000}"/>
    <cellStyle name="Normal 4 7 5 2 2" xfId="8161" xr:uid="{00000000-0005-0000-0000-0000C0160000}"/>
    <cellStyle name="Normal 4 7 5 2 2 2" xfId="16600" xr:uid="{FC14B254-151C-41A2-98B6-EE31DA77CFDB}"/>
    <cellStyle name="Normal 4 7 5 2 3" xfId="12382" xr:uid="{724AE5F6-0AAD-4E75-9BF8-1560393E0A7B}"/>
    <cellStyle name="Normal 4 7 5 3" xfId="6016" xr:uid="{00000000-0005-0000-0000-0000C1160000}"/>
    <cellStyle name="Normal 4 7 5 3 2" xfId="14455" xr:uid="{F4ED3679-C07D-4AE0-AB8B-B252E6FDE130}"/>
    <cellStyle name="Normal 4 7 5 4" xfId="10237" xr:uid="{18F6779C-3B50-4E8C-A0FB-2AEFB0F1EB9E}"/>
    <cellStyle name="Normal 4 7 6" xfId="2122" xr:uid="{00000000-0005-0000-0000-0000C2160000}"/>
    <cellStyle name="Normal 4 7 6 2" xfId="4351" xr:uid="{00000000-0005-0000-0000-0000C3160000}"/>
    <cellStyle name="Normal 4 7 6 2 2" xfId="8574" xr:uid="{00000000-0005-0000-0000-0000C4160000}"/>
    <cellStyle name="Normal 4 7 6 2 2 2" xfId="17013" xr:uid="{0A3F6849-3ACA-4E48-A213-380E8DAC0D3D}"/>
    <cellStyle name="Normal 4 7 6 2 3" xfId="12795" xr:uid="{897CE625-9C18-4FA8-AFAC-ADD7928E2340}"/>
    <cellStyle name="Normal 4 7 6 3" xfId="6429" xr:uid="{00000000-0005-0000-0000-0000C5160000}"/>
    <cellStyle name="Normal 4 7 6 3 2" xfId="14868" xr:uid="{752F4C51-C0AD-41A8-99E3-F3DF8BB86824}"/>
    <cellStyle name="Normal 4 7 6 4" xfId="10650" xr:uid="{50BC6808-01F0-42F9-A6BD-77E894B47BA8}"/>
    <cellStyle name="Normal 4 7 7" xfId="2558" xr:uid="{00000000-0005-0000-0000-0000C6160000}"/>
    <cellStyle name="Normal 4 7 7 2" xfId="6842" xr:uid="{00000000-0005-0000-0000-0000C7160000}"/>
    <cellStyle name="Normal 4 7 7 2 2" xfId="15281" xr:uid="{6278C0FA-DF6E-4901-B325-87FBD193DF6E}"/>
    <cellStyle name="Normal 4 7 7 3" xfId="11063" xr:uid="{0EE9666C-C3EC-4DDE-BDA2-D9E561AB0AA1}"/>
    <cellStyle name="Normal 4 7 8" xfId="4777" xr:uid="{00000000-0005-0000-0000-0000C8160000}"/>
    <cellStyle name="Normal 4 7 8 2" xfId="13216" xr:uid="{D6A3BCEA-1C83-4CF1-A9B7-D97518BD5B9E}"/>
    <cellStyle name="Normal 4 7 9" xfId="8998" xr:uid="{4289A9F3-723C-4FA4-B9AB-26BFD1A4DD7A}"/>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41B74753-9BD1-44C6-A751-480E0B19768D}"/>
    <cellStyle name="Normal 4 8 2 2 3" xfId="11558" xr:uid="{8A975837-584D-4AC6-ACAE-ED245F7E350A}"/>
    <cellStyle name="Normal 4 8 2 3" xfId="5192" xr:uid="{00000000-0005-0000-0000-0000CD160000}"/>
    <cellStyle name="Normal 4 8 2 3 2" xfId="13631" xr:uid="{3DEAE97D-A308-4ED2-B099-42AD8D8F98DB}"/>
    <cellStyle name="Normal 4 8 2 4" xfId="9413" xr:uid="{C6B41BF4-C1C9-4991-AB13-2F5F6BCD4452}"/>
    <cellStyle name="Normal 4 8 3" xfId="1297" xr:uid="{00000000-0005-0000-0000-0000CE160000}"/>
    <cellStyle name="Normal 4 8 3 2" xfId="3527" xr:uid="{00000000-0005-0000-0000-0000CF160000}"/>
    <cellStyle name="Normal 4 8 3 2 2" xfId="7750" xr:uid="{00000000-0005-0000-0000-0000D0160000}"/>
    <cellStyle name="Normal 4 8 3 2 2 2" xfId="16189" xr:uid="{264EEBF1-DE22-4DD5-9377-F9BB7912E256}"/>
    <cellStyle name="Normal 4 8 3 2 3" xfId="11971" xr:uid="{04685A46-5A3D-4A0A-88C8-42B0DFBBDC5F}"/>
    <cellStyle name="Normal 4 8 3 3" xfId="5605" xr:uid="{00000000-0005-0000-0000-0000D1160000}"/>
    <cellStyle name="Normal 4 8 3 3 2" xfId="14044" xr:uid="{48B7CF57-8DB0-4D47-B2EF-7604556605C5}"/>
    <cellStyle name="Normal 4 8 3 4" xfId="9826" xr:uid="{D0312C32-D4FB-4730-A331-BE5BB1115ECE}"/>
    <cellStyle name="Normal 4 8 4" xfId="1710" xr:uid="{00000000-0005-0000-0000-0000D2160000}"/>
    <cellStyle name="Normal 4 8 4 2" xfId="3940" xr:uid="{00000000-0005-0000-0000-0000D3160000}"/>
    <cellStyle name="Normal 4 8 4 2 2" xfId="8163" xr:uid="{00000000-0005-0000-0000-0000D4160000}"/>
    <cellStyle name="Normal 4 8 4 2 2 2" xfId="16602" xr:uid="{BD488F7F-CEDF-4FEE-BE9A-C57BAFD8C8E9}"/>
    <cellStyle name="Normal 4 8 4 2 3" xfId="12384" xr:uid="{D646AB68-9E71-4FD6-B37B-2DE36356BBBA}"/>
    <cellStyle name="Normal 4 8 4 3" xfId="6018" xr:uid="{00000000-0005-0000-0000-0000D5160000}"/>
    <cellStyle name="Normal 4 8 4 3 2" xfId="14457" xr:uid="{08D1F449-F4F8-469F-BE06-05FFE932F932}"/>
    <cellStyle name="Normal 4 8 4 4" xfId="10239" xr:uid="{50A69996-4217-419E-ABBE-7B25E034C59D}"/>
    <cellStyle name="Normal 4 8 5" xfId="2124" xr:uid="{00000000-0005-0000-0000-0000D6160000}"/>
    <cellStyle name="Normal 4 8 5 2" xfId="4353" xr:uid="{00000000-0005-0000-0000-0000D7160000}"/>
    <cellStyle name="Normal 4 8 5 2 2" xfId="8576" xr:uid="{00000000-0005-0000-0000-0000D8160000}"/>
    <cellStyle name="Normal 4 8 5 2 2 2" xfId="17015" xr:uid="{07986F80-AAFD-49EB-BC6E-00D343C30890}"/>
    <cellStyle name="Normal 4 8 5 2 3" xfId="12797" xr:uid="{106F50D8-493E-421E-B0C1-47C2C503F484}"/>
    <cellStyle name="Normal 4 8 5 3" xfId="6431" xr:uid="{00000000-0005-0000-0000-0000D9160000}"/>
    <cellStyle name="Normal 4 8 5 3 2" xfId="14870" xr:uid="{A26116CF-1E39-498E-A1BF-63FDEA4FF30C}"/>
    <cellStyle name="Normal 4 8 5 4" xfId="10652" xr:uid="{C47653B4-4AAF-4180-BA4A-81960624D09A}"/>
    <cellStyle name="Normal 4 8 6" xfId="2560" xr:uid="{00000000-0005-0000-0000-0000DA160000}"/>
    <cellStyle name="Normal 4 8 6 2" xfId="6844" xr:uid="{00000000-0005-0000-0000-0000DB160000}"/>
    <cellStyle name="Normal 4 8 6 2 2" xfId="15283" xr:uid="{5FD01068-F84F-47EF-9C57-7D8BFA8698CB}"/>
    <cellStyle name="Normal 4 8 6 3" xfId="11065" xr:uid="{E7470D4D-18D8-4EC3-A3DE-047B0A31FC07}"/>
    <cellStyle name="Normal 4 8 7" xfId="4779" xr:uid="{00000000-0005-0000-0000-0000DC160000}"/>
    <cellStyle name="Normal 4 8 7 2" xfId="13218" xr:uid="{6309E1E6-A0CF-41CA-90D6-2CEE8EE1AF88}"/>
    <cellStyle name="Normal 4 8 8" xfId="9000" xr:uid="{1CE319BC-358C-4F6D-A5A3-0E9EEBA5EA21}"/>
    <cellStyle name="Normal 4 9" xfId="4716" xr:uid="{00000000-0005-0000-0000-0000DD160000}"/>
    <cellStyle name="Normal 4 9 2" xfId="13155" xr:uid="{608B0671-28F0-4FE1-B454-2EE576235271}"/>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A413B4BE-4860-4F24-BF8A-5013F34F01DE}"/>
    <cellStyle name="Normal 5 10 2 3" xfId="12385" xr:uid="{BE21DF92-13E2-47F1-ADAC-87C80FEB5571}"/>
    <cellStyle name="Normal 5 10 3" xfId="6019" xr:uid="{00000000-0005-0000-0000-0000E2160000}"/>
    <cellStyle name="Normal 5 10 3 2" xfId="14458" xr:uid="{8A3E18E8-AC83-450D-BC23-42C29D395846}"/>
    <cellStyle name="Normal 5 10 4" xfId="10240" xr:uid="{800F3ECF-F5FB-4427-9949-18A1C9FE8C00}"/>
    <cellStyle name="Normal 5 11" xfId="2125" xr:uid="{00000000-0005-0000-0000-0000E3160000}"/>
    <cellStyle name="Normal 5 11 2" xfId="4354" xr:uid="{00000000-0005-0000-0000-0000E4160000}"/>
    <cellStyle name="Normal 5 11 2 2" xfId="8577" xr:uid="{00000000-0005-0000-0000-0000E5160000}"/>
    <cellStyle name="Normal 5 11 2 2 2" xfId="17016" xr:uid="{D2430B69-28EB-4D1B-9F86-4F6B8D759C51}"/>
    <cellStyle name="Normal 5 11 2 3" xfId="12798" xr:uid="{8BBF2D27-4070-4DF7-AED3-953B685878F1}"/>
    <cellStyle name="Normal 5 11 3" xfId="6432" xr:uid="{00000000-0005-0000-0000-0000E6160000}"/>
    <cellStyle name="Normal 5 11 3 2" xfId="14871" xr:uid="{38B9B3C0-94DB-4ADE-B54C-8799EE0DF969}"/>
    <cellStyle name="Normal 5 11 4" xfId="10653" xr:uid="{C5C73318-2907-4453-9DFB-0F19387EAAD2}"/>
    <cellStyle name="Normal 5 12" xfId="2561" xr:uid="{00000000-0005-0000-0000-0000E7160000}"/>
    <cellStyle name="Normal 5 12 2" xfId="6845" xr:uid="{00000000-0005-0000-0000-0000E8160000}"/>
    <cellStyle name="Normal 5 12 2 2" xfId="15284" xr:uid="{3F0F7BCC-9515-43B8-BDC3-2D8858A0523F}"/>
    <cellStyle name="Normal 5 12 3" xfId="11066" xr:uid="{56506466-75E2-43F6-9CD2-8E1C1A8ED898}"/>
    <cellStyle name="Normal 5 13" xfId="4780" xr:uid="{00000000-0005-0000-0000-0000E9160000}"/>
    <cellStyle name="Normal 5 13 2" xfId="13219" xr:uid="{4AE1751A-84CC-4B77-AC13-5D75CE5F053A}"/>
    <cellStyle name="Normal 5 14" xfId="9001" xr:uid="{C43611DD-00B3-4996-A8D8-7CA72FF239CB}"/>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8BFF48E5-9F33-4255-97FE-4CEDFC48C677}"/>
    <cellStyle name="Normal 5 2 10 2 3" xfId="12799" xr:uid="{75E2217A-CF06-40F0-8922-B5E678A3B133}"/>
    <cellStyle name="Normal 5 2 10 3" xfId="6433" xr:uid="{00000000-0005-0000-0000-0000EE160000}"/>
    <cellStyle name="Normal 5 2 10 3 2" xfId="14872" xr:uid="{845F0BDE-3969-4AD2-9E01-245F8C5FDE09}"/>
    <cellStyle name="Normal 5 2 10 4" xfId="10654" xr:uid="{971D223D-DC79-406B-8B45-7FB141ADC71B}"/>
    <cellStyle name="Normal 5 2 11" xfId="2562" xr:uid="{00000000-0005-0000-0000-0000EF160000}"/>
    <cellStyle name="Normal 5 2 11 2" xfId="6846" xr:uid="{00000000-0005-0000-0000-0000F0160000}"/>
    <cellStyle name="Normal 5 2 11 2 2" xfId="15285" xr:uid="{18250100-D042-441D-AB82-488728C33AF0}"/>
    <cellStyle name="Normal 5 2 11 3" xfId="11067" xr:uid="{6D76CE4A-FBDC-44B3-A45B-5C04DBFCDA53}"/>
    <cellStyle name="Normal 5 2 12" xfId="4781" xr:uid="{00000000-0005-0000-0000-0000F1160000}"/>
    <cellStyle name="Normal 5 2 12 2" xfId="13220" xr:uid="{6E9A8290-20F1-46A6-ADDC-9C0B647D0760}"/>
    <cellStyle name="Normal 5 2 13" xfId="9002" xr:uid="{EA21732C-CDCD-4BE6-A32A-97AA4C766BAF}"/>
    <cellStyle name="Normal 5 2 2" xfId="408" xr:uid="{00000000-0005-0000-0000-0000F2160000}"/>
    <cellStyle name="Normal 5 2 2 10" xfId="2563" xr:uid="{00000000-0005-0000-0000-0000F3160000}"/>
    <cellStyle name="Normal 5 2 2 10 2" xfId="6847" xr:uid="{00000000-0005-0000-0000-0000F4160000}"/>
    <cellStyle name="Normal 5 2 2 10 2 2" xfId="15286" xr:uid="{7BEE005D-0555-4F67-8B47-ECA81883E4DD}"/>
    <cellStyle name="Normal 5 2 2 10 3" xfId="11068" xr:uid="{DCFBE8A0-792E-437B-8FF6-A30930B4DE62}"/>
    <cellStyle name="Normal 5 2 2 11" xfId="4782" xr:uid="{00000000-0005-0000-0000-0000F5160000}"/>
    <cellStyle name="Normal 5 2 2 11 2" xfId="13221" xr:uid="{E240F5F5-88E2-44FA-9213-ABB7AEC93EC4}"/>
    <cellStyle name="Normal 5 2 2 12" xfId="9003" xr:uid="{20762E2A-F0EC-4C5F-B9C4-0B7B6EC8F2DE}"/>
    <cellStyle name="Normal 5 2 2 2" xfId="409" xr:uid="{00000000-0005-0000-0000-0000F6160000}"/>
    <cellStyle name="Normal 5 2 2 2 10" xfId="4783" xr:uid="{00000000-0005-0000-0000-0000F7160000}"/>
    <cellStyle name="Normal 5 2 2 2 10 2" xfId="13222" xr:uid="{39C1219F-030B-4E78-A7D0-4AFB1637139B}"/>
    <cellStyle name="Normal 5 2 2 2 11" xfId="9004" xr:uid="{5A9DD50C-50D5-4C93-84E8-65B4BEA3788C}"/>
    <cellStyle name="Normal 5 2 2 2 2" xfId="410" xr:uid="{00000000-0005-0000-0000-0000F8160000}"/>
    <cellStyle name="Normal 5 2 2 2 2 10" xfId="9005" xr:uid="{6D319798-A9D2-4D76-A803-2CA85F1BDB33}"/>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293A57E3-8FB6-4D00-A877-FB5C6F719863}"/>
    <cellStyle name="Normal 5 2 2 2 2 2 2 2 2 3" xfId="11565" xr:uid="{E095E40E-4E3B-40E8-9BF5-ABA5F869CF1B}"/>
    <cellStyle name="Normal 5 2 2 2 2 2 2 2 3" xfId="5199" xr:uid="{00000000-0005-0000-0000-0000FE160000}"/>
    <cellStyle name="Normal 5 2 2 2 2 2 2 2 3 2" xfId="13638" xr:uid="{B1DC73D1-0599-40F3-8E24-0302713C77B9}"/>
    <cellStyle name="Normal 5 2 2 2 2 2 2 2 4" xfId="9420" xr:uid="{53E8AC8B-9E02-4DBA-9B0E-662BC4DD374C}"/>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E4F3ED1A-C906-432E-906F-BC26C00BF7FA}"/>
    <cellStyle name="Normal 5 2 2 2 2 2 2 3 2 3" xfId="11978" xr:uid="{1701D30F-CE21-48B5-B0CD-8AA140937B36}"/>
    <cellStyle name="Normal 5 2 2 2 2 2 2 3 3" xfId="5612" xr:uid="{00000000-0005-0000-0000-000002170000}"/>
    <cellStyle name="Normal 5 2 2 2 2 2 2 3 3 2" xfId="14051" xr:uid="{B39B78A1-1E41-4140-AB43-0D3BB993CAB9}"/>
    <cellStyle name="Normal 5 2 2 2 2 2 2 3 4" xfId="9833" xr:uid="{3BEC365F-513B-4E2E-A7FC-F80FE8F12E51}"/>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B20F5CBC-9D85-42E1-BBF4-4C2877E1E762}"/>
    <cellStyle name="Normal 5 2 2 2 2 2 2 4 2 3" xfId="12391" xr:uid="{119132F4-A666-4E1D-B8B7-E71C58BA1B38}"/>
    <cellStyle name="Normal 5 2 2 2 2 2 2 4 3" xfId="6025" xr:uid="{00000000-0005-0000-0000-000006170000}"/>
    <cellStyle name="Normal 5 2 2 2 2 2 2 4 3 2" xfId="14464" xr:uid="{3ED422C1-78D4-46EB-BEF3-F853ED0B4407}"/>
    <cellStyle name="Normal 5 2 2 2 2 2 2 4 4" xfId="10246" xr:uid="{D7D4789B-CDA4-4715-95CC-DADB7632941E}"/>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BE0B82CF-A34E-4213-98E4-A5555B83993A}"/>
    <cellStyle name="Normal 5 2 2 2 2 2 2 5 2 3" xfId="12804" xr:uid="{83865D69-1B28-440B-912E-15F417E05AAA}"/>
    <cellStyle name="Normal 5 2 2 2 2 2 2 5 3" xfId="6438" xr:uid="{00000000-0005-0000-0000-00000A170000}"/>
    <cellStyle name="Normal 5 2 2 2 2 2 2 5 3 2" xfId="14877" xr:uid="{2CD5DE38-C22F-4678-9188-635D775AC682}"/>
    <cellStyle name="Normal 5 2 2 2 2 2 2 5 4" xfId="10659" xr:uid="{CFF3F08E-5D9D-4ACD-B085-5D612E10DD27}"/>
    <cellStyle name="Normal 5 2 2 2 2 2 2 6" xfId="2567" xr:uid="{00000000-0005-0000-0000-00000B170000}"/>
    <cellStyle name="Normal 5 2 2 2 2 2 2 6 2" xfId="6851" xr:uid="{00000000-0005-0000-0000-00000C170000}"/>
    <cellStyle name="Normal 5 2 2 2 2 2 2 6 2 2" xfId="15290" xr:uid="{68819778-6E54-493C-939C-E7BFE58F052F}"/>
    <cellStyle name="Normal 5 2 2 2 2 2 2 6 3" xfId="11072" xr:uid="{9890E747-5DC2-479B-B60D-66EAAB833091}"/>
    <cellStyle name="Normal 5 2 2 2 2 2 2 7" xfId="4786" xr:uid="{00000000-0005-0000-0000-00000D170000}"/>
    <cellStyle name="Normal 5 2 2 2 2 2 2 7 2" xfId="13225" xr:uid="{026D2FA1-CE91-4CCB-BBBF-B7913EC2CA6F}"/>
    <cellStyle name="Normal 5 2 2 2 2 2 2 8" xfId="9007" xr:uid="{7D2753B6-F0C9-406F-B0A8-69F460769274}"/>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77C408CD-322B-4240-95B7-287DF0083FE0}"/>
    <cellStyle name="Normal 5 2 2 2 2 2 3 2 3" xfId="11564" xr:uid="{92CB5329-0623-4465-9F84-44E465715284}"/>
    <cellStyle name="Normal 5 2 2 2 2 2 3 3" xfId="5198" xr:uid="{00000000-0005-0000-0000-000011170000}"/>
    <cellStyle name="Normal 5 2 2 2 2 2 3 3 2" xfId="13637" xr:uid="{8A14E64B-BA97-403E-9FFD-95E44CF57588}"/>
    <cellStyle name="Normal 5 2 2 2 2 2 3 4" xfId="9419" xr:uid="{1F20910A-D642-4EAA-8162-8E566DA9B8F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5F60469D-68B3-4378-93C1-2FF1FC9E797A}"/>
    <cellStyle name="Normal 5 2 2 2 2 2 4 2 3" xfId="11977" xr:uid="{6BD7260B-56DD-4C37-8600-26C4778095F2}"/>
    <cellStyle name="Normal 5 2 2 2 2 2 4 3" xfId="5611" xr:uid="{00000000-0005-0000-0000-000015170000}"/>
    <cellStyle name="Normal 5 2 2 2 2 2 4 3 2" xfId="14050" xr:uid="{78E3BF56-510A-46BE-A65F-3690A0BABA5F}"/>
    <cellStyle name="Normal 5 2 2 2 2 2 4 4" xfId="9832" xr:uid="{6642905B-F1BA-4F87-8639-2F6539F2EFEE}"/>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EDFF346E-238A-4233-B34D-28548B1E2A9F}"/>
    <cellStyle name="Normal 5 2 2 2 2 2 5 2 3" xfId="12390" xr:uid="{B6866385-14C2-4242-9EB6-3AB13D5D3D77}"/>
    <cellStyle name="Normal 5 2 2 2 2 2 5 3" xfId="6024" xr:uid="{00000000-0005-0000-0000-000019170000}"/>
    <cellStyle name="Normal 5 2 2 2 2 2 5 3 2" xfId="14463" xr:uid="{21213F23-FF7A-4215-9E56-15430ED2B4C9}"/>
    <cellStyle name="Normal 5 2 2 2 2 2 5 4" xfId="10245" xr:uid="{EC068028-AD00-4452-B12A-62E2678C845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C9B8CE9E-9D20-4F94-A89B-2220C32A0F83}"/>
    <cellStyle name="Normal 5 2 2 2 2 2 6 2 3" xfId="12803" xr:uid="{F4A107D2-5AD9-40C7-88C1-37EEF3E39E20}"/>
    <cellStyle name="Normal 5 2 2 2 2 2 6 3" xfId="6437" xr:uid="{00000000-0005-0000-0000-00001D170000}"/>
    <cellStyle name="Normal 5 2 2 2 2 2 6 3 2" xfId="14876" xr:uid="{3ECDF145-9D8C-4BA7-AA18-29E75E4B9736}"/>
    <cellStyle name="Normal 5 2 2 2 2 2 6 4" xfId="10658" xr:uid="{25656836-BBE0-46B7-B4B3-F0852B33C1C1}"/>
    <cellStyle name="Normal 5 2 2 2 2 2 7" xfId="2566" xr:uid="{00000000-0005-0000-0000-00001E170000}"/>
    <cellStyle name="Normal 5 2 2 2 2 2 7 2" xfId="6850" xr:uid="{00000000-0005-0000-0000-00001F170000}"/>
    <cellStyle name="Normal 5 2 2 2 2 2 7 2 2" xfId="15289" xr:uid="{FF6E99F3-C94C-4468-887E-9077B6F7CA42}"/>
    <cellStyle name="Normal 5 2 2 2 2 2 7 3" xfId="11071" xr:uid="{3683A7F0-A3AF-4E6C-B44C-FA9D4828ABB3}"/>
    <cellStyle name="Normal 5 2 2 2 2 2 8" xfId="4785" xr:uid="{00000000-0005-0000-0000-000020170000}"/>
    <cellStyle name="Normal 5 2 2 2 2 2 8 2" xfId="13224" xr:uid="{8B9C7244-08A3-4F7B-86E7-DA7B03076985}"/>
    <cellStyle name="Normal 5 2 2 2 2 2 9" xfId="9006" xr:uid="{49C75FF5-1F3A-4B58-9AA6-7B237670AA4B}"/>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6D3C22C1-CFEA-431C-A737-FAC72AF78D57}"/>
    <cellStyle name="Normal 5 2 2 2 2 3 2 2 3" xfId="11566" xr:uid="{7E00FBBF-6160-4257-9241-25712D9C6A26}"/>
    <cellStyle name="Normal 5 2 2 2 2 3 2 3" xfId="5200" xr:uid="{00000000-0005-0000-0000-000025170000}"/>
    <cellStyle name="Normal 5 2 2 2 2 3 2 3 2" xfId="13639" xr:uid="{ED4C4E78-3C58-4CC9-B43E-03B956732B52}"/>
    <cellStyle name="Normal 5 2 2 2 2 3 2 4" xfId="9421" xr:uid="{3282B4E7-13A2-46F0-B846-FFF99ABD717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EA936DED-E41F-44BF-9E9B-C8CB37A3A1B0}"/>
    <cellStyle name="Normal 5 2 2 2 2 3 3 2 3" xfId="11979" xr:uid="{9DD2CA05-AA43-4CCC-8614-6788672762E5}"/>
    <cellStyle name="Normal 5 2 2 2 2 3 3 3" xfId="5613" xr:uid="{00000000-0005-0000-0000-000029170000}"/>
    <cellStyle name="Normal 5 2 2 2 2 3 3 3 2" xfId="14052" xr:uid="{2C7DEC4F-8DDE-4266-8BFD-573C9D9ABDC2}"/>
    <cellStyle name="Normal 5 2 2 2 2 3 3 4" xfId="9834" xr:uid="{4F6928D2-09D4-48EE-96A4-AE9D3F41F462}"/>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7E3BB346-2CDE-4F8D-B98C-E116A6368472}"/>
    <cellStyle name="Normal 5 2 2 2 2 3 4 2 3" xfId="12392" xr:uid="{AC9655F2-ACEB-43B1-84A8-950314C85A63}"/>
    <cellStyle name="Normal 5 2 2 2 2 3 4 3" xfId="6026" xr:uid="{00000000-0005-0000-0000-00002D170000}"/>
    <cellStyle name="Normal 5 2 2 2 2 3 4 3 2" xfId="14465" xr:uid="{4A525B1B-09F1-4DF9-BD71-308A602AFDAA}"/>
    <cellStyle name="Normal 5 2 2 2 2 3 4 4" xfId="10247" xr:uid="{19E51B21-E0FB-4984-90DB-5B74D55EB31E}"/>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B255E068-8D15-4B2A-8332-3DA314FCB62F}"/>
    <cellStyle name="Normal 5 2 2 2 2 3 5 2 3" xfId="12805" xr:uid="{A78B4071-F4C3-46CC-8C6E-EC0EA94B34E1}"/>
    <cellStyle name="Normal 5 2 2 2 2 3 5 3" xfId="6439" xr:uid="{00000000-0005-0000-0000-000031170000}"/>
    <cellStyle name="Normal 5 2 2 2 2 3 5 3 2" xfId="14878" xr:uid="{E046438B-E9B4-48B9-B6A5-21A50B360BB4}"/>
    <cellStyle name="Normal 5 2 2 2 2 3 5 4" xfId="10660" xr:uid="{2F9A9990-5745-430A-BA7F-C6D3484C3A2E}"/>
    <cellStyle name="Normal 5 2 2 2 2 3 6" xfId="2568" xr:uid="{00000000-0005-0000-0000-000032170000}"/>
    <cellStyle name="Normal 5 2 2 2 2 3 6 2" xfId="6852" xr:uid="{00000000-0005-0000-0000-000033170000}"/>
    <cellStyle name="Normal 5 2 2 2 2 3 6 2 2" xfId="15291" xr:uid="{F2731F8E-523B-4D9A-8631-D4AD9C710399}"/>
    <cellStyle name="Normal 5 2 2 2 2 3 6 3" xfId="11073" xr:uid="{9153F465-EF9B-4DD4-80F3-BCA6DF595BB9}"/>
    <cellStyle name="Normal 5 2 2 2 2 3 7" xfId="4787" xr:uid="{00000000-0005-0000-0000-000034170000}"/>
    <cellStyle name="Normal 5 2 2 2 2 3 7 2" xfId="13226" xr:uid="{90671231-2BEE-462A-B393-FC2EC48A846C}"/>
    <cellStyle name="Normal 5 2 2 2 2 3 8" xfId="9008" xr:uid="{4BE5C229-83EC-4195-BF06-A9B481D80D1A}"/>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E38327FF-D5A3-4E57-88A7-74AC5E238223}"/>
    <cellStyle name="Normal 5 2 2 2 2 4 2 3" xfId="11563" xr:uid="{A6B9C1E8-16FE-443A-BAA8-2F86E1BC7673}"/>
    <cellStyle name="Normal 5 2 2 2 2 4 3" xfId="5197" xr:uid="{00000000-0005-0000-0000-000038170000}"/>
    <cellStyle name="Normal 5 2 2 2 2 4 3 2" xfId="13636" xr:uid="{71620D35-C30D-48C2-9024-E19A36C839A5}"/>
    <cellStyle name="Normal 5 2 2 2 2 4 4" xfId="9418" xr:uid="{5014DE42-7EE0-4962-A604-907C4CA1D5FC}"/>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02E79D3B-0AAF-47CE-9CA7-9AF8BE3FB10B}"/>
    <cellStyle name="Normal 5 2 2 2 2 5 2 3" xfId="11976" xr:uid="{A148029B-C238-486A-936E-7F022A3EC32C}"/>
    <cellStyle name="Normal 5 2 2 2 2 5 3" xfId="5610" xr:uid="{00000000-0005-0000-0000-00003C170000}"/>
    <cellStyle name="Normal 5 2 2 2 2 5 3 2" xfId="14049" xr:uid="{E484369E-FED9-42B8-9687-6D4044C67B9E}"/>
    <cellStyle name="Normal 5 2 2 2 2 5 4" xfId="9831" xr:uid="{6F1530F9-5B15-43B1-8CF7-42B0CFFCEE5A}"/>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6958D441-D72F-48FA-803A-925FFC346D3D}"/>
    <cellStyle name="Normal 5 2 2 2 2 6 2 3" xfId="12389" xr:uid="{2BC9249D-221E-4FD5-8639-241AC3BF241E}"/>
    <cellStyle name="Normal 5 2 2 2 2 6 3" xfId="6023" xr:uid="{00000000-0005-0000-0000-000040170000}"/>
    <cellStyle name="Normal 5 2 2 2 2 6 3 2" xfId="14462" xr:uid="{11753EB0-0911-452C-96E6-DB08EDB2C26F}"/>
    <cellStyle name="Normal 5 2 2 2 2 6 4" xfId="10244" xr:uid="{EB6D1C08-FF7D-4FE9-8099-20EC1097C049}"/>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B8CC3397-B019-4D2B-87DB-EBFEA14975BA}"/>
    <cellStyle name="Normal 5 2 2 2 2 7 2 3" xfId="12802" xr:uid="{3BF7CB90-ADC6-4CCB-AE43-68F8D7F4ACCE}"/>
    <cellStyle name="Normal 5 2 2 2 2 7 3" xfId="6436" xr:uid="{00000000-0005-0000-0000-000044170000}"/>
    <cellStyle name="Normal 5 2 2 2 2 7 3 2" xfId="14875" xr:uid="{0EE80C6A-E82C-466D-A73D-AD8F487FE2D2}"/>
    <cellStyle name="Normal 5 2 2 2 2 7 4" xfId="10657" xr:uid="{0A403E8F-7BE0-4E72-BBEB-4D2F6320B031}"/>
    <cellStyle name="Normal 5 2 2 2 2 8" xfId="2565" xr:uid="{00000000-0005-0000-0000-000045170000}"/>
    <cellStyle name="Normal 5 2 2 2 2 8 2" xfId="6849" xr:uid="{00000000-0005-0000-0000-000046170000}"/>
    <cellStyle name="Normal 5 2 2 2 2 8 2 2" xfId="15288" xr:uid="{54DC5653-3543-4B88-87D1-0C4215FC1658}"/>
    <cellStyle name="Normal 5 2 2 2 2 8 3" xfId="11070" xr:uid="{3B3097CF-8110-4C7A-A218-3B4D00427F63}"/>
    <cellStyle name="Normal 5 2 2 2 2 9" xfId="4784" xr:uid="{00000000-0005-0000-0000-000047170000}"/>
    <cellStyle name="Normal 5 2 2 2 2 9 2" xfId="13223" xr:uid="{0B911AD7-2618-4ECC-AF42-41A1B58ABB7D}"/>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4538BA42-B866-41AF-BB2E-634D7FBC2522}"/>
    <cellStyle name="Normal 5 2 2 2 3 2 2 2 3" xfId="11568" xr:uid="{26B56A1C-4FED-4F8C-9193-375B9FEEC88A}"/>
    <cellStyle name="Normal 5 2 2 2 3 2 2 3" xfId="5202" xr:uid="{00000000-0005-0000-0000-00004D170000}"/>
    <cellStyle name="Normal 5 2 2 2 3 2 2 3 2" xfId="13641" xr:uid="{02751AF5-4D8E-43FE-99A8-BFF07B71D04E}"/>
    <cellStyle name="Normal 5 2 2 2 3 2 2 4" xfId="9423" xr:uid="{121753FB-C07F-49E6-849A-C11F4671D556}"/>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8B8A91F1-C9E0-4A89-A745-BEC4C608E409}"/>
    <cellStyle name="Normal 5 2 2 2 3 2 3 2 3" xfId="11981" xr:uid="{24E0C9B4-D282-4689-A790-1D0201DC352F}"/>
    <cellStyle name="Normal 5 2 2 2 3 2 3 3" xfId="5615" xr:uid="{00000000-0005-0000-0000-000051170000}"/>
    <cellStyle name="Normal 5 2 2 2 3 2 3 3 2" xfId="14054" xr:uid="{DB0EE825-D145-4BC7-A9DD-E0BABE5B1235}"/>
    <cellStyle name="Normal 5 2 2 2 3 2 3 4" xfId="9836" xr:uid="{01C9307E-7031-4696-BBE1-2ED144BAA45F}"/>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66E8BEA5-497F-4A48-86FE-311745A0BA68}"/>
    <cellStyle name="Normal 5 2 2 2 3 2 4 2 3" xfId="12394" xr:uid="{187AF017-D582-4AFB-B5F5-5E48980E7155}"/>
    <cellStyle name="Normal 5 2 2 2 3 2 4 3" xfId="6028" xr:uid="{00000000-0005-0000-0000-000055170000}"/>
    <cellStyle name="Normal 5 2 2 2 3 2 4 3 2" xfId="14467" xr:uid="{1FEAE803-0A43-4959-B080-40AA49CD66E7}"/>
    <cellStyle name="Normal 5 2 2 2 3 2 4 4" xfId="10249" xr:uid="{C818C2E8-F0CD-4DDA-BE1D-622374C7EF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31EC42B6-A42E-4B17-9D18-52B200A7733A}"/>
    <cellStyle name="Normal 5 2 2 2 3 2 5 2 3" xfId="12807" xr:uid="{1275351E-EDCD-43C5-BAEA-18E800193EDC}"/>
    <cellStyle name="Normal 5 2 2 2 3 2 5 3" xfId="6441" xr:uid="{00000000-0005-0000-0000-000059170000}"/>
    <cellStyle name="Normal 5 2 2 2 3 2 5 3 2" xfId="14880" xr:uid="{B521E62A-9D1E-412F-BC64-D82381ED399D}"/>
    <cellStyle name="Normal 5 2 2 2 3 2 5 4" xfId="10662" xr:uid="{46BE171F-3E03-4695-B4E5-728A3F11E092}"/>
    <cellStyle name="Normal 5 2 2 2 3 2 6" xfId="2570" xr:uid="{00000000-0005-0000-0000-00005A170000}"/>
    <cellStyle name="Normal 5 2 2 2 3 2 6 2" xfId="6854" xr:uid="{00000000-0005-0000-0000-00005B170000}"/>
    <cellStyle name="Normal 5 2 2 2 3 2 6 2 2" xfId="15293" xr:uid="{D32BB5DB-8EAB-470E-85B9-7002C5C2642C}"/>
    <cellStyle name="Normal 5 2 2 2 3 2 6 3" xfId="11075" xr:uid="{F328C2B0-ED6F-426F-968D-E43E82AECF1D}"/>
    <cellStyle name="Normal 5 2 2 2 3 2 7" xfId="4789" xr:uid="{00000000-0005-0000-0000-00005C170000}"/>
    <cellStyle name="Normal 5 2 2 2 3 2 7 2" xfId="13228" xr:uid="{3574ADFA-4FC3-42C6-BA13-3567FC3FDBE4}"/>
    <cellStyle name="Normal 5 2 2 2 3 2 8" xfId="9010" xr:uid="{CA3EA7D0-4D74-4003-9CB9-DD63941069DD}"/>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33F0FC1C-112D-44AE-88F6-AA6EC4756143}"/>
    <cellStyle name="Normal 5 2 2 2 3 3 2 3" xfId="11567" xr:uid="{BC4F753D-2CE9-423A-B30F-992B4548BC96}"/>
    <cellStyle name="Normal 5 2 2 2 3 3 3" xfId="5201" xr:uid="{00000000-0005-0000-0000-000060170000}"/>
    <cellStyle name="Normal 5 2 2 2 3 3 3 2" xfId="13640" xr:uid="{C3C0BFD2-BFAA-4458-B6F7-49DDCAFCEF66}"/>
    <cellStyle name="Normal 5 2 2 2 3 3 4" xfId="9422" xr:uid="{65B6C4C6-3AF3-4F7E-82CF-220A5BE4EE81}"/>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21083EB1-D08F-428F-A2B0-0034408CD6AE}"/>
    <cellStyle name="Normal 5 2 2 2 3 4 2 3" xfId="11980" xr:uid="{60A2047F-FC4A-408B-83C5-A82B04B07446}"/>
    <cellStyle name="Normal 5 2 2 2 3 4 3" xfId="5614" xr:uid="{00000000-0005-0000-0000-000064170000}"/>
    <cellStyle name="Normal 5 2 2 2 3 4 3 2" xfId="14053" xr:uid="{A0AC828C-4B79-473F-825C-E13DDDE007A8}"/>
    <cellStyle name="Normal 5 2 2 2 3 4 4" xfId="9835" xr:uid="{A18021A9-582B-4C1A-8FBF-F14F1632971C}"/>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76080AF2-CD98-4354-A0B0-BADADADB4156}"/>
    <cellStyle name="Normal 5 2 2 2 3 5 2 3" xfId="12393" xr:uid="{A58CC752-F0A3-4BC7-AB7A-94BE2FEFAE67}"/>
    <cellStyle name="Normal 5 2 2 2 3 5 3" xfId="6027" xr:uid="{00000000-0005-0000-0000-000068170000}"/>
    <cellStyle name="Normal 5 2 2 2 3 5 3 2" xfId="14466" xr:uid="{85252487-ED0C-4FBB-8826-A8242DF41AFF}"/>
    <cellStyle name="Normal 5 2 2 2 3 5 4" xfId="10248" xr:uid="{30A8F723-B7BF-460E-8975-B0D66F018C3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12481F37-5081-4F0A-A0FA-15CF3B7B291D}"/>
    <cellStyle name="Normal 5 2 2 2 3 6 2 3" xfId="12806" xr:uid="{4B04E231-03A9-4E4E-AF43-288B9902425C}"/>
    <cellStyle name="Normal 5 2 2 2 3 6 3" xfId="6440" xr:uid="{00000000-0005-0000-0000-00006C170000}"/>
    <cellStyle name="Normal 5 2 2 2 3 6 3 2" xfId="14879" xr:uid="{53F2A4F2-482E-4C8A-9776-332E241F1D4F}"/>
    <cellStyle name="Normal 5 2 2 2 3 6 4" xfId="10661" xr:uid="{0687876D-1B43-4BCC-9AF7-2C42C2BF2174}"/>
    <cellStyle name="Normal 5 2 2 2 3 7" xfId="2569" xr:uid="{00000000-0005-0000-0000-00006D170000}"/>
    <cellStyle name="Normal 5 2 2 2 3 7 2" xfId="6853" xr:uid="{00000000-0005-0000-0000-00006E170000}"/>
    <cellStyle name="Normal 5 2 2 2 3 7 2 2" xfId="15292" xr:uid="{A3DA8A5B-769B-40BD-AA00-8B65339B167C}"/>
    <cellStyle name="Normal 5 2 2 2 3 7 3" xfId="11074" xr:uid="{3FA70657-1C84-4059-9994-F495044765EE}"/>
    <cellStyle name="Normal 5 2 2 2 3 8" xfId="4788" xr:uid="{00000000-0005-0000-0000-00006F170000}"/>
    <cellStyle name="Normal 5 2 2 2 3 8 2" xfId="13227" xr:uid="{7EF756D0-3BB2-4DB0-9994-DFBC603BAFA1}"/>
    <cellStyle name="Normal 5 2 2 2 3 9" xfId="9009" xr:uid="{F2972BAC-DB45-4A05-89A9-74D88E3345F2}"/>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5F8B7770-3051-4E88-B253-4BA0BDCDEAF4}"/>
    <cellStyle name="Normal 5 2 2 2 4 2 2 3" xfId="11569" xr:uid="{0622397F-54C8-469C-A1A6-5FFFE5AF5E70}"/>
    <cellStyle name="Normal 5 2 2 2 4 2 3" xfId="5203" xr:uid="{00000000-0005-0000-0000-000074170000}"/>
    <cellStyle name="Normal 5 2 2 2 4 2 3 2" xfId="13642" xr:uid="{68B75A55-CA3E-49C3-8F88-F35CA3CF1290}"/>
    <cellStyle name="Normal 5 2 2 2 4 2 4" xfId="9424" xr:uid="{631A2948-F3E2-4CA6-90D8-49E55069AB47}"/>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93F98D06-19D6-4286-AE64-6F437B113C26}"/>
    <cellStyle name="Normal 5 2 2 2 4 3 2 3" xfId="11982" xr:uid="{904FF118-B6F6-4CA6-8C5F-4EB2AA22CE0D}"/>
    <cellStyle name="Normal 5 2 2 2 4 3 3" xfId="5616" xr:uid="{00000000-0005-0000-0000-000078170000}"/>
    <cellStyle name="Normal 5 2 2 2 4 3 3 2" xfId="14055" xr:uid="{BBD615DA-0420-43CB-8023-A5FC47A750A4}"/>
    <cellStyle name="Normal 5 2 2 2 4 3 4" xfId="9837" xr:uid="{99A66764-3BCD-4898-AB6C-6F6D474DAC1C}"/>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95CA8F9E-70A4-4727-8049-21CDCC3A27F0}"/>
    <cellStyle name="Normal 5 2 2 2 4 4 2 3" xfId="12395" xr:uid="{1A564107-FB23-4B0E-858B-82A1D496B8FF}"/>
    <cellStyle name="Normal 5 2 2 2 4 4 3" xfId="6029" xr:uid="{00000000-0005-0000-0000-00007C170000}"/>
    <cellStyle name="Normal 5 2 2 2 4 4 3 2" xfId="14468" xr:uid="{AA182A1E-8208-46F5-98B1-B7AEBF524ADC}"/>
    <cellStyle name="Normal 5 2 2 2 4 4 4" xfId="10250" xr:uid="{5C070869-B1E1-41E1-92A8-05300BCEB005}"/>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35DDDD64-B3BC-47EE-B9ED-62B08D0B6243}"/>
    <cellStyle name="Normal 5 2 2 2 4 5 2 3" xfId="12808" xr:uid="{1205C94F-977A-488B-ABEF-B5A7CB1A741C}"/>
    <cellStyle name="Normal 5 2 2 2 4 5 3" xfId="6442" xr:uid="{00000000-0005-0000-0000-000080170000}"/>
    <cellStyle name="Normal 5 2 2 2 4 5 3 2" xfId="14881" xr:uid="{5DED908C-59F8-4626-8ECD-062FF3A89C42}"/>
    <cellStyle name="Normal 5 2 2 2 4 5 4" xfId="10663" xr:uid="{578372EC-5C2A-4243-B468-606F0988F409}"/>
    <cellStyle name="Normal 5 2 2 2 4 6" xfId="2571" xr:uid="{00000000-0005-0000-0000-000081170000}"/>
    <cellStyle name="Normal 5 2 2 2 4 6 2" xfId="6855" xr:uid="{00000000-0005-0000-0000-000082170000}"/>
    <cellStyle name="Normal 5 2 2 2 4 6 2 2" xfId="15294" xr:uid="{05925CE8-DA0A-45C8-85C2-4D01A176F280}"/>
    <cellStyle name="Normal 5 2 2 2 4 6 3" xfId="11076" xr:uid="{9CC03220-3CA1-45C0-AE60-0FF7D9B76655}"/>
    <cellStyle name="Normal 5 2 2 2 4 7" xfId="4790" xr:uid="{00000000-0005-0000-0000-000083170000}"/>
    <cellStyle name="Normal 5 2 2 2 4 7 2" xfId="13229" xr:uid="{4E3D1845-E3CA-421D-8678-CD0E67A70D96}"/>
    <cellStyle name="Normal 5 2 2 2 4 8" xfId="9011" xr:uid="{5A8DD96B-2DA3-49D4-917C-5D5529B9AB18}"/>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3E7256E5-28CC-4104-B6AD-C9548B0A5ED3}"/>
    <cellStyle name="Normal 5 2 2 2 5 2 3" xfId="11562" xr:uid="{608E8359-2328-493B-8309-5DEA18596C43}"/>
    <cellStyle name="Normal 5 2 2 2 5 3" xfId="5196" xr:uid="{00000000-0005-0000-0000-000087170000}"/>
    <cellStyle name="Normal 5 2 2 2 5 3 2" xfId="13635" xr:uid="{3735ECB3-9040-46EA-B3AE-C06F3C91B934}"/>
    <cellStyle name="Normal 5 2 2 2 5 4" xfId="9417" xr:uid="{8A35DBD2-4A6F-43F5-8604-20E47CD3978A}"/>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2317DE23-3C5E-4CB1-ADA7-05EC30382D88}"/>
    <cellStyle name="Normal 5 2 2 2 6 2 3" xfId="11975" xr:uid="{F215DF5F-A6B6-4CB1-9CE2-D32C04061BC6}"/>
    <cellStyle name="Normal 5 2 2 2 6 3" xfId="5609" xr:uid="{00000000-0005-0000-0000-00008B170000}"/>
    <cellStyle name="Normal 5 2 2 2 6 3 2" xfId="14048" xr:uid="{F9EFFBF5-F803-4894-8664-A4CD4F166714}"/>
    <cellStyle name="Normal 5 2 2 2 6 4" xfId="9830" xr:uid="{B429E2CA-CC22-4B49-BAEE-4AFEBEB5B764}"/>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32050C5A-1580-470B-ACF1-C68294FBE8FA}"/>
    <cellStyle name="Normal 5 2 2 2 7 2 3" xfId="12388" xr:uid="{0F6F9A08-AC81-4F4C-9805-22D1C94B870D}"/>
    <cellStyle name="Normal 5 2 2 2 7 3" xfId="6022" xr:uid="{00000000-0005-0000-0000-00008F170000}"/>
    <cellStyle name="Normal 5 2 2 2 7 3 2" xfId="14461" xr:uid="{E8CBDE25-7EE6-44D5-B5F9-B5C2392BA4F6}"/>
    <cellStyle name="Normal 5 2 2 2 7 4" xfId="10243" xr:uid="{737F00ED-08CA-4602-8359-7F0846F69DF9}"/>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E92C265A-B5AA-4184-B833-1F9752970EDD}"/>
    <cellStyle name="Normal 5 2 2 2 8 2 3" xfId="12801" xr:uid="{98F9EF66-B455-4982-A8AB-F68BC413542F}"/>
    <cellStyle name="Normal 5 2 2 2 8 3" xfId="6435" xr:uid="{00000000-0005-0000-0000-000093170000}"/>
    <cellStyle name="Normal 5 2 2 2 8 3 2" xfId="14874" xr:uid="{630318D3-F800-43FD-B13C-78D8584F4424}"/>
    <cellStyle name="Normal 5 2 2 2 8 4" xfId="10656" xr:uid="{B7576A57-E35B-48FA-BA7F-22E301F94FB2}"/>
    <cellStyle name="Normal 5 2 2 2 9" xfId="2564" xr:uid="{00000000-0005-0000-0000-000094170000}"/>
    <cellStyle name="Normal 5 2 2 2 9 2" xfId="6848" xr:uid="{00000000-0005-0000-0000-000095170000}"/>
    <cellStyle name="Normal 5 2 2 2 9 2 2" xfId="15287" xr:uid="{8E0A4187-7CFA-4212-83F4-3304A0984DCF}"/>
    <cellStyle name="Normal 5 2 2 2 9 3" xfId="11069" xr:uid="{83518454-B912-4CAB-9177-44D29ED3DEF2}"/>
    <cellStyle name="Normal 5 2 2 3" xfId="417" xr:uid="{00000000-0005-0000-0000-000096170000}"/>
    <cellStyle name="Normal 5 2 2 3 10" xfId="9012" xr:uid="{FC8162D5-A234-4D7A-A9FB-0FFFC067D5F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2C83479E-0A6F-4D87-9B5F-38CE2C367477}"/>
    <cellStyle name="Normal 5 2 2 3 2 2 2 2 3" xfId="11572" xr:uid="{B6EACDC8-6DFB-49C3-970C-45A50CA0946A}"/>
    <cellStyle name="Normal 5 2 2 3 2 2 2 3" xfId="5206" xr:uid="{00000000-0005-0000-0000-00009C170000}"/>
    <cellStyle name="Normal 5 2 2 3 2 2 2 3 2" xfId="13645" xr:uid="{4650F7C7-48C3-497E-8D71-F644E74EBC63}"/>
    <cellStyle name="Normal 5 2 2 3 2 2 2 4" xfId="9427" xr:uid="{86D78852-65DC-473E-9D24-8BA9E4D4F245}"/>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0F73D45A-79AF-4229-A576-1EA303E824FF}"/>
    <cellStyle name="Normal 5 2 2 3 2 2 3 2 3" xfId="11985" xr:uid="{341D3243-57BA-48EB-9985-C10331793732}"/>
    <cellStyle name="Normal 5 2 2 3 2 2 3 3" xfId="5619" xr:uid="{00000000-0005-0000-0000-0000A0170000}"/>
    <cellStyle name="Normal 5 2 2 3 2 2 3 3 2" xfId="14058" xr:uid="{58AB1202-8D97-498B-A6DC-99779816F42C}"/>
    <cellStyle name="Normal 5 2 2 3 2 2 3 4" xfId="9840" xr:uid="{9203901E-73F0-45DE-A5DD-943444D135ED}"/>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329D3AAE-1815-4EF1-B2E8-53D6B956B42E}"/>
    <cellStyle name="Normal 5 2 2 3 2 2 4 2 3" xfId="12398" xr:uid="{5B412E52-79C2-438D-81D4-62AD76B15D7E}"/>
    <cellStyle name="Normal 5 2 2 3 2 2 4 3" xfId="6032" xr:uid="{00000000-0005-0000-0000-0000A4170000}"/>
    <cellStyle name="Normal 5 2 2 3 2 2 4 3 2" xfId="14471" xr:uid="{71E96D1D-98CF-46ED-8B00-DCF688820FD2}"/>
    <cellStyle name="Normal 5 2 2 3 2 2 4 4" xfId="10253" xr:uid="{1F8C8ED7-21AC-4ABB-9395-D0B8DA6A9DAF}"/>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9DE3F744-4884-4B8C-86BD-ECCFA9D2B113}"/>
    <cellStyle name="Normal 5 2 2 3 2 2 5 2 3" xfId="12811" xr:uid="{291CDFFA-4137-40FB-AA85-1BE4D014479A}"/>
    <cellStyle name="Normal 5 2 2 3 2 2 5 3" xfId="6445" xr:uid="{00000000-0005-0000-0000-0000A8170000}"/>
    <cellStyle name="Normal 5 2 2 3 2 2 5 3 2" xfId="14884" xr:uid="{1141DB50-CD85-41C9-84AD-17414DA62ACA}"/>
    <cellStyle name="Normal 5 2 2 3 2 2 5 4" xfId="10666" xr:uid="{67DD78F8-4DD7-485A-8612-12E320095B68}"/>
    <cellStyle name="Normal 5 2 2 3 2 2 6" xfId="2574" xr:uid="{00000000-0005-0000-0000-0000A9170000}"/>
    <cellStyle name="Normal 5 2 2 3 2 2 6 2" xfId="6858" xr:uid="{00000000-0005-0000-0000-0000AA170000}"/>
    <cellStyle name="Normal 5 2 2 3 2 2 6 2 2" xfId="15297" xr:uid="{8F32C399-3C8C-4EB0-AE93-8A9714DA12AA}"/>
    <cellStyle name="Normal 5 2 2 3 2 2 6 3" xfId="11079" xr:uid="{4A904AB4-1212-4B31-89AB-A11C7964C367}"/>
    <cellStyle name="Normal 5 2 2 3 2 2 7" xfId="4793" xr:uid="{00000000-0005-0000-0000-0000AB170000}"/>
    <cellStyle name="Normal 5 2 2 3 2 2 7 2" xfId="13232" xr:uid="{5CDBC328-4A71-4566-B684-054DDD31C5CB}"/>
    <cellStyle name="Normal 5 2 2 3 2 2 8" xfId="9014" xr:uid="{80131A4B-8BF9-48CC-BD40-4E697E117A09}"/>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81C996A8-B9FD-4DFA-B6F4-1CEA8FF40FEB}"/>
    <cellStyle name="Normal 5 2 2 3 2 3 2 3" xfId="11571" xr:uid="{992BD278-60EF-41BF-84AB-2760F5D200CC}"/>
    <cellStyle name="Normal 5 2 2 3 2 3 3" xfId="5205" xr:uid="{00000000-0005-0000-0000-0000AF170000}"/>
    <cellStyle name="Normal 5 2 2 3 2 3 3 2" xfId="13644" xr:uid="{41215877-D74E-4934-9F87-55B36E52FD61}"/>
    <cellStyle name="Normal 5 2 2 3 2 3 4" xfId="9426" xr:uid="{536183E7-7CA5-4F17-9656-C24FA692080C}"/>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D9FD1E97-3145-4DDC-A013-E7C957888A2B}"/>
    <cellStyle name="Normal 5 2 2 3 2 4 2 3" xfId="11984" xr:uid="{CDA22AC3-E258-48DF-A97B-123EF819A8C7}"/>
    <cellStyle name="Normal 5 2 2 3 2 4 3" xfId="5618" xr:uid="{00000000-0005-0000-0000-0000B3170000}"/>
    <cellStyle name="Normal 5 2 2 3 2 4 3 2" xfId="14057" xr:uid="{BA30AC75-96EA-4012-9632-DFC58C0B4DC8}"/>
    <cellStyle name="Normal 5 2 2 3 2 4 4" xfId="9839" xr:uid="{2ABF96D8-C097-4D52-AC45-C1FDC231D3A5}"/>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330CC6E8-B30D-42CD-8C7A-0EC0CECE6AED}"/>
    <cellStyle name="Normal 5 2 2 3 2 5 2 3" xfId="12397" xr:uid="{A2640D69-0617-4B0A-B79D-1CCC58E39258}"/>
    <cellStyle name="Normal 5 2 2 3 2 5 3" xfId="6031" xr:uid="{00000000-0005-0000-0000-0000B7170000}"/>
    <cellStyle name="Normal 5 2 2 3 2 5 3 2" xfId="14470" xr:uid="{0B31D23F-2258-40F0-BBA0-E47C0A436EB9}"/>
    <cellStyle name="Normal 5 2 2 3 2 5 4" xfId="10252" xr:uid="{9891F684-E96B-4D2E-9FC2-1BA40126F44E}"/>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9162631E-4242-489F-B044-BB9A09CF365E}"/>
    <cellStyle name="Normal 5 2 2 3 2 6 2 3" xfId="12810" xr:uid="{BF575126-D812-4165-86C6-5B48DF8EF80B}"/>
    <cellStyle name="Normal 5 2 2 3 2 6 3" xfId="6444" xr:uid="{00000000-0005-0000-0000-0000BB170000}"/>
    <cellStyle name="Normal 5 2 2 3 2 6 3 2" xfId="14883" xr:uid="{35A97720-FC5F-4A13-A7E8-571FD47ED4B4}"/>
    <cellStyle name="Normal 5 2 2 3 2 6 4" xfId="10665" xr:uid="{0273FDBC-949E-4E26-ADAE-25EEB488C015}"/>
    <cellStyle name="Normal 5 2 2 3 2 7" xfId="2573" xr:uid="{00000000-0005-0000-0000-0000BC170000}"/>
    <cellStyle name="Normal 5 2 2 3 2 7 2" xfId="6857" xr:uid="{00000000-0005-0000-0000-0000BD170000}"/>
    <cellStyle name="Normal 5 2 2 3 2 7 2 2" xfId="15296" xr:uid="{F406E7D2-58D2-448B-87DA-274F918D71F9}"/>
    <cellStyle name="Normal 5 2 2 3 2 7 3" xfId="11078" xr:uid="{D9D4DE69-5810-4431-ABB5-A447DFB3C2C0}"/>
    <cellStyle name="Normal 5 2 2 3 2 8" xfId="4792" xr:uid="{00000000-0005-0000-0000-0000BE170000}"/>
    <cellStyle name="Normal 5 2 2 3 2 8 2" xfId="13231" xr:uid="{A009E412-F233-441F-B243-6F032663A2B9}"/>
    <cellStyle name="Normal 5 2 2 3 2 9" xfId="9013" xr:uid="{ABD64F42-1989-47B8-ACAC-BE9F0FCFFE8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F18A141E-00E3-430B-BF41-08A953BC405B}"/>
    <cellStyle name="Normal 5 2 2 3 3 2 2 3" xfId="11573" xr:uid="{E64E6D3F-1C5B-468D-8D21-13BA456FAF8F}"/>
    <cellStyle name="Normal 5 2 2 3 3 2 3" xfId="5207" xr:uid="{00000000-0005-0000-0000-0000C3170000}"/>
    <cellStyle name="Normal 5 2 2 3 3 2 3 2" xfId="13646" xr:uid="{ADE1B249-47AD-4ECA-94BC-A248A46F9408}"/>
    <cellStyle name="Normal 5 2 2 3 3 2 4" xfId="9428" xr:uid="{35645706-B711-4158-BDF9-64FF99E84803}"/>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36B30D12-94F4-45B5-9D2B-BCB263B6AEBC}"/>
    <cellStyle name="Normal 5 2 2 3 3 3 2 3" xfId="11986" xr:uid="{5F116611-A606-4620-9901-FAB54FD435A5}"/>
    <cellStyle name="Normal 5 2 2 3 3 3 3" xfId="5620" xr:uid="{00000000-0005-0000-0000-0000C7170000}"/>
    <cellStyle name="Normal 5 2 2 3 3 3 3 2" xfId="14059" xr:uid="{29D979A2-A31D-464B-B0EC-6F98774DC3AC}"/>
    <cellStyle name="Normal 5 2 2 3 3 3 4" xfId="9841" xr:uid="{195A58B4-E2B4-4FFE-8A72-6E36A7A2A46F}"/>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390BEE2C-E86B-4850-8980-6E4E73B5BA72}"/>
    <cellStyle name="Normal 5 2 2 3 3 4 2 3" xfId="12399" xr:uid="{BC44B927-0506-4812-9DB9-F02011228F55}"/>
    <cellStyle name="Normal 5 2 2 3 3 4 3" xfId="6033" xr:uid="{00000000-0005-0000-0000-0000CB170000}"/>
    <cellStyle name="Normal 5 2 2 3 3 4 3 2" xfId="14472" xr:uid="{806261D4-09D2-43BB-9364-0ABD749D0962}"/>
    <cellStyle name="Normal 5 2 2 3 3 4 4" xfId="10254" xr:uid="{EFF1A45F-8F06-4C34-93DC-E31D7AF3E95C}"/>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E0FA021F-F5DE-4EFF-B789-8ED8007C9621}"/>
    <cellStyle name="Normal 5 2 2 3 3 5 2 3" xfId="12812" xr:uid="{5C1D0960-508B-4091-BA36-5D04E2D4411C}"/>
    <cellStyle name="Normal 5 2 2 3 3 5 3" xfId="6446" xr:uid="{00000000-0005-0000-0000-0000CF170000}"/>
    <cellStyle name="Normal 5 2 2 3 3 5 3 2" xfId="14885" xr:uid="{45C60F8D-0C81-45FE-8726-4D2753D82D88}"/>
    <cellStyle name="Normal 5 2 2 3 3 5 4" xfId="10667" xr:uid="{D9054351-E83C-4D8A-AB29-46DEA285EA49}"/>
    <cellStyle name="Normal 5 2 2 3 3 6" xfId="2575" xr:uid="{00000000-0005-0000-0000-0000D0170000}"/>
    <cellStyle name="Normal 5 2 2 3 3 6 2" xfId="6859" xr:uid="{00000000-0005-0000-0000-0000D1170000}"/>
    <cellStyle name="Normal 5 2 2 3 3 6 2 2" xfId="15298" xr:uid="{FDB6292E-4C8D-4631-9B75-178C6D91FFCE}"/>
    <cellStyle name="Normal 5 2 2 3 3 6 3" xfId="11080" xr:uid="{9F9A5161-DBBE-4E2A-9EF0-1B934EB9DCEF}"/>
    <cellStyle name="Normal 5 2 2 3 3 7" xfId="4794" xr:uid="{00000000-0005-0000-0000-0000D2170000}"/>
    <cellStyle name="Normal 5 2 2 3 3 7 2" xfId="13233" xr:uid="{03D687E9-D82B-412F-B887-5A512BCF341B}"/>
    <cellStyle name="Normal 5 2 2 3 3 8" xfId="9015" xr:uid="{441A1317-2713-4132-8B2F-DF151237620C}"/>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277A0391-C33C-47FC-B15F-2B2ABB49A44C}"/>
    <cellStyle name="Normal 5 2 2 3 4 2 3" xfId="11570" xr:uid="{15ADEF1D-67A3-41A5-8731-F3C9695AD098}"/>
    <cellStyle name="Normal 5 2 2 3 4 3" xfId="5204" xr:uid="{00000000-0005-0000-0000-0000D6170000}"/>
    <cellStyle name="Normal 5 2 2 3 4 3 2" xfId="13643" xr:uid="{048EFFC6-B543-42F2-8AB8-E8E4CF5A7272}"/>
    <cellStyle name="Normal 5 2 2 3 4 4" xfId="9425" xr:uid="{EF17A99D-C153-48D6-8AFD-B00CFE7FB622}"/>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5B5E2715-6979-4941-8D91-124F79289599}"/>
    <cellStyle name="Normal 5 2 2 3 5 2 3" xfId="11983" xr:uid="{5D58F964-3EC0-42E4-AEB8-02E6AE887BAD}"/>
    <cellStyle name="Normal 5 2 2 3 5 3" xfId="5617" xr:uid="{00000000-0005-0000-0000-0000DA170000}"/>
    <cellStyle name="Normal 5 2 2 3 5 3 2" xfId="14056" xr:uid="{10C304FF-2E30-41B7-9981-ACF3F86F10D9}"/>
    <cellStyle name="Normal 5 2 2 3 5 4" xfId="9838" xr:uid="{ABC75C34-17F4-4722-8813-6F4A8FD134B0}"/>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77EE2FEC-AE9C-4E33-9934-B7EA0115FC4A}"/>
    <cellStyle name="Normal 5 2 2 3 6 2 3" xfId="12396" xr:uid="{A81E719C-BA17-434A-9C7C-547FB39D836C}"/>
    <cellStyle name="Normal 5 2 2 3 6 3" xfId="6030" xr:uid="{00000000-0005-0000-0000-0000DE170000}"/>
    <cellStyle name="Normal 5 2 2 3 6 3 2" xfId="14469" xr:uid="{D1716387-0E70-405C-A86F-AC81ED034E44}"/>
    <cellStyle name="Normal 5 2 2 3 6 4" xfId="10251" xr:uid="{179C758F-18CE-43B9-B23C-21308B805265}"/>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5717B901-FE4C-435B-B46A-09B02F1972CE}"/>
    <cellStyle name="Normal 5 2 2 3 7 2 3" xfId="12809" xr:uid="{2B111EAF-BCA1-461B-A9C9-E3982F5C93CE}"/>
    <cellStyle name="Normal 5 2 2 3 7 3" xfId="6443" xr:uid="{00000000-0005-0000-0000-0000E2170000}"/>
    <cellStyle name="Normal 5 2 2 3 7 3 2" xfId="14882" xr:uid="{5F7759E5-2CD8-4139-B1EA-95BAC758832D}"/>
    <cellStyle name="Normal 5 2 2 3 7 4" xfId="10664" xr:uid="{790013A8-0F86-4CE3-885B-3A3D0CBE8A19}"/>
    <cellStyle name="Normal 5 2 2 3 8" xfId="2572" xr:uid="{00000000-0005-0000-0000-0000E3170000}"/>
    <cellStyle name="Normal 5 2 2 3 8 2" xfId="6856" xr:uid="{00000000-0005-0000-0000-0000E4170000}"/>
    <cellStyle name="Normal 5 2 2 3 8 2 2" xfId="15295" xr:uid="{4B7D98EA-11BE-40E5-91C1-2840C3C0560D}"/>
    <cellStyle name="Normal 5 2 2 3 8 3" xfId="11077" xr:uid="{0F5416BC-48BA-4E59-B0F9-145B3EB13D14}"/>
    <cellStyle name="Normal 5 2 2 3 9" xfId="4791" xr:uid="{00000000-0005-0000-0000-0000E5170000}"/>
    <cellStyle name="Normal 5 2 2 3 9 2" xfId="13230" xr:uid="{F553A931-7326-41BA-A598-AA530FFC2987}"/>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3AEAC482-C24F-4E67-8A32-60F1F78D1899}"/>
    <cellStyle name="Normal 5 2 2 4 2 2 2 3" xfId="11575" xr:uid="{F111B196-9DA4-4137-BF10-8DBC0B71200A}"/>
    <cellStyle name="Normal 5 2 2 4 2 2 3" xfId="5209" xr:uid="{00000000-0005-0000-0000-0000EB170000}"/>
    <cellStyle name="Normal 5 2 2 4 2 2 3 2" xfId="13648" xr:uid="{0D001272-37A8-49ED-ADD5-E9CD7EBC65C1}"/>
    <cellStyle name="Normal 5 2 2 4 2 2 4" xfId="9430" xr:uid="{56771776-6840-438A-BCA5-5C5CE639F05A}"/>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ED5172A2-4169-4676-9CEF-DE792C3D27E3}"/>
    <cellStyle name="Normal 5 2 2 4 2 3 2 3" xfId="11988" xr:uid="{B0B7EEA9-AF72-4945-83F3-824B17C74C32}"/>
    <cellStyle name="Normal 5 2 2 4 2 3 3" xfId="5622" xr:uid="{00000000-0005-0000-0000-0000EF170000}"/>
    <cellStyle name="Normal 5 2 2 4 2 3 3 2" xfId="14061" xr:uid="{5138B6E0-F512-47D1-92E0-241317D105C0}"/>
    <cellStyle name="Normal 5 2 2 4 2 3 4" xfId="9843" xr:uid="{7278355C-3364-4E13-8D3D-3EA8EB56F497}"/>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1F37A605-3457-4131-8628-87E59430533A}"/>
    <cellStyle name="Normal 5 2 2 4 2 4 2 3" xfId="12401" xr:uid="{920D95A4-F327-4899-ACD8-B3C25FA6D9BE}"/>
    <cellStyle name="Normal 5 2 2 4 2 4 3" xfId="6035" xr:uid="{00000000-0005-0000-0000-0000F3170000}"/>
    <cellStyle name="Normal 5 2 2 4 2 4 3 2" xfId="14474" xr:uid="{F6F1C33D-0EAA-4FD4-A427-F0BAF172655D}"/>
    <cellStyle name="Normal 5 2 2 4 2 4 4" xfId="10256" xr:uid="{6522F813-BC5F-4901-B65D-AD13DB662AEC}"/>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BA9F99B3-E9BA-4A93-BCB7-564EDF048839}"/>
    <cellStyle name="Normal 5 2 2 4 2 5 2 3" xfId="12814" xr:uid="{2C5B432D-D034-4AB5-A85A-1F1489285010}"/>
    <cellStyle name="Normal 5 2 2 4 2 5 3" xfId="6448" xr:uid="{00000000-0005-0000-0000-0000F7170000}"/>
    <cellStyle name="Normal 5 2 2 4 2 5 3 2" xfId="14887" xr:uid="{9D84596B-DE32-4206-8AAF-FB0E8A923F18}"/>
    <cellStyle name="Normal 5 2 2 4 2 5 4" xfId="10669" xr:uid="{870E28F7-EC49-4EEA-A688-CF9EAAF928ED}"/>
    <cellStyle name="Normal 5 2 2 4 2 6" xfId="2577" xr:uid="{00000000-0005-0000-0000-0000F8170000}"/>
    <cellStyle name="Normal 5 2 2 4 2 6 2" xfId="6861" xr:uid="{00000000-0005-0000-0000-0000F9170000}"/>
    <cellStyle name="Normal 5 2 2 4 2 6 2 2" xfId="15300" xr:uid="{1470DB32-58D7-4A94-AAC6-28FA676BA202}"/>
    <cellStyle name="Normal 5 2 2 4 2 6 3" xfId="11082" xr:uid="{F1D40693-17FB-4264-B498-94DEC47DF3B2}"/>
    <cellStyle name="Normal 5 2 2 4 2 7" xfId="4796" xr:uid="{00000000-0005-0000-0000-0000FA170000}"/>
    <cellStyle name="Normal 5 2 2 4 2 7 2" xfId="13235" xr:uid="{15F63B07-3457-4212-958C-91A8E455200E}"/>
    <cellStyle name="Normal 5 2 2 4 2 8" xfId="9017" xr:uid="{B47F4BCB-0B3D-4611-845A-739C6F67BA24}"/>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0A2B7758-73CF-441F-B80B-99099A14A7E3}"/>
    <cellStyle name="Normal 5 2 2 4 3 2 3" xfId="11574" xr:uid="{2292E60C-5D7B-4B15-84F3-6EB80EE62B01}"/>
    <cellStyle name="Normal 5 2 2 4 3 3" xfId="5208" xr:uid="{00000000-0005-0000-0000-0000FE170000}"/>
    <cellStyle name="Normal 5 2 2 4 3 3 2" xfId="13647" xr:uid="{E0609321-8EA3-4073-9159-7891811A9D56}"/>
    <cellStyle name="Normal 5 2 2 4 3 4" xfId="9429" xr:uid="{76152403-5914-4C96-A4D4-102700477B37}"/>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0E3CD18C-9584-4A7A-805E-D946CA48AA50}"/>
    <cellStyle name="Normal 5 2 2 4 4 2 3" xfId="11987" xr:uid="{B57CC67F-A1E1-49DF-810D-F03715D14299}"/>
    <cellStyle name="Normal 5 2 2 4 4 3" xfId="5621" xr:uid="{00000000-0005-0000-0000-000002180000}"/>
    <cellStyle name="Normal 5 2 2 4 4 3 2" xfId="14060" xr:uid="{45957ED2-C6FB-4E34-BDCE-C324C00D2513}"/>
    <cellStyle name="Normal 5 2 2 4 4 4" xfId="9842" xr:uid="{9F404A47-68DB-4A27-9C04-4CCB24906028}"/>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FEFA77EC-A18C-4B74-868B-1ADA56223C05}"/>
    <cellStyle name="Normal 5 2 2 4 5 2 3" xfId="12400" xr:uid="{982E44F2-3347-4DFA-98DA-64198FFC91F8}"/>
    <cellStyle name="Normal 5 2 2 4 5 3" xfId="6034" xr:uid="{00000000-0005-0000-0000-000006180000}"/>
    <cellStyle name="Normal 5 2 2 4 5 3 2" xfId="14473" xr:uid="{2C2E449A-DCDC-493A-867C-473DEBE0864A}"/>
    <cellStyle name="Normal 5 2 2 4 5 4" xfId="10255" xr:uid="{89151FF7-CC6B-44BE-AA24-401637C6DCDF}"/>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A9477F05-9C03-4EA7-AC33-304EA510C33B}"/>
    <cellStyle name="Normal 5 2 2 4 6 2 3" xfId="12813" xr:uid="{EB966B6C-30DE-452E-94CE-0AAEDA961FC3}"/>
    <cellStyle name="Normal 5 2 2 4 6 3" xfId="6447" xr:uid="{00000000-0005-0000-0000-00000A180000}"/>
    <cellStyle name="Normal 5 2 2 4 6 3 2" xfId="14886" xr:uid="{2B7226DA-CA44-4440-920B-2773B7FC69F6}"/>
    <cellStyle name="Normal 5 2 2 4 6 4" xfId="10668" xr:uid="{FB1F3FF6-4FF0-458C-B069-CF2800FC545A}"/>
    <cellStyle name="Normal 5 2 2 4 7" xfId="2576" xr:uid="{00000000-0005-0000-0000-00000B180000}"/>
    <cellStyle name="Normal 5 2 2 4 7 2" xfId="6860" xr:uid="{00000000-0005-0000-0000-00000C180000}"/>
    <cellStyle name="Normal 5 2 2 4 7 2 2" xfId="15299" xr:uid="{54DE5EFA-BABC-4263-82D4-88898B8B6598}"/>
    <cellStyle name="Normal 5 2 2 4 7 3" xfId="11081" xr:uid="{6E2B62B3-0252-4583-B389-530BFE1DECB0}"/>
    <cellStyle name="Normal 5 2 2 4 8" xfId="4795" xr:uid="{00000000-0005-0000-0000-00000D180000}"/>
    <cellStyle name="Normal 5 2 2 4 8 2" xfId="13234" xr:uid="{AD8DD4DA-A57C-4159-8005-94EE68D45949}"/>
    <cellStyle name="Normal 5 2 2 4 9" xfId="9016" xr:uid="{B4224C71-C788-4F12-A8CD-76307C39D3CE}"/>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D15A0838-4877-462E-8C6A-ABBE9C88955C}"/>
    <cellStyle name="Normal 5 2 2 5 2 2 3" xfId="11576" xr:uid="{CF98E0C5-9C7E-4172-8F81-A820024A9384}"/>
    <cellStyle name="Normal 5 2 2 5 2 3" xfId="5210" xr:uid="{00000000-0005-0000-0000-000012180000}"/>
    <cellStyle name="Normal 5 2 2 5 2 3 2" xfId="13649" xr:uid="{B70B454D-00A1-43FA-AA5C-C91E8FC9C486}"/>
    <cellStyle name="Normal 5 2 2 5 2 4" xfId="9431" xr:uid="{709EB96A-DF19-4246-9F0D-37E9654236F4}"/>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BF6A0C2F-0670-4769-819F-63C73E0D6FEE}"/>
    <cellStyle name="Normal 5 2 2 5 3 2 3" xfId="11989" xr:uid="{F2FE6371-A7C1-40E3-A35F-E74DCDD6E22E}"/>
    <cellStyle name="Normal 5 2 2 5 3 3" xfId="5623" xr:uid="{00000000-0005-0000-0000-000016180000}"/>
    <cellStyle name="Normal 5 2 2 5 3 3 2" xfId="14062" xr:uid="{B9931F1B-22C2-49CD-B39E-4077D4843388}"/>
    <cellStyle name="Normal 5 2 2 5 3 4" xfId="9844" xr:uid="{F6A31B92-7AC4-45A7-A67E-8BB5F945BCE0}"/>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BEB228FC-8362-4049-B747-A432A9B17D2D}"/>
    <cellStyle name="Normal 5 2 2 5 4 2 3" xfId="12402" xr:uid="{EF1B7B78-536A-4AB6-8A92-7D9C2C24597C}"/>
    <cellStyle name="Normal 5 2 2 5 4 3" xfId="6036" xr:uid="{00000000-0005-0000-0000-00001A180000}"/>
    <cellStyle name="Normal 5 2 2 5 4 3 2" xfId="14475" xr:uid="{E29A5282-5AD3-41DC-B4D3-A37D88F4730A}"/>
    <cellStyle name="Normal 5 2 2 5 4 4" xfId="10257" xr:uid="{73C197CD-B980-48C2-B41B-B4813EF6D727}"/>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CE4344A0-560E-4C42-AD41-297DC751ACE1}"/>
    <cellStyle name="Normal 5 2 2 5 5 2 3" xfId="12815" xr:uid="{0EC7A8B2-084D-47CF-84DC-0D723E53CE1E}"/>
    <cellStyle name="Normal 5 2 2 5 5 3" xfId="6449" xr:uid="{00000000-0005-0000-0000-00001E180000}"/>
    <cellStyle name="Normal 5 2 2 5 5 3 2" xfId="14888" xr:uid="{D6268A6E-CFAC-4260-8138-50288015376B}"/>
    <cellStyle name="Normal 5 2 2 5 5 4" xfId="10670" xr:uid="{9947F0F1-2A8F-4BB1-9BE1-913255020D20}"/>
    <cellStyle name="Normal 5 2 2 5 6" xfId="2578" xr:uid="{00000000-0005-0000-0000-00001F180000}"/>
    <cellStyle name="Normal 5 2 2 5 6 2" xfId="6862" xr:uid="{00000000-0005-0000-0000-000020180000}"/>
    <cellStyle name="Normal 5 2 2 5 6 2 2" xfId="15301" xr:uid="{643973F2-C599-4830-88D1-CF9DCB26A627}"/>
    <cellStyle name="Normal 5 2 2 5 6 3" xfId="11083" xr:uid="{2CCEC148-BABB-43C8-8B4A-D0DB0471CE44}"/>
    <cellStyle name="Normal 5 2 2 5 7" xfId="4797" xr:uid="{00000000-0005-0000-0000-000021180000}"/>
    <cellStyle name="Normal 5 2 2 5 7 2" xfId="13236" xr:uid="{F4DE3D7C-F86A-427D-AAEC-7C90B8BBE39F}"/>
    <cellStyle name="Normal 5 2 2 5 8" xfId="9018" xr:uid="{2BE0FDA7-24F8-4654-AC6B-D0F236B5ED2E}"/>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FDDC5875-DBAC-48A6-8788-09E35B17887B}"/>
    <cellStyle name="Normal 5 2 2 6 2 3" xfId="11561" xr:uid="{42AFD3CB-4696-4667-A6B0-8F5FDA87E308}"/>
    <cellStyle name="Normal 5 2 2 6 3" xfId="5195" xr:uid="{00000000-0005-0000-0000-000025180000}"/>
    <cellStyle name="Normal 5 2 2 6 3 2" xfId="13634" xr:uid="{E24C6501-5556-466D-8F26-8354735903DE}"/>
    <cellStyle name="Normal 5 2 2 6 4" xfId="9416" xr:uid="{AA4CD827-7990-4020-9109-214EFFA7E850}"/>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9D355FC3-7205-4EE2-8B50-D7E916745EF7}"/>
    <cellStyle name="Normal 5 2 2 7 2 3" xfId="11974" xr:uid="{92DE9FEB-B325-4CC8-9CB8-23391F2B434C}"/>
    <cellStyle name="Normal 5 2 2 7 3" xfId="5608" xr:uid="{00000000-0005-0000-0000-000029180000}"/>
    <cellStyle name="Normal 5 2 2 7 3 2" xfId="14047" xr:uid="{0BD189F9-3DBC-45A7-9E0F-358C4740672C}"/>
    <cellStyle name="Normal 5 2 2 7 4" xfId="9829" xr:uid="{1A1D3F5B-0A2C-4BD6-8A00-F8DFE6215127}"/>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2ADDDB0E-7C1B-4BAF-B346-2E549D18E516}"/>
    <cellStyle name="Normal 5 2 2 8 2 3" xfId="12387" xr:uid="{A2595752-17B6-4774-BA5F-F4DE8FED3D9E}"/>
    <cellStyle name="Normal 5 2 2 8 3" xfId="6021" xr:uid="{00000000-0005-0000-0000-00002D180000}"/>
    <cellStyle name="Normal 5 2 2 8 3 2" xfId="14460" xr:uid="{85CA82B2-023C-4B3C-AFA3-9F571331B40E}"/>
    <cellStyle name="Normal 5 2 2 8 4" xfId="10242" xr:uid="{B7AFBCE1-475B-46B1-AE81-12A851E6B4BC}"/>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8E23751E-0F27-433D-AA50-F7A73AB3CE2F}"/>
    <cellStyle name="Normal 5 2 2 9 2 3" xfId="12800" xr:uid="{FAFC4BDE-C2AE-4E66-A7D8-D9EB8788346A}"/>
    <cellStyle name="Normal 5 2 2 9 3" xfId="6434" xr:uid="{00000000-0005-0000-0000-000031180000}"/>
    <cellStyle name="Normal 5 2 2 9 3 2" xfId="14873" xr:uid="{BC3BC45F-401D-4A29-B1FB-C80A776DD863}"/>
    <cellStyle name="Normal 5 2 2 9 4" xfId="10655" xr:uid="{2004F726-3934-481C-A7C9-E60DB30D0B4C}"/>
    <cellStyle name="Normal 5 2 3" xfId="424" xr:uid="{00000000-0005-0000-0000-000032180000}"/>
    <cellStyle name="Normal 5 2 3 10" xfId="4798" xr:uid="{00000000-0005-0000-0000-000033180000}"/>
    <cellStyle name="Normal 5 2 3 10 2" xfId="13237" xr:uid="{A33AA892-5279-456D-B1D5-F490B293258F}"/>
    <cellStyle name="Normal 5 2 3 11" xfId="9019" xr:uid="{34625479-681B-4464-97C9-114C75693E23}"/>
    <cellStyle name="Normal 5 2 3 2" xfId="425" xr:uid="{00000000-0005-0000-0000-000034180000}"/>
    <cellStyle name="Normal 5 2 3 2 10" xfId="9020" xr:uid="{B486C929-3A8D-4DEF-A818-2D765A41938E}"/>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01DC6290-33C3-4DF2-8997-B0A9FBE5F319}"/>
    <cellStyle name="Normal 5 2 3 2 2 2 2 2 3" xfId="11580" xr:uid="{1323C4FF-F80F-490E-B938-6C9C772D8851}"/>
    <cellStyle name="Normal 5 2 3 2 2 2 2 3" xfId="5214" xr:uid="{00000000-0005-0000-0000-00003A180000}"/>
    <cellStyle name="Normal 5 2 3 2 2 2 2 3 2" xfId="13653" xr:uid="{6A579067-7A07-4C36-957F-A1C101669212}"/>
    <cellStyle name="Normal 5 2 3 2 2 2 2 4" xfId="9435" xr:uid="{88185590-3B1D-44CC-A018-2C306B304C28}"/>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B88C8FFB-F32C-4874-A3A2-3A2BAF907148}"/>
    <cellStyle name="Normal 5 2 3 2 2 2 3 2 3" xfId="11993" xr:uid="{103360BB-95ED-4D3D-BE96-FF72E95152E1}"/>
    <cellStyle name="Normal 5 2 3 2 2 2 3 3" xfId="5627" xr:uid="{00000000-0005-0000-0000-00003E180000}"/>
    <cellStyle name="Normal 5 2 3 2 2 2 3 3 2" xfId="14066" xr:uid="{F78178A3-2715-4288-B50F-C07DC5BD83CF}"/>
    <cellStyle name="Normal 5 2 3 2 2 2 3 4" xfId="9848" xr:uid="{A78E269F-0091-4198-8220-CA990759C0F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CD8D400B-DEB2-497E-9E95-8A1209852C4A}"/>
    <cellStyle name="Normal 5 2 3 2 2 2 4 2 3" xfId="12406" xr:uid="{0E92453D-F852-4B4D-9BD5-CD6AA8171BD7}"/>
    <cellStyle name="Normal 5 2 3 2 2 2 4 3" xfId="6040" xr:uid="{00000000-0005-0000-0000-000042180000}"/>
    <cellStyle name="Normal 5 2 3 2 2 2 4 3 2" xfId="14479" xr:uid="{BB0FAC48-9C7A-4389-AA3F-2FD17A7EC82A}"/>
    <cellStyle name="Normal 5 2 3 2 2 2 4 4" xfId="10261" xr:uid="{24A0D79E-61ED-45C5-A6C3-8212836AE4B3}"/>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A574896C-357B-460F-843B-247EC3E453B2}"/>
    <cellStyle name="Normal 5 2 3 2 2 2 5 2 3" xfId="12819" xr:uid="{B6DC7A59-96F2-4A62-A5E6-08172E4EB96A}"/>
    <cellStyle name="Normal 5 2 3 2 2 2 5 3" xfId="6453" xr:uid="{00000000-0005-0000-0000-000046180000}"/>
    <cellStyle name="Normal 5 2 3 2 2 2 5 3 2" xfId="14892" xr:uid="{9D9E7C91-14ED-42AE-8C5A-4C3D44AC155F}"/>
    <cellStyle name="Normal 5 2 3 2 2 2 5 4" xfId="10674" xr:uid="{72261B05-3DFA-4597-891F-0B92F33D88F3}"/>
    <cellStyle name="Normal 5 2 3 2 2 2 6" xfId="2582" xr:uid="{00000000-0005-0000-0000-000047180000}"/>
    <cellStyle name="Normal 5 2 3 2 2 2 6 2" xfId="6866" xr:uid="{00000000-0005-0000-0000-000048180000}"/>
    <cellStyle name="Normal 5 2 3 2 2 2 6 2 2" xfId="15305" xr:uid="{3BE1F2E5-6D14-460B-ACA3-5309229304A3}"/>
    <cellStyle name="Normal 5 2 3 2 2 2 6 3" xfId="11087" xr:uid="{D664F224-78CF-419F-95A2-19DD5E08D110}"/>
    <cellStyle name="Normal 5 2 3 2 2 2 7" xfId="4801" xr:uid="{00000000-0005-0000-0000-000049180000}"/>
    <cellStyle name="Normal 5 2 3 2 2 2 7 2" xfId="13240" xr:uid="{DAB62F2B-C76C-48D6-97EB-DC8F0C8DBC73}"/>
    <cellStyle name="Normal 5 2 3 2 2 2 8" xfId="9022" xr:uid="{66310F12-B1CE-4DC3-848B-FCC7A528861A}"/>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F7F9299A-9CC2-49F4-8DC0-FD0AD4BB60F6}"/>
    <cellStyle name="Normal 5 2 3 2 2 3 2 3" xfId="11579" xr:uid="{F5C65BC0-4180-4DAA-936D-B26E0C5FC168}"/>
    <cellStyle name="Normal 5 2 3 2 2 3 3" xfId="5213" xr:uid="{00000000-0005-0000-0000-00004D180000}"/>
    <cellStyle name="Normal 5 2 3 2 2 3 3 2" xfId="13652" xr:uid="{EC703464-02FD-47C2-965D-8D3EFD6BE179}"/>
    <cellStyle name="Normal 5 2 3 2 2 3 4" xfId="9434" xr:uid="{0BD98BDE-D61D-4322-864D-B3C3F4CA67FD}"/>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F45D6A39-2ACB-4963-8044-2A7601E5F7EB}"/>
    <cellStyle name="Normal 5 2 3 2 2 4 2 3" xfId="11992" xr:uid="{4AC62A65-2689-4E56-A257-916D79CA037C}"/>
    <cellStyle name="Normal 5 2 3 2 2 4 3" xfId="5626" xr:uid="{00000000-0005-0000-0000-000051180000}"/>
    <cellStyle name="Normal 5 2 3 2 2 4 3 2" xfId="14065" xr:uid="{33ABF2BD-7EAC-4283-9905-23ECEB1356BC}"/>
    <cellStyle name="Normal 5 2 3 2 2 4 4" xfId="9847" xr:uid="{E1C35F82-B769-42CB-92B8-8551B5B1D502}"/>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AB92FC10-00CA-4E1D-87FF-627C5EEDCFFF}"/>
    <cellStyle name="Normal 5 2 3 2 2 5 2 3" xfId="12405" xr:uid="{78151D12-AAFD-4490-8BEB-88173E249A65}"/>
    <cellStyle name="Normal 5 2 3 2 2 5 3" xfId="6039" xr:uid="{00000000-0005-0000-0000-000055180000}"/>
    <cellStyle name="Normal 5 2 3 2 2 5 3 2" xfId="14478" xr:uid="{85512FB5-BF29-4BAA-BF1B-0A84A8344037}"/>
    <cellStyle name="Normal 5 2 3 2 2 5 4" xfId="10260" xr:uid="{0967B0C1-33CD-4657-BFB6-46E206BE054C}"/>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40C4EB97-50B3-48E9-97F0-4F866B5E8B51}"/>
    <cellStyle name="Normal 5 2 3 2 2 6 2 3" xfId="12818" xr:uid="{C5854CC5-9C94-4CE7-92C3-505C4DCAACD7}"/>
    <cellStyle name="Normal 5 2 3 2 2 6 3" xfId="6452" xr:uid="{00000000-0005-0000-0000-000059180000}"/>
    <cellStyle name="Normal 5 2 3 2 2 6 3 2" xfId="14891" xr:uid="{E425226C-02A9-4767-8A29-CC23D020929E}"/>
    <cellStyle name="Normal 5 2 3 2 2 6 4" xfId="10673" xr:uid="{D016A3D6-29E1-4CA3-8CF0-BE5E991DD57C}"/>
    <cellStyle name="Normal 5 2 3 2 2 7" xfId="2581" xr:uid="{00000000-0005-0000-0000-00005A180000}"/>
    <cellStyle name="Normal 5 2 3 2 2 7 2" xfId="6865" xr:uid="{00000000-0005-0000-0000-00005B180000}"/>
    <cellStyle name="Normal 5 2 3 2 2 7 2 2" xfId="15304" xr:uid="{0478720E-8485-4BC6-B3C7-60259452FA82}"/>
    <cellStyle name="Normal 5 2 3 2 2 7 3" xfId="11086" xr:uid="{F8D4D6E9-44DB-497D-80EA-A64B7AF497F8}"/>
    <cellStyle name="Normal 5 2 3 2 2 8" xfId="4800" xr:uid="{00000000-0005-0000-0000-00005C180000}"/>
    <cellStyle name="Normal 5 2 3 2 2 8 2" xfId="13239" xr:uid="{3B211B0D-B11B-48FE-9C25-7717EB5321B7}"/>
    <cellStyle name="Normal 5 2 3 2 2 9" xfId="9021" xr:uid="{CC99DA8D-B062-4B79-982A-5126AD1819C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627A2059-74AB-468D-BF78-33A00EFE07A4}"/>
    <cellStyle name="Normal 5 2 3 2 3 2 2 3" xfId="11581" xr:uid="{6B2F5319-2F66-454E-99E5-0BA8D810C9A3}"/>
    <cellStyle name="Normal 5 2 3 2 3 2 3" xfId="5215" xr:uid="{00000000-0005-0000-0000-000061180000}"/>
    <cellStyle name="Normal 5 2 3 2 3 2 3 2" xfId="13654" xr:uid="{B99B76FC-5106-4158-8750-D26365F4BDB7}"/>
    <cellStyle name="Normal 5 2 3 2 3 2 4" xfId="9436" xr:uid="{C7A1C44A-B7AC-464F-8ABC-8EC9F17EB843}"/>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025C6787-4482-4DCC-ABBD-4E413EB3F1D7}"/>
    <cellStyle name="Normal 5 2 3 2 3 3 2 3" xfId="11994" xr:uid="{A5C1B051-7404-4BB2-99CE-8ABF123947AC}"/>
    <cellStyle name="Normal 5 2 3 2 3 3 3" xfId="5628" xr:uid="{00000000-0005-0000-0000-000065180000}"/>
    <cellStyle name="Normal 5 2 3 2 3 3 3 2" xfId="14067" xr:uid="{7EC84E18-77BE-43B1-AE59-4C72A744DB1C}"/>
    <cellStyle name="Normal 5 2 3 2 3 3 4" xfId="9849" xr:uid="{8B36E36F-1D7B-487A-9284-7DD3E11B5012}"/>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09679B49-755F-4EEE-8B88-9C4593E2A5DE}"/>
    <cellStyle name="Normal 5 2 3 2 3 4 2 3" xfId="12407" xr:uid="{E0BB1370-D46F-4800-8C27-0D540A8BC35C}"/>
    <cellStyle name="Normal 5 2 3 2 3 4 3" xfId="6041" xr:uid="{00000000-0005-0000-0000-000069180000}"/>
    <cellStyle name="Normal 5 2 3 2 3 4 3 2" xfId="14480" xr:uid="{5128C750-0DFA-40F9-BA11-1B5926FEE7AA}"/>
    <cellStyle name="Normal 5 2 3 2 3 4 4" xfId="10262" xr:uid="{0CCA0CB9-D597-49D0-8BDB-26E960C7631D}"/>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9D840350-7E9F-4065-8711-284202663053}"/>
    <cellStyle name="Normal 5 2 3 2 3 5 2 3" xfId="12820" xr:uid="{5F467FAC-0334-4BF3-91DE-C100FA10CCFD}"/>
    <cellStyle name="Normal 5 2 3 2 3 5 3" xfId="6454" xr:uid="{00000000-0005-0000-0000-00006D180000}"/>
    <cellStyle name="Normal 5 2 3 2 3 5 3 2" xfId="14893" xr:uid="{A66AB183-BC38-48BF-9D21-7CEA26657FA2}"/>
    <cellStyle name="Normal 5 2 3 2 3 5 4" xfId="10675" xr:uid="{192465EC-906B-4764-874F-ACCBB7287FC7}"/>
    <cellStyle name="Normal 5 2 3 2 3 6" xfId="2583" xr:uid="{00000000-0005-0000-0000-00006E180000}"/>
    <cellStyle name="Normal 5 2 3 2 3 6 2" xfId="6867" xr:uid="{00000000-0005-0000-0000-00006F180000}"/>
    <cellStyle name="Normal 5 2 3 2 3 6 2 2" xfId="15306" xr:uid="{1B1DED09-07D2-4308-AAEE-565E286AA3C1}"/>
    <cellStyle name="Normal 5 2 3 2 3 6 3" xfId="11088" xr:uid="{10E07905-15D3-487A-A6AD-FCE612355869}"/>
    <cellStyle name="Normal 5 2 3 2 3 7" xfId="4802" xr:uid="{00000000-0005-0000-0000-000070180000}"/>
    <cellStyle name="Normal 5 2 3 2 3 7 2" xfId="13241" xr:uid="{C252B2FF-3A1D-402D-9850-F018D9E38C33}"/>
    <cellStyle name="Normal 5 2 3 2 3 8" xfId="9023" xr:uid="{0A8667A0-72F5-40C6-BC0A-42AF714E7F6E}"/>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CCBB6F15-A0DD-4C4B-A7E1-6DEE9D0E87D1}"/>
    <cellStyle name="Normal 5 2 3 2 4 2 3" xfId="11578" xr:uid="{2E57ACDB-02DE-43A7-8743-3E80AA960AF5}"/>
    <cellStyle name="Normal 5 2 3 2 4 3" xfId="5212" xr:uid="{00000000-0005-0000-0000-000074180000}"/>
    <cellStyle name="Normal 5 2 3 2 4 3 2" xfId="13651" xr:uid="{1F83E1DF-B9EA-4ECA-8D69-E880F179A47C}"/>
    <cellStyle name="Normal 5 2 3 2 4 4" xfId="9433" xr:uid="{4AAE3CF7-B767-47E8-B08E-8D89D71CD7F9}"/>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E9134051-437A-4F04-BE62-41AFC36DE90E}"/>
    <cellStyle name="Normal 5 2 3 2 5 2 3" xfId="11991" xr:uid="{36F6A3E1-79A3-4BC1-948E-00CD765A9E66}"/>
    <cellStyle name="Normal 5 2 3 2 5 3" xfId="5625" xr:uid="{00000000-0005-0000-0000-000078180000}"/>
    <cellStyle name="Normal 5 2 3 2 5 3 2" xfId="14064" xr:uid="{C6B99DDA-7837-46C4-B4DD-E16D78D238DF}"/>
    <cellStyle name="Normal 5 2 3 2 5 4" xfId="9846" xr:uid="{D2BE5882-3B3C-439E-9D20-54BF8D08D7A8}"/>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B4FF4F3C-361A-44DC-8011-15DF5FDF404A}"/>
    <cellStyle name="Normal 5 2 3 2 6 2 3" xfId="12404" xr:uid="{7ACC92BB-4117-477D-A27A-658293CC6EDF}"/>
    <cellStyle name="Normal 5 2 3 2 6 3" xfId="6038" xr:uid="{00000000-0005-0000-0000-00007C180000}"/>
    <cellStyle name="Normal 5 2 3 2 6 3 2" xfId="14477" xr:uid="{45AACC80-AA75-4BD5-A181-39FACC7DADFF}"/>
    <cellStyle name="Normal 5 2 3 2 6 4" xfId="10259" xr:uid="{0359919D-121B-4ABB-B8EF-E87C59AA24FB}"/>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4D3BB280-1208-4760-A10D-3FA68C5A8606}"/>
    <cellStyle name="Normal 5 2 3 2 7 2 3" xfId="12817" xr:uid="{A8A3AE7B-A483-4823-9960-AAE197B3D6C8}"/>
    <cellStyle name="Normal 5 2 3 2 7 3" xfId="6451" xr:uid="{00000000-0005-0000-0000-000080180000}"/>
    <cellStyle name="Normal 5 2 3 2 7 3 2" xfId="14890" xr:uid="{D332EFE3-8414-4A65-811E-B3E811F12232}"/>
    <cellStyle name="Normal 5 2 3 2 7 4" xfId="10672" xr:uid="{DA5D6327-6A40-4903-A46A-14C66E1E5820}"/>
    <cellStyle name="Normal 5 2 3 2 8" xfId="2580" xr:uid="{00000000-0005-0000-0000-000081180000}"/>
    <cellStyle name="Normal 5 2 3 2 8 2" xfId="6864" xr:uid="{00000000-0005-0000-0000-000082180000}"/>
    <cellStyle name="Normal 5 2 3 2 8 2 2" xfId="15303" xr:uid="{6E43AC0A-AEB6-4144-9FBA-61BF281F0199}"/>
    <cellStyle name="Normal 5 2 3 2 8 3" xfId="11085" xr:uid="{0436529D-BB4C-4157-8BC5-CAD7B8BF53AE}"/>
    <cellStyle name="Normal 5 2 3 2 9" xfId="4799" xr:uid="{00000000-0005-0000-0000-000083180000}"/>
    <cellStyle name="Normal 5 2 3 2 9 2" xfId="13238" xr:uid="{18C740BC-F315-43B5-B306-9544919870C7}"/>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9EA06CCB-64CA-414C-A511-838EDC2FAB36}"/>
    <cellStyle name="Normal 5 2 3 3 2 2 2 3" xfId="11583" xr:uid="{DA2E88FF-9351-4F31-BF1E-B4A942974610}"/>
    <cellStyle name="Normal 5 2 3 3 2 2 3" xfId="5217" xr:uid="{00000000-0005-0000-0000-000089180000}"/>
    <cellStyle name="Normal 5 2 3 3 2 2 3 2" xfId="13656" xr:uid="{050DDF8B-8C8E-40BA-89CA-18AB93002306}"/>
    <cellStyle name="Normal 5 2 3 3 2 2 4" xfId="9438" xr:uid="{C3A85A6A-BFA4-4105-8A67-A5609207A6CC}"/>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2AE734AF-C517-4EC3-AE2E-7EAF5828F9B2}"/>
    <cellStyle name="Normal 5 2 3 3 2 3 2 3" xfId="11996" xr:uid="{82FB786D-6180-4100-A627-53E3AC54B95B}"/>
    <cellStyle name="Normal 5 2 3 3 2 3 3" xfId="5630" xr:uid="{00000000-0005-0000-0000-00008D180000}"/>
    <cellStyle name="Normal 5 2 3 3 2 3 3 2" xfId="14069" xr:uid="{4A0A116C-EDD0-4084-BB60-30671B14558A}"/>
    <cellStyle name="Normal 5 2 3 3 2 3 4" xfId="9851" xr:uid="{32657FA0-D9CD-46F1-B6E1-54DAD8D41689}"/>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C6B4C24E-8B77-4902-8138-F21DA0627372}"/>
    <cellStyle name="Normal 5 2 3 3 2 4 2 3" xfId="12409" xr:uid="{09AD4B20-EF65-4DDE-9CDA-64B3CDFEF328}"/>
    <cellStyle name="Normal 5 2 3 3 2 4 3" xfId="6043" xr:uid="{00000000-0005-0000-0000-000091180000}"/>
    <cellStyle name="Normal 5 2 3 3 2 4 3 2" xfId="14482" xr:uid="{DC641F9A-7542-4E2A-9334-134867034BF2}"/>
    <cellStyle name="Normal 5 2 3 3 2 4 4" xfId="10264" xr:uid="{A316C044-9FA8-4FBC-B99B-FB5690A7B01D}"/>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609DDBC9-328B-42EE-A059-50762BEFEA7E}"/>
    <cellStyle name="Normal 5 2 3 3 2 5 2 3" xfId="12822" xr:uid="{F0318410-B47F-459F-A87D-F54B5E37FAA9}"/>
    <cellStyle name="Normal 5 2 3 3 2 5 3" xfId="6456" xr:uid="{00000000-0005-0000-0000-000095180000}"/>
    <cellStyle name="Normal 5 2 3 3 2 5 3 2" xfId="14895" xr:uid="{A46BAA3A-4A9D-4CB6-880E-C09948C1CFC8}"/>
    <cellStyle name="Normal 5 2 3 3 2 5 4" xfId="10677" xr:uid="{48F9A9F6-8D6B-4D72-BB7B-558485FAF8D8}"/>
    <cellStyle name="Normal 5 2 3 3 2 6" xfId="2585" xr:uid="{00000000-0005-0000-0000-000096180000}"/>
    <cellStyle name="Normal 5 2 3 3 2 6 2" xfId="6869" xr:uid="{00000000-0005-0000-0000-000097180000}"/>
    <cellStyle name="Normal 5 2 3 3 2 6 2 2" xfId="15308" xr:uid="{E2998C1D-066A-4FA0-BC2E-3F6F47526BEA}"/>
    <cellStyle name="Normal 5 2 3 3 2 6 3" xfId="11090" xr:uid="{89551251-7644-48D9-AFC2-04F4EB51B1E3}"/>
    <cellStyle name="Normal 5 2 3 3 2 7" xfId="4804" xr:uid="{00000000-0005-0000-0000-000098180000}"/>
    <cellStyle name="Normal 5 2 3 3 2 7 2" xfId="13243" xr:uid="{96325393-81F9-451F-B0A7-11D5A0E9E537}"/>
    <cellStyle name="Normal 5 2 3 3 2 8" xfId="9025" xr:uid="{6BDEBDE6-4270-45DE-8599-62874D13D90C}"/>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910FAB6F-8CD0-478E-8E57-564B4876518D}"/>
    <cellStyle name="Normal 5 2 3 3 3 2 3" xfId="11582" xr:uid="{F44AB560-16CF-4394-B017-699A3A383B72}"/>
    <cellStyle name="Normal 5 2 3 3 3 3" xfId="5216" xr:uid="{00000000-0005-0000-0000-00009C180000}"/>
    <cellStyle name="Normal 5 2 3 3 3 3 2" xfId="13655" xr:uid="{C3BDABEA-D7B5-4D98-A032-A8605B291CCC}"/>
    <cellStyle name="Normal 5 2 3 3 3 4" xfId="9437" xr:uid="{31342590-B4FE-4161-B5FD-6A96D32ACD36}"/>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B3D24E85-F0BE-4EC7-81E7-51A2E6EEF077}"/>
    <cellStyle name="Normal 5 2 3 3 4 2 3" xfId="11995" xr:uid="{1DA2CE5F-C5B9-4A57-91BF-3BEB7EEE21FA}"/>
    <cellStyle name="Normal 5 2 3 3 4 3" xfId="5629" xr:uid="{00000000-0005-0000-0000-0000A0180000}"/>
    <cellStyle name="Normal 5 2 3 3 4 3 2" xfId="14068" xr:uid="{5747A2C3-88B6-4DB6-BA7C-596559906D1B}"/>
    <cellStyle name="Normal 5 2 3 3 4 4" xfId="9850" xr:uid="{34322E3A-CA42-4400-9810-9295DCE08ABD}"/>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70FC3E36-5BBC-400E-B8BB-CFE138A7B92D}"/>
    <cellStyle name="Normal 5 2 3 3 5 2 3" xfId="12408" xr:uid="{C4291265-163E-4E60-B85F-B03884244C39}"/>
    <cellStyle name="Normal 5 2 3 3 5 3" xfId="6042" xr:uid="{00000000-0005-0000-0000-0000A4180000}"/>
    <cellStyle name="Normal 5 2 3 3 5 3 2" xfId="14481" xr:uid="{46E99D40-0C12-41E9-8324-327659807FF8}"/>
    <cellStyle name="Normal 5 2 3 3 5 4" xfId="10263" xr:uid="{F8D0D74C-9EC6-48E5-BA8E-1C40ABBCA4E4}"/>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E61CBF04-AD91-449A-8065-7234383E72C3}"/>
    <cellStyle name="Normal 5 2 3 3 6 2 3" xfId="12821" xr:uid="{F24328D9-1269-4E2C-A361-C74AF7BC3C20}"/>
    <cellStyle name="Normal 5 2 3 3 6 3" xfId="6455" xr:uid="{00000000-0005-0000-0000-0000A8180000}"/>
    <cellStyle name="Normal 5 2 3 3 6 3 2" xfId="14894" xr:uid="{0255D400-6C2B-479A-BB38-85A9DA2B9B08}"/>
    <cellStyle name="Normal 5 2 3 3 6 4" xfId="10676" xr:uid="{18918B7E-31F0-4A31-A66D-0AAD552E8079}"/>
    <cellStyle name="Normal 5 2 3 3 7" xfId="2584" xr:uid="{00000000-0005-0000-0000-0000A9180000}"/>
    <cellStyle name="Normal 5 2 3 3 7 2" xfId="6868" xr:uid="{00000000-0005-0000-0000-0000AA180000}"/>
    <cellStyle name="Normal 5 2 3 3 7 2 2" xfId="15307" xr:uid="{91A967A4-BE52-4338-BD82-FEE375E7F765}"/>
    <cellStyle name="Normal 5 2 3 3 7 3" xfId="11089" xr:uid="{21981627-2A4B-4B05-B2DE-4694BED1A473}"/>
    <cellStyle name="Normal 5 2 3 3 8" xfId="4803" xr:uid="{00000000-0005-0000-0000-0000AB180000}"/>
    <cellStyle name="Normal 5 2 3 3 8 2" xfId="13242" xr:uid="{0616271F-9570-4BAC-AEB2-C22748E12F7E}"/>
    <cellStyle name="Normal 5 2 3 3 9" xfId="9024" xr:uid="{E1E8F25B-515D-493D-9E16-C77E35BAA1CA}"/>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10022D97-B2EB-4366-9B36-2D9F690EDC28}"/>
    <cellStyle name="Normal 5 2 3 4 2 2 3" xfId="11584" xr:uid="{FC298740-091D-4D93-A253-A27B0E5D0534}"/>
    <cellStyle name="Normal 5 2 3 4 2 3" xfId="5218" xr:uid="{00000000-0005-0000-0000-0000B0180000}"/>
    <cellStyle name="Normal 5 2 3 4 2 3 2" xfId="13657" xr:uid="{1542E407-C640-4166-AC40-8F97D81479A1}"/>
    <cellStyle name="Normal 5 2 3 4 2 4" xfId="9439" xr:uid="{1D51148E-A5D5-48A4-A347-230E227068AF}"/>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565AEF22-A44B-4088-9C36-B65F04DEFCB8}"/>
    <cellStyle name="Normal 5 2 3 4 3 2 3" xfId="11997" xr:uid="{4C17A717-D519-4704-8E07-2E9C9694BFEC}"/>
    <cellStyle name="Normal 5 2 3 4 3 3" xfId="5631" xr:uid="{00000000-0005-0000-0000-0000B4180000}"/>
    <cellStyle name="Normal 5 2 3 4 3 3 2" xfId="14070" xr:uid="{F286B501-4015-4C0E-AB37-53D3F8EC250E}"/>
    <cellStyle name="Normal 5 2 3 4 3 4" xfId="9852" xr:uid="{0FEF13F7-44E6-49C2-B563-FBF70C105EFD}"/>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559F30D1-A424-4693-B9DD-4BC40745A562}"/>
    <cellStyle name="Normal 5 2 3 4 4 2 3" xfId="12410" xr:uid="{6399472C-82A9-41FF-884C-ABD195E4AD9A}"/>
    <cellStyle name="Normal 5 2 3 4 4 3" xfId="6044" xr:uid="{00000000-0005-0000-0000-0000B8180000}"/>
    <cellStyle name="Normal 5 2 3 4 4 3 2" xfId="14483" xr:uid="{978891BE-210A-4F40-8F8E-75C31E56526A}"/>
    <cellStyle name="Normal 5 2 3 4 4 4" xfId="10265" xr:uid="{63CC3CE6-ECB4-48E3-B63E-43AA55D7BED6}"/>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D235D8D8-58DE-4843-8E16-F89082570BBC}"/>
    <cellStyle name="Normal 5 2 3 4 5 2 3" xfId="12823" xr:uid="{097FD42A-70FA-418C-A6C7-29FC0B887454}"/>
    <cellStyle name="Normal 5 2 3 4 5 3" xfId="6457" xr:uid="{00000000-0005-0000-0000-0000BC180000}"/>
    <cellStyle name="Normal 5 2 3 4 5 3 2" xfId="14896" xr:uid="{51E58F0C-8F95-4CCE-A5CC-61F4B9C14D4D}"/>
    <cellStyle name="Normal 5 2 3 4 5 4" xfId="10678" xr:uid="{6643DC65-09C4-4367-B84A-2DDF1CA15E03}"/>
    <cellStyle name="Normal 5 2 3 4 6" xfId="2586" xr:uid="{00000000-0005-0000-0000-0000BD180000}"/>
    <cellStyle name="Normal 5 2 3 4 6 2" xfId="6870" xr:uid="{00000000-0005-0000-0000-0000BE180000}"/>
    <cellStyle name="Normal 5 2 3 4 6 2 2" xfId="15309" xr:uid="{97370593-91B3-4B4D-91C2-709346F303BC}"/>
    <cellStyle name="Normal 5 2 3 4 6 3" xfId="11091" xr:uid="{3A0576CA-1AE8-4B44-BB00-503F8DB16CCC}"/>
    <cellStyle name="Normal 5 2 3 4 7" xfId="4805" xr:uid="{00000000-0005-0000-0000-0000BF180000}"/>
    <cellStyle name="Normal 5 2 3 4 7 2" xfId="13244" xr:uid="{28767E27-DBD1-4A54-A2F3-C24D560C4694}"/>
    <cellStyle name="Normal 5 2 3 4 8" xfId="9026" xr:uid="{1925A118-42E1-44D6-B709-4F106A0D2A19}"/>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FEB8B848-9D7B-48EC-9217-D7F7BCF7BED2}"/>
    <cellStyle name="Normal 5 2 3 5 2 3" xfId="11577" xr:uid="{7071A01D-903C-46EE-A10C-9F3924C79056}"/>
    <cellStyle name="Normal 5 2 3 5 3" xfId="5211" xr:uid="{00000000-0005-0000-0000-0000C3180000}"/>
    <cellStyle name="Normal 5 2 3 5 3 2" xfId="13650" xr:uid="{6EF8D2A2-2640-45E8-A22F-6D463D27819F}"/>
    <cellStyle name="Normal 5 2 3 5 4" xfId="9432" xr:uid="{2F5472D4-7648-4C4C-8A4E-57D425158B62}"/>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BED113CD-23CE-4037-A619-9AA660058990}"/>
    <cellStyle name="Normal 5 2 3 6 2 3" xfId="11990" xr:uid="{1D8C5F32-2D8E-4817-B161-DC7499385A30}"/>
    <cellStyle name="Normal 5 2 3 6 3" xfId="5624" xr:uid="{00000000-0005-0000-0000-0000C7180000}"/>
    <cellStyle name="Normal 5 2 3 6 3 2" xfId="14063" xr:uid="{072BD9DD-8897-416F-AC75-8B74D6192645}"/>
    <cellStyle name="Normal 5 2 3 6 4" xfId="9845" xr:uid="{2EC1E4C5-430D-41C7-AFE7-D810D0ED00D6}"/>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7A40DE4E-1B55-44A3-A1C4-B750A0268A87}"/>
    <cellStyle name="Normal 5 2 3 7 2 3" xfId="12403" xr:uid="{D7527CAC-AFD7-4295-A7C7-99122AB69C78}"/>
    <cellStyle name="Normal 5 2 3 7 3" xfId="6037" xr:uid="{00000000-0005-0000-0000-0000CB180000}"/>
    <cellStyle name="Normal 5 2 3 7 3 2" xfId="14476" xr:uid="{FC62C9DA-32B3-43AF-A375-9071DCA59CF2}"/>
    <cellStyle name="Normal 5 2 3 7 4" xfId="10258" xr:uid="{00956C5A-EDEE-4748-8CCF-5C570C77D5B6}"/>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DA13CE00-3E45-4B87-AE33-65FBCCC8A238}"/>
    <cellStyle name="Normal 5 2 3 8 2 3" xfId="12816" xr:uid="{7331AD75-4F35-495F-8E04-661AE68B6823}"/>
    <cellStyle name="Normal 5 2 3 8 3" xfId="6450" xr:uid="{00000000-0005-0000-0000-0000CF180000}"/>
    <cellStyle name="Normal 5 2 3 8 3 2" xfId="14889" xr:uid="{F74257AE-6052-48B6-A982-DFFE662C84BD}"/>
    <cellStyle name="Normal 5 2 3 8 4" xfId="10671" xr:uid="{AA6AAB92-3716-4013-8541-907CCE6A9D71}"/>
    <cellStyle name="Normal 5 2 3 9" xfId="2579" xr:uid="{00000000-0005-0000-0000-0000D0180000}"/>
    <cellStyle name="Normal 5 2 3 9 2" xfId="6863" xr:uid="{00000000-0005-0000-0000-0000D1180000}"/>
    <cellStyle name="Normal 5 2 3 9 2 2" xfId="15302" xr:uid="{08C9E51A-6B2A-4D33-8ED2-78335E352CAC}"/>
    <cellStyle name="Normal 5 2 3 9 3" xfId="11084" xr:uid="{28AA0F2F-58A3-4742-B7F6-10865D092C00}"/>
    <cellStyle name="Normal 5 2 4" xfId="432" xr:uid="{00000000-0005-0000-0000-0000D2180000}"/>
    <cellStyle name="Normal 5 2 4 10" xfId="9027" xr:uid="{2DD8C5C7-4B2E-40FA-800C-94FFE3BAFB9B}"/>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17901C4E-BFFA-4147-A3FC-13F34ECE99BC}"/>
    <cellStyle name="Normal 5 2 4 2 2 2 2 3" xfId="11587" xr:uid="{2A90A369-4F5B-4BFA-8F5F-6067DCFD4D6D}"/>
    <cellStyle name="Normal 5 2 4 2 2 2 3" xfId="5221" xr:uid="{00000000-0005-0000-0000-0000D8180000}"/>
    <cellStyle name="Normal 5 2 4 2 2 2 3 2" xfId="13660" xr:uid="{3EA28EFB-98D3-443E-B7A9-5BEC237F355F}"/>
    <cellStyle name="Normal 5 2 4 2 2 2 4" xfId="9442" xr:uid="{5EF66D93-F88C-450F-8028-1B3DDAA8BB9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04BBAE39-9AD5-443B-8C07-E03A7DA01339}"/>
    <cellStyle name="Normal 5 2 4 2 2 3 2 3" xfId="12000" xr:uid="{91ABD38B-53C8-4F14-98BB-1D3D19A68791}"/>
    <cellStyle name="Normal 5 2 4 2 2 3 3" xfId="5634" xr:uid="{00000000-0005-0000-0000-0000DC180000}"/>
    <cellStyle name="Normal 5 2 4 2 2 3 3 2" xfId="14073" xr:uid="{D297F917-3AD7-4337-A9A1-95105C62C419}"/>
    <cellStyle name="Normal 5 2 4 2 2 3 4" xfId="9855" xr:uid="{2A3FEBDF-1C71-4649-BA8A-8FB845654757}"/>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3A699925-E3D8-481D-BF81-19E8A778FD54}"/>
    <cellStyle name="Normal 5 2 4 2 2 4 2 3" xfId="12413" xr:uid="{32D4B042-9B94-43C0-AE80-E3005B70F610}"/>
    <cellStyle name="Normal 5 2 4 2 2 4 3" xfId="6047" xr:uid="{00000000-0005-0000-0000-0000E0180000}"/>
    <cellStyle name="Normal 5 2 4 2 2 4 3 2" xfId="14486" xr:uid="{2A447138-1654-463F-B1D4-7A25F3B27E5A}"/>
    <cellStyle name="Normal 5 2 4 2 2 4 4" xfId="10268" xr:uid="{FDB8FCCA-9DC4-4235-BB0D-013F67C70FAE}"/>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D6CE1459-2812-4A19-93B1-22390CDD4E7C}"/>
    <cellStyle name="Normal 5 2 4 2 2 5 2 3" xfId="12826" xr:uid="{A62D0A2A-578F-4F7C-9FEE-6FEBC4B1C946}"/>
    <cellStyle name="Normal 5 2 4 2 2 5 3" xfId="6460" xr:uid="{00000000-0005-0000-0000-0000E4180000}"/>
    <cellStyle name="Normal 5 2 4 2 2 5 3 2" xfId="14899" xr:uid="{670744F7-8AEA-46DE-9E4E-B7AFAADC3F4C}"/>
    <cellStyle name="Normal 5 2 4 2 2 5 4" xfId="10681" xr:uid="{BBA3F08B-11AC-4E71-BC52-D37C6CEEFDC4}"/>
    <cellStyle name="Normal 5 2 4 2 2 6" xfId="2589" xr:uid="{00000000-0005-0000-0000-0000E5180000}"/>
    <cellStyle name="Normal 5 2 4 2 2 6 2" xfId="6873" xr:uid="{00000000-0005-0000-0000-0000E6180000}"/>
    <cellStyle name="Normal 5 2 4 2 2 6 2 2" xfId="15312" xr:uid="{C260CFB3-F057-45BB-A3A0-327FBF15E338}"/>
    <cellStyle name="Normal 5 2 4 2 2 6 3" xfId="11094" xr:uid="{95A1A417-5CE0-4EF9-8442-825904793C37}"/>
    <cellStyle name="Normal 5 2 4 2 2 7" xfId="4808" xr:uid="{00000000-0005-0000-0000-0000E7180000}"/>
    <cellStyle name="Normal 5 2 4 2 2 7 2" xfId="13247" xr:uid="{2B5BD72A-8B9C-45B4-A801-25AA94FCFC67}"/>
    <cellStyle name="Normal 5 2 4 2 2 8" xfId="9029" xr:uid="{E934FB3B-98C4-4BC9-A77B-A05E7179FAE8}"/>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0D9A4AA2-813C-43C9-95C7-19D9CC59DF9B}"/>
    <cellStyle name="Normal 5 2 4 2 3 2 3" xfId="11586" xr:uid="{594F2ED3-AFFE-4D4A-817A-BA06D158AC2D}"/>
    <cellStyle name="Normal 5 2 4 2 3 3" xfId="5220" xr:uid="{00000000-0005-0000-0000-0000EB180000}"/>
    <cellStyle name="Normal 5 2 4 2 3 3 2" xfId="13659" xr:uid="{1158BF44-42E0-48A6-850A-9EE7560CA364}"/>
    <cellStyle name="Normal 5 2 4 2 3 4" xfId="9441" xr:uid="{59B24778-05BE-4BC5-A569-D0ED65045BCA}"/>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ECD4647A-B63D-4E9D-AA4A-0C6B2CC4A816}"/>
    <cellStyle name="Normal 5 2 4 2 4 2 3" xfId="11999" xr:uid="{D71247F9-5ED1-4B70-BF04-53407F0CD9AF}"/>
    <cellStyle name="Normal 5 2 4 2 4 3" xfId="5633" xr:uid="{00000000-0005-0000-0000-0000EF180000}"/>
    <cellStyle name="Normal 5 2 4 2 4 3 2" xfId="14072" xr:uid="{EF282AAE-41B1-4381-9EAD-8733A9BAC077}"/>
    <cellStyle name="Normal 5 2 4 2 4 4" xfId="9854" xr:uid="{2409B1C3-F7DB-4829-9318-233135B0549E}"/>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7251C991-23A4-424F-AB65-71503DB06E83}"/>
    <cellStyle name="Normal 5 2 4 2 5 2 3" xfId="12412" xr:uid="{B258FB39-3CB6-437A-BFFC-B6D860B312DA}"/>
    <cellStyle name="Normal 5 2 4 2 5 3" xfId="6046" xr:uid="{00000000-0005-0000-0000-0000F3180000}"/>
    <cellStyle name="Normal 5 2 4 2 5 3 2" xfId="14485" xr:uid="{707CF760-E1DF-4EC5-8BE2-CCD50FA1D138}"/>
    <cellStyle name="Normal 5 2 4 2 5 4" xfId="10267" xr:uid="{8AB27930-53D3-4E42-AC5F-FAAD94D5CA38}"/>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D1DC3018-4852-4397-A9F9-FF78CA9DBD5A}"/>
    <cellStyle name="Normal 5 2 4 2 6 2 3" xfId="12825" xr:uid="{90C5E195-15BA-449A-A83F-66E2599FFE9D}"/>
    <cellStyle name="Normal 5 2 4 2 6 3" xfId="6459" xr:uid="{00000000-0005-0000-0000-0000F7180000}"/>
    <cellStyle name="Normal 5 2 4 2 6 3 2" xfId="14898" xr:uid="{5A54E715-5BED-4A86-9E95-FA1C7015B072}"/>
    <cellStyle name="Normal 5 2 4 2 6 4" xfId="10680" xr:uid="{079DF81A-E2FB-435E-A332-0759D7178897}"/>
    <cellStyle name="Normal 5 2 4 2 7" xfId="2588" xr:uid="{00000000-0005-0000-0000-0000F8180000}"/>
    <cellStyle name="Normal 5 2 4 2 7 2" xfId="6872" xr:uid="{00000000-0005-0000-0000-0000F9180000}"/>
    <cellStyle name="Normal 5 2 4 2 7 2 2" xfId="15311" xr:uid="{6AC09524-ACF0-493D-B526-E240D1999A09}"/>
    <cellStyle name="Normal 5 2 4 2 7 3" xfId="11093" xr:uid="{28584C50-EFC1-4549-9462-57BAB9905134}"/>
    <cellStyle name="Normal 5 2 4 2 8" xfId="4807" xr:uid="{00000000-0005-0000-0000-0000FA180000}"/>
    <cellStyle name="Normal 5 2 4 2 8 2" xfId="13246" xr:uid="{1F50447C-A72A-44AD-AAE0-A12FAF557FB9}"/>
    <cellStyle name="Normal 5 2 4 2 9" xfId="9028" xr:uid="{76AE7F64-1BB9-408F-824A-2B5B025C58F8}"/>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4767DF38-F971-4F22-8534-0EC9A07B6AF1}"/>
    <cellStyle name="Normal 5 2 4 3 2 2 3" xfId="11588" xr:uid="{F7395828-6779-4155-A09E-17E7A668710B}"/>
    <cellStyle name="Normal 5 2 4 3 2 3" xfId="5222" xr:uid="{00000000-0005-0000-0000-0000FF180000}"/>
    <cellStyle name="Normal 5 2 4 3 2 3 2" xfId="13661" xr:uid="{CBE8EDEB-0330-446C-B119-50205B6CE246}"/>
    <cellStyle name="Normal 5 2 4 3 2 4" xfId="9443" xr:uid="{DD751FB2-C7CC-4588-9823-F2ED0C127499}"/>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76214AD4-1BC3-48D2-9F76-4379B02FEDAE}"/>
    <cellStyle name="Normal 5 2 4 3 3 2 3" xfId="12001" xr:uid="{6611D1A6-3EA8-4297-8109-F8F5D51F2400}"/>
    <cellStyle name="Normal 5 2 4 3 3 3" xfId="5635" xr:uid="{00000000-0005-0000-0000-000003190000}"/>
    <cellStyle name="Normal 5 2 4 3 3 3 2" xfId="14074" xr:uid="{871690EF-C8EA-4F62-9768-400E031B2CBE}"/>
    <cellStyle name="Normal 5 2 4 3 3 4" xfId="9856" xr:uid="{F98CC19E-D266-409F-AA3B-74A65B1DE81B}"/>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44412332-830C-4B80-A722-CCE913533479}"/>
    <cellStyle name="Normal 5 2 4 3 4 2 3" xfId="12414" xr:uid="{05F348ED-9600-4F94-A709-F8BCC141BF9D}"/>
    <cellStyle name="Normal 5 2 4 3 4 3" xfId="6048" xr:uid="{00000000-0005-0000-0000-000007190000}"/>
    <cellStyle name="Normal 5 2 4 3 4 3 2" xfId="14487" xr:uid="{B066D24F-AD07-449A-B2D2-0DED65AE4D5A}"/>
    <cellStyle name="Normal 5 2 4 3 4 4" xfId="10269" xr:uid="{8B91B331-AC0D-4333-8D4E-21F3A088EC1C}"/>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55D678E9-42AD-4C15-8DB0-CEC6F131F16D}"/>
    <cellStyle name="Normal 5 2 4 3 5 2 3" xfId="12827" xr:uid="{DC6D1479-47A9-4371-9F2B-826861176E6C}"/>
    <cellStyle name="Normal 5 2 4 3 5 3" xfId="6461" xr:uid="{00000000-0005-0000-0000-00000B190000}"/>
    <cellStyle name="Normal 5 2 4 3 5 3 2" xfId="14900" xr:uid="{15B43FC4-C91C-4B5C-B906-3164AF2CDC5D}"/>
    <cellStyle name="Normal 5 2 4 3 5 4" xfId="10682" xr:uid="{D1518670-961A-499E-8AD5-F2FA90753604}"/>
    <cellStyle name="Normal 5 2 4 3 6" xfId="2590" xr:uid="{00000000-0005-0000-0000-00000C190000}"/>
    <cellStyle name="Normal 5 2 4 3 6 2" xfId="6874" xr:uid="{00000000-0005-0000-0000-00000D190000}"/>
    <cellStyle name="Normal 5 2 4 3 6 2 2" xfId="15313" xr:uid="{D04C9047-DC5A-4D5F-915C-C6DEAFC97878}"/>
    <cellStyle name="Normal 5 2 4 3 6 3" xfId="11095" xr:uid="{B313027F-2291-4FCE-8EC7-87E0CE088620}"/>
    <cellStyle name="Normal 5 2 4 3 7" xfId="4809" xr:uid="{00000000-0005-0000-0000-00000E190000}"/>
    <cellStyle name="Normal 5 2 4 3 7 2" xfId="13248" xr:uid="{C9DA7575-9FD4-4473-943E-993535269FBA}"/>
    <cellStyle name="Normal 5 2 4 3 8" xfId="9030" xr:uid="{82C26580-C3CC-4758-A3DF-A2CD553275B0}"/>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BD32D27D-5408-4F56-BDC7-566D59BB250E}"/>
    <cellStyle name="Normal 5 2 4 4 2 3" xfId="11585" xr:uid="{746824DD-CDD0-41A8-B4F3-94B6F76B0879}"/>
    <cellStyle name="Normal 5 2 4 4 3" xfId="5219" xr:uid="{00000000-0005-0000-0000-000012190000}"/>
    <cellStyle name="Normal 5 2 4 4 3 2" xfId="13658" xr:uid="{D318C9BB-66A3-465C-8669-0421B1A88AE4}"/>
    <cellStyle name="Normal 5 2 4 4 4" xfId="9440" xr:uid="{7C1BCF4D-AC58-48EB-91AD-B5EFCD0569E5}"/>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F34473D4-3F6A-4414-9CC7-A3A66E98E71B}"/>
    <cellStyle name="Normal 5 2 4 5 2 3" xfId="11998" xr:uid="{AB981AC5-C5ED-437B-B3A7-5467DCA405C7}"/>
    <cellStyle name="Normal 5 2 4 5 3" xfId="5632" xr:uid="{00000000-0005-0000-0000-000016190000}"/>
    <cellStyle name="Normal 5 2 4 5 3 2" xfId="14071" xr:uid="{DA1D694D-DCED-4AE7-BD43-37BD2D1754AA}"/>
    <cellStyle name="Normal 5 2 4 5 4" xfId="9853" xr:uid="{B082082B-7CA5-4B7F-B3E0-F9AD7A6FA085}"/>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DA62B8D6-FFC9-4D1C-A41E-8B27C6893457}"/>
    <cellStyle name="Normal 5 2 4 6 2 3" xfId="12411" xr:uid="{B3307371-5A50-42CF-ADE5-DC3F928BAABB}"/>
    <cellStyle name="Normal 5 2 4 6 3" xfId="6045" xr:uid="{00000000-0005-0000-0000-00001A190000}"/>
    <cellStyle name="Normal 5 2 4 6 3 2" xfId="14484" xr:uid="{0585376F-D606-441A-B5B4-FE570ACE8B85}"/>
    <cellStyle name="Normal 5 2 4 6 4" xfId="10266" xr:uid="{1C561C97-632B-4F38-B9BC-CC804D332899}"/>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0458435B-8335-40B7-BE5C-D2422F6A1E82}"/>
    <cellStyle name="Normal 5 2 4 7 2 3" xfId="12824" xr:uid="{959FBF72-4ADC-416E-95B7-F5A3F6BD838B}"/>
    <cellStyle name="Normal 5 2 4 7 3" xfId="6458" xr:uid="{00000000-0005-0000-0000-00001E190000}"/>
    <cellStyle name="Normal 5 2 4 7 3 2" xfId="14897" xr:uid="{BB4B6C51-7B99-481D-8BD2-50D48842C8D2}"/>
    <cellStyle name="Normal 5 2 4 7 4" xfId="10679" xr:uid="{2E4B2A5B-E112-45FB-BD82-4F994602B041}"/>
    <cellStyle name="Normal 5 2 4 8" xfId="2587" xr:uid="{00000000-0005-0000-0000-00001F190000}"/>
    <cellStyle name="Normal 5 2 4 8 2" xfId="6871" xr:uid="{00000000-0005-0000-0000-000020190000}"/>
    <cellStyle name="Normal 5 2 4 8 2 2" xfId="15310" xr:uid="{84B44622-84D6-400A-AF7B-98E22C0662C6}"/>
    <cellStyle name="Normal 5 2 4 8 3" xfId="11092" xr:uid="{E37F92DC-9A04-4D66-B93E-BDDA651414BF}"/>
    <cellStyle name="Normal 5 2 4 9" xfId="4806" xr:uid="{00000000-0005-0000-0000-000021190000}"/>
    <cellStyle name="Normal 5 2 4 9 2" xfId="13245" xr:uid="{0BFAC627-92C8-498A-9EB6-F58812625AB2}"/>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3D31BBCD-E0E6-4653-BF48-0556C67CD803}"/>
    <cellStyle name="Normal 5 2 5 2 2 2 3" xfId="11590" xr:uid="{C3EA5EA1-C9A7-4E0D-811D-BAF0461DB939}"/>
    <cellStyle name="Normal 5 2 5 2 2 3" xfId="5224" xr:uid="{00000000-0005-0000-0000-000027190000}"/>
    <cellStyle name="Normal 5 2 5 2 2 3 2" xfId="13663" xr:uid="{D8860369-464A-475A-87DB-D97C497B9BAF}"/>
    <cellStyle name="Normal 5 2 5 2 2 4" xfId="9445" xr:uid="{33D04E09-08CA-458D-B3D5-186D8DB620A1}"/>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E788B458-259C-4946-97F3-867CBC61538B}"/>
    <cellStyle name="Normal 5 2 5 2 3 2 3" xfId="12003" xr:uid="{D21BDBD0-80DD-4FC3-A6B5-2D95DBD1DAFD}"/>
    <cellStyle name="Normal 5 2 5 2 3 3" xfId="5637" xr:uid="{00000000-0005-0000-0000-00002B190000}"/>
    <cellStyle name="Normal 5 2 5 2 3 3 2" xfId="14076" xr:uid="{2C7F9619-2FBC-4CCF-BE9F-769D1EFFE626}"/>
    <cellStyle name="Normal 5 2 5 2 3 4" xfId="9858" xr:uid="{4E33508D-C729-4CD3-9EF2-663D34EC9E3D}"/>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288059B5-179A-4F11-A4FB-F39830F14138}"/>
    <cellStyle name="Normal 5 2 5 2 4 2 3" xfId="12416" xr:uid="{4F6117D2-CB57-4D06-BFF3-3A76E3FAB7FF}"/>
    <cellStyle name="Normal 5 2 5 2 4 3" xfId="6050" xr:uid="{00000000-0005-0000-0000-00002F190000}"/>
    <cellStyle name="Normal 5 2 5 2 4 3 2" xfId="14489" xr:uid="{0C9E594F-81A2-4927-83D4-E7EB34459A18}"/>
    <cellStyle name="Normal 5 2 5 2 4 4" xfId="10271" xr:uid="{44E95893-4AFE-4EBD-B2E2-B6B4068CDD4B}"/>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2206FA81-1CAE-4832-9CAD-7B950733A77A}"/>
    <cellStyle name="Normal 5 2 5 2 5 2 3" xfId="12829" xr:uid="{747B7F3C-47C8-4FFB-9E9E-17A12612AFB4}"/>
    <cellStyle name="Normal 5 2 5 2 5 3" xfId="6463" xr:uid="{00000000-0005-0000-0000-000033190000}"/>
    <cellStyle name="Normal 5 2 5 2 5 3 2" xfId="14902" xr:uid="{6DB41B13-58A2-4539-BBF5-78F4484729E2}"/>
    <cellStyle name="Normal 5 2 5 2 5 4" xfId="10684" xr:uid="{3DC6FBEA-2546-4E16-B431-1036B72442CD}"/>
    <cellStyle name="Normal 5 2 5 2 6" xfId="2592" xr:uid="{00000000-0005-0000-0000-000034190000}"/>
    <cellStyle name="Normal 5 2 5 2 6 2" xfId="6876" xr:uid="{00000000-0005-0000-0000-000035190000}"/>
    <cellStyle name="Normal 5 2 5 2 6 2 2" xfId="15315" xr:uid="{28C63ADC-0ADA-44D2-8EE9-CE3EDDE1EA89}"/>
    <cellStyle name="Normal 5 2 5 2 6 3" xfId="11097" xr:uid="{DD6B022E-FCFB-4E1E-8DFD-F07D72F479BF}"/>
    <cellStyle name="Normal 5 2 5 2 7" xfId="4811" xr:uid="{00000000-0005-0000-0000-000036190000}"/>
    <cellStyle name="Normal 5 2 5 2 7 2" xfId="13250" xr:uid="{2600893F-F1CA-4BA9-BFEA-A2F8C0DB9035}"/>
    <cellStyle name="Normal 5 2 5 2 8" xfId="9032" xr:uid="{0EF125B4-55A6-4390-B70E-A49AF5EE8C84}"/>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41B2EFC9-E7E3-4264-916A-07591046C508}"/>
    <cellStyle name="Normal 5 2 5 3 2 3" xfId="11589" xr:uid="{675D6033-719E-4FDA-8243-8553CA3EC525}"/>
    <cellStyle name="Normal 5 2 5 3 3" xfId="5223" xr:uid="{00000000-0005-0000-0000-00003A190000}"/>
    <cellStyle name="Normal 5 2 5 3 3 2" xfId="13662" xr:uid="{03058AF2-5BC3-4CE2-80B5-F0BC6E5ACFBB}"/>
    <cellStyle name="Normal 5 2 5 3 4" xfId="9444" xr:uid="{C33AD086-A53F-4EB5-8A16-071FBF8EC4D5}"/>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93A01D3F-AB0D-41B5-BFB0-1A1125038D46}"/>
    <cellStyle name="Normal 5 2 5 4 2 3" xfId="12002" xr:uid="{43FA439D-F76C-4D3F-9074-221F02FBF495}"/>
    <cellStyle name="Normal 5 2 5 4 3" xfId="5636" xr:uid="{00000000-0005-0000-0000-00003E190000}"/>
    <cellStyle name="Normal 5 2 5 4 3 2" xfId="14075" xr:uid="{C1B9AE4E-6F7A-491F-86F7-8E7F1058CC97}"/>
    <cellStyle name="Normal 5 2 5 4 4" xfId="9857" xr:uid="{108875F7-D387-4E07-B08F-2D2FE9E1DAC9}"/>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0DE244C8-2ABD-4F80-821A-79860B1332B0}"/>
    <cellStyle name="Normal 5 2 5 5 2 3" xfId="12415" xr:uid="{D3DDF90B-0866-4CF2-8822-7C5D22D90B28}"/>
    <cellStyle name="Normal 5 2 5 5 3" xfId="6049" xr:uid="{00000000-0005-0000-0000-000042190000}"/>
    <cellStyle name="Normal 5 2 5 5 3 2" xfId="14488" xr:uid="{9C2CDC2C-F2AE-49B7-A7BB-8A0BF0C44D4E}"/>
    <cellStyle name="Normal 5 2 5 5 4" xfId="10270" xr:uid="{CB71980C-D021-440B-BBB3-5A9E89779E04}"/>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6D924E4B-F321-488E-9677-BEEE9F18542B}"/>
    <cellStyle name="Normal 5 2 5 6 2 3" xfId="12828" xr:uid="{AACFEC91-B90B-436A-959E-3DED09F35E55}"/>
    <cellStyle name="Normal 5 2 5 6 3" xfId="6462" xr:uid="{00000000-0005-0000-0000-000046190000}"/>
    <cellStyle name="Normal 5 2 5 6 3 2" xfId="14901" xr:uid="{2B31F72D-4ABB-49D0-B8E1-64BA5FD959B5}"/>
    <cellStyle name="Normal 5 2 5 6 4" xfId="10683" xr:uid="{08EEFB68-25BB-4A90-ADC2-0AE769746F7E}"/>
    <cellStyle name="Normal 5 2 5 7" xfId="2591" xr:uid="{00000000-0005-0000-0000-000047190000}"/>
    <cellStyle name="Normal 5 2 5 7 2" xfId="6875" xr:uid="{00000000-0005-0000-0000-000048190000}"/>
    <cellStyle name="Normal 5 2 5 7 2 2" xfId="15314" xr:uid="{2B306FB3-759F-4838-B8F8-7C5A00D15F48}"/>
    <cellStyle name="Normal 5 2 5 7 3" xfId="11096" xr:uid="{D3332720-09F4-4E3C-9218-2239B8BFF9BD}"/>
    <cellStyle name="Normal 5 2 5 8" xfId="4810" xr:uid="{00000000-0005-0000-0000-000049190000}"/>
    <cellStyle name="Normal 5 2 5 8 2" xfId="13249" xr:uid="{3E27C598-4987-4E64-A76C-494117CEABF6}"/>
    <cellStyle name="Normal 5 2 5 9" xfId="9031" xr:uid="{BEF69918-D5FA-430D-8C4C-C90E36EE3A2B}"/>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18FFD229-26F3-42CE-9C13-32F0E0F70037}"/>
    <cellStyle name="Normal 5 2 6 2 2 3" xfId="11591" xr:uid="{9B4B7FF9-0645-4206-B465-EB4C5029554B}"/>
    <cellStyle name="Normal 5 2 6 2 3" xfId="5225" xr:uid="{00000000-0005-0000-0000-00004E190000}"/>
    <cellStyle name="Normal 5 2 6 2 3 2" xfId="13664" xr:uid="{BE3F5CBD-B7C6-4361-B211-9A62DC639DD0}"/>
    <cellStyle name="Normal 5 2 6 2 4" xfId="9446" xr:uid="{50C801C2-ECCA-42B9-AC65-21E9A3AE3D28}"/>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E272C150-A811-4641-9A26-86360FFD6491}"/>
    <cellStyle name="Normal 5 2 6 3 2 3" xfId="12004" xr:uid="{005090B1-00A7-4FBB-AF25-B9EF419CE92B}"/>
    <cellStyle name="Normal 5 2 6 3 3" xfId="5638" xr:uid="{00000000-0005-0000-0000-000052190000}"/>
    <cellStyle name="Normal 5 2 6 3 3 2" xfId="14077" xr:uid="{DC4C940B-462C-4271-A0E6-7AB62311AF96}"/>
    <cellStyle name="Normal 5 2 6 3 4" xfId="9859" xr:uid="{AE63C9E2-F1BD-437A-9234-93EB2FD06E76}"/>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E69F9FEF-459B-47DC-9532-4E566D124695}"/>
    <cellStyle name="Normal 5 2 6 4 2 3" xfId="12417" xr:uid="{CDA6AA46-AADE-4F4B-BC4E-2F676E829D42}"/>
    <cellStyle name="Normal 5 2 6 4 3" xfId="6051" xr:uid="{00000000-0005-0000-0000-000056190000}"/>
    <cellStyle name="Normal 5 2 6 4 3 2" xfId="14490" xr:uid="{6AA2DECA-DBEF-46EF-895B-5EB8742D7691}"/>
    <cellStyle name="Normal 5 2 6 4 4" xfId="10272" xr:uid="{77B4EF8A-AC94-44DF-B28F-2FFD34FB8534}"/>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75A15933-2C9A-404F-BC91-F2CBFEF201B5}"/>
    <cellStyle name="Normal 5 2 6 5 2 3" xfId="12830" xr:uid="{65951C6B-1D6B-4E76-BF1C-36B6999D2FC0}"/>
    <cellStyle name="Normal 5 2 6 5 3" xfId="6464" xr:uid="{00000000-0005-0000-0000-00005A190000}"/>
    <cellStyle name="Normal 5 2 6 5 3 2" xfId="14903" xr:uid="{4DB37F99-9B35-42BD-A8D0-5DD430A0E396}"/>
    <cellStyle name="Normal 5 2 6 5 4" xfId="10685" xr:uid="{14C5BADE-25D9-4882-8F0D-A99761F93404}"/>
    <cellStyle name="Normal 5 2 6 6" xfId="2593" xr:uid="{00000000-0005-0000-0000-00005B190000}"/>
    <cellStyle name="Normal 5 2 6 6 2" xfId="6877" xr:uid="{00000000-0005-0000-0000-00005C190000}"/>
    <cellStyle name="Normal 5 2 6 6 2 2" xfId="15316" xr:uid="{E315AA6E-424E-42B5-A7B1-690B69C42442}"/>
    <cellStyle name="Normal 5 2 6 6 3" xfId="11098" xr:uid="{1C623516-2E1C-4EB7-9691-FFC9614A9C45}"/>
    <cellStyle name="Normal 5 2 6 7" xfId="4812" xr:uid="{00000000-0005-0000-0000-00005D190000}"/>
    <cellStyle name="Normal 5 2 6 7 2" xfId="13251" xr:uid="{FE63184E-DBAB-4AFC-9A9C-13BDFC47DC36}"/>
    <cellStyle name="Normal 5 2 6 8" xfId="9033" xr:uid="{A0252F00-1077-43C4-B35E-41D7B68FCCE2}"/>
    <cellStyle name="Normal 5 2 7" xfId="881" xr:uid="{00000000-0005-0000-0000-00005E190000}"/>
    <cellStyle name="Normal 5 2 7 2" xfId="3116" xr:uid="{00000000-0005-0000-0000-00005F190000}"/>
    <cellStyle name="Normal 5 2 7 2 2" xfId="7339" xr:uid="{00000000-0005-0000-0000-000060190000}"/>
    <cellStyle name="Normal 5 2 7 2 2 2" xfId="15778" xr:uid="{940E4B4C-5A8D-4667-A4E3-6FE2A597EBD5}"/>
    <cellStyle name="Normal 5 2 7 2 3" xfId="11560" xr:uid="{9176903A-1F99-44D6-8A98-3B43A01B9E8E}"/>
    <cellStyle name="Normal 5 2 7 3" xfId="5194" xr:uid="{00000000-0005-0000-0000-000061190000}"/>
    <cellStyle name="Normal 5 2 7 3 2" xfId="13633" xr:uid="{0984CDA5-2B06-488D-B63D-139128A5375F}"/>
    <cellStyle name="Normal 5 2 7 4" xfId="9415" xr:uid="{4B81C00B-AF33-43B6-80A7-5E5C22C41499}"/>
    <cellStyle name="Normal 5 2 8" xfId="1299" xr:uid="{00000000-0005-0000-0000-000062190000}"/>
    <cellStyle name="Normal 5 2 8 2" xfId="3529" xr:uid="{00000000-0005-0000-0000-000063190000}"/>
    <cellStyle name="Normal 5 2 8 2 2" xfId="7752" xr:uid="{00000000-0005-0000-0000-000064190000}"/>
    <cellStyle name="Normal 5 2 8 2 2 2" xfId="16191" xr:uid="{4D61BF1B-77D6-4E99-9FF5-B34C0C51C300}"/>
    <cellStyle name="Normal 5 2 8 2 3" xfId="11973" xr:uid="{A1E31543-C903-4911-9F78-1D27E2A4F720}"/>
    <cellStyle name="Normal 5 2 8 3" xfId="5607" xr:uid="{00000000-0005-0000-0000-000065190000}"/>
    <cellStyle name="Normal 5 2 8 3 2" xfId="14046" xr:uid="{710CFD08-7C66-4975-9855-CB2B6A8E8D31}"/>
    <cellStyle name="Normal 5 2 8 4" xfId="9828" xr:uid="{77F29E32-783D-4CC1-B0BC-E5E6751F15CD}"/>
    <cellStyle name="Normal 5 2 9" xfId="1712" xr:uid="{00000000-0005-0000-0000-000066190000}"/>
    <cellStyle name="Normal 5 2 9 2" xfId="3942" xr:uid="{00000000-0005-0000-0000-000067190000}"/>
    <cellStyle name="Normal 5 2 9 2 2" xfId="8165" xr:uid="{00000000-0005-0000-0000-000068190000}"/>
    <cellStyle name="Normal 5 2 9 2 2 2" xfId="16604" xr:uid="{F38F7AFA-6F3B-4783-AFAD-CE82175059D2}"/>
    <cellStyle name="Normal 5 2 9 2 3" xfId="12386" xr:uid="{1D435F67-774E-4CD2-85A8-6D21A4D8DDF6}"/>
    <cellStyle name="Normal 5 2 9 3" xfId="6020" xr:uid="{00000000-0005-0000-0000-000069190000}"/>
    <cellStyle name="Normal 5 2 9 3 2" xfId="14459" xr:uid="{133250B0-D8D0-4BD4-AA09-C54B765066E0}"/>
    <cellStyle name="Normal 5 2 9 4" xfId="10241" xr:uid="{0E7ADFA1-A373-4C26-95B7-2D282305FCE7}"/>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04E1B1E8-4520-4DBA-B0C7-34DC9A7591AB}"/>
    <cellStyle name="Normal 5 3 10 2 3" xfId="12831" xr:uid="{FDB630FA-F73D-4A62-A959-2CADBA078934}"/>
    <cellStyle name="Normal 5 3 10 3" xfId="6465" xr:uid="{00000000-0005-0000-0000-00006E190000}"/>
    <cellStyle name="Normal 5 3 10 3 2" xfId="14904" xr:uid="{5E0B1D3E-BDC2-4710-910B-7B61139F8130}"/>
    <cellStyle name="Normal 5 3 10 4" xfId="10686" xr:uid="{0EDA1AB4-FF7B-474B-8712-10D7815CDEC7}"/>
    <cellStyle name="Normal 5 3 11" xfId="2594" xr:uid="{00000000-0005-0000-0000-00006F190000}"/>
    <cellStyle name="Normal 5 3 11 2" xfId="6878" xr:uid="{00000000-0005-0000-0000-000070190000}"/>
    <cellStyle name="Normal 5 3 11 2 2" xfId="15317" xr:uid="{90C030E0-ADE4-440D-876B-ABC0A22D3D6C}"/>
    <cellStyle name="Normal 5 3 11 3" xfId="11099" xr:uid="{274AEFC3-F3A6-4255-A67A-678AC6D3E7DA}"/>
    <cellStyle name="Normal 5 3 12" xfId="4813" xr:uid="{00000000-0005-0000-0000-000071190000}"/>
    <cellStyle name="Normal 5 3 12 2" xfId="13252" xr:uid="{6C10AEDA-128E-4EF8-A461-9E28BA666279}"/>
    <cellStyle name="Normal 5 3 13" xfId="9034" xr:uid="{796FEC00-2475-43A4-94F5-194B9203081F}"/>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88AF0E02-03B7-43FF-95C2-053E11903C36}"/>
    <cellStyle name="Normal 5 3 3 11" xfId="9035" xr:uid="{B9B132B4-4EC5-4C37-BDD9-D95AD1A5C895}"/>
    <cellStyle name="Normal 5 3 3 2" xfId="442" xr:uid="{00000000-0005-0000-0000-000076190000}"/>
    <cellStyle name="Normal 5 3 3 2 10" xfId="9036" xr:uid="{3DBE0DCC-647F-47F5-84C8-89A3A27BB6C1}"/>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BAA06DFC-9FD9-4F53-9D65-6CCDC1AE4624}"/>
    <cellStyle name="Normal 5 3 3 2 2 2 2 2 3" xfId="11596" xr:uid="{8CC8362C-087D-4E47-A7CD-9ABE2D4B2820}"/>
    <cellStyle name="Normal 5 3 3 2 2 2 2 3" xfId="5230" xr:uid="{00000000-0005-0000-0000-00007C190000}"/>
    <cellStyle name="Normal 5 3 3 2 2 2 2 3 2" xfId="13669" xr:uid="{22B51D08-B560-439E-8BB5-749B00C1891E}"/>
    <cellStyle name="Normal 5 3 3 2 2 2 2 4" xfId="9451" xr:uid="{35CFCE5C-34F7-4719-9968-B27E113CE7AD}"/>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4EFCDE5F-7C27-4C7E-B111-59AF6180BC6B}"/>
    <cellStyle name="Normal 5 3 3 2 2 2 3 2 3" xfId="12009" xr:uid="{AE203660-15B2-4C0C-962E-239150B21A59}"/>
    <cellStyle name="Normal 5 3 3 2 2 2 3 3" xfId="5643" xr:uid="{00000000-0005-0000-0000-000080190000}"/>
    <cellStyle name="Normal 5 3 3 2 2 2 3 3 2" xfId="14082" xr:uid="{EFDBED61-96E2-48AE-92FC-AA3BB54D0A51}"/>
    <cellStyle name="Normal 5 3 3 2 2 2 3 4" xfId="9864" xr:uid="{DB16F5AE-FFB5-437E-8782-9F950EC99E4B}"/>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8C76498A-5FA6-43E2-92F9-B3F547812754}"/>
    <cellStyle name="Normal 5 3 3 2 2 2 4 2 3" xfId="12422" xr:uid="{F9C3BA60-08E8-4415-99B8-DD978B8BBCD3}"/>
    <cellStyle name="Normal 5 3 3 2 2 2 4 3" xfId="6056" xr:uid="{00000000-0005-0000-0000-000084190000}"/>
    <cellStyle name="Normal 5 3 3 2 2 2 4 3 2" xfId="14495" xr:uid="{7605DEEE-2B86-422A-A1BE-069CE4BE9A1F}"/>
    <cellStyle name="Normal 5 3 3 2 2 2 4 4" xfId="10277" xr:uid="{D7592C0B-40A7-42DC-B4D2-B7B44FCBFD85}"/>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FA3E616A-4524-4FEB-BB6A-9FF44E4815A3}"/>
    <cellStyle name="Normal 5 3 3 2 2 2 5 2 3" xfId="12835" xr:uid="{B1B7AD3F-7A75-44E7-85AE-DBF68D15CAAD}"/>
    <cellStyle name="Normal 5 3 3 2 2 2 5 3" xfId="6469" xr:uid="{00000000-0005-0000-0000-000088190000}"/>
    <cellStyle name="Normal 5 3 3 2 2 2 5 3 2" xfId="14908" xr:uid="{E3090416-F8E8-48F8-A762-75BB8B7B90BC}"/>
    <cellStyle name="Normal 5 3 3 2 2 2 5 4" xfId="10690" xr:uid="{FEF8B45D-4D9E-4733-A420-0F0091781522}"/>
    <cellStyle name="Normal 5 3 3 2 2 2 6" xfId="2598" xr:uid="{00000000-0005-0000-0000-000089190000}"/>
    <cellStyle name="Normal 5 3 3 2 2 2 6 2" xfId="6882" xr:uid="{00000000-0005-0000-0000-00008A190000}"/>
    <cellStyle name="Normal 5 3 3 2 2 2 6 2 2" xfId="15321" xr:uid="{DC37EA01-F7C1-46B4-BBBE-C1759F8AB1A3}"/>
    <cellStyle name="Normal 5 3 3 2 2 2 6 3" xfId="11103" xr:uid="{6F8990CD-EA59-4067-8F31-DFDBB3881F9A}"/>
    <cellStyle name="Normal 5 3 3 2 2 2 7" xfId="4817" xr:uid="{00000000-0005-0000-0000-00008B190000}"/>
    <cellStyle name="Normal 5 3 3 2 2 2 7 2" xfId="13256" xr:uid="{8DA39262-D5AD-49BB-90F5-FF361D6676B8}"/>
    <cellStyle name="Normal 5 3 3 2 2 2 8" xfId="9038" xr:uid="{BAF3DD5E-815B-4648-8C92-192B4153A2F9}"/>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3B606AAD-B1F7-40E8-962D-336F40F86D12}"/>
    <cellStyle name="Normal 5 3 3 2 2 3 2 3" xfId="11595" xr:uid="{710334A7-8550-4F4B-9E0E-70EF4F1CB25A}"/>
    <cellStyle name="Normal 5 3 3 2 2 3 3" xfId="5229" xr:uid="{00000000-0005-0000-0000-00008F190000}"/>
    <cellStyle name="Normal 5 3 3 2 2 3 3 2" xfId="13668" xr:uid="{C5C32C3E-4636-430D-80A0-20606770070A}"/>
    <cellStyle name="Normal 5 3 3 2 2 3 4" xfId="9450" xr:uid="{D09137C8-AFA4-4878-9DBA-E09978B5E028}"/>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FAC21C6C-3BE4-4F5A-AC57-4DEC94133600}"/>
    <cellStyle name="Normal 5 3 3 2 2 4 2 3" xfId="12008" xr:uid="{AE3B3FEB-9FF8-437A-A3FD-5B84700ADE73}"/>
    <cellStyle name="Normal 5 3 3 2 2 4 3" xfId="5642" xr:uid="{00000000-0005-0000-0000-000093190000}"/>
    <cellStyle name="Normal 5 3 3 2 2 4 3 2" xfId="14081" xr:uid="{7EADCB1C-F421-4E1F-9BA8-5506E3CE8AAB}"/>
    <cellStyle name="Normal 5 3 3 2 2 4 4" xfId="9863" xr:uid="{54EB7582-C4C8-4BE4-A98D-C8F5A791310D}"/>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A55BA97F-5135-4C8D-8EAD-391633B9A88A}"/>
    <cellStyle name="Normal 5 3 3 2 2 5 2 3" xfId="12421" xr:uid="{97FFE41A-D6E2-4191-B69D-762D64FD1CC9}"/>
    <cellStyle name="Normal 5 3 3 2 2 5 3" xfId="6055" xr:uid="{00000000-0005-0000-0000-000097190000}"/>
    <cellStyle name="Normal 5 3 3 2 2 5 3 2" xfId="14494" xr:uid="{1E26A08B-EFBC-47A4-B559-57711CC7A01D}"/>
    <cellStyle name="Normal 5 3 3 2 2 5 4" xfId="10276" xr:uid="{A2053928-FD92-47F1-AC5D-B5B27A543887}"/>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53ADC973-A6B5-432A-AA4B-6510E165B240}"/>
    <cellStyle name="Normal 5 3 3 2 2 6 2 3" xfId="12834" xr:uid="{9972A763-1432-42AF-AF88-01F589244699}"/>
    <cellStyle name="Normal 5 3 3 2 2 6 3" xfId="6468" xr:uid="{00000000-0005-0000-0000-00009B190000}"/>
    <cellStyle name="Normal 5 3 3 2 2 6 3 2" xfId="14907" xr:uid="{2C563F07-7042-482F-A925-BFE3DF2C0A62}"/>
    <cellStyle name="Normal 5 3 3 2 2 6 4" xfId="10689" xr:uid="{40E52092-4A21-4AFB-AB6D-CC23EA50F92F}"/>
    <cellStyle name="Normal 5 3 3 2 2 7" xfId="2597" xr:uid="{00000000-0005-0000-0000-00009C190000}"/>
    <cellStyle name="Normal 5 3 3 2 2 7 2" xfId="6881" xr:uid="{00000000-0005-0000-0000-00009D190000}"/>
    <cellStyle name="Normal 5 3 3 2 2 7 2 2" xfId="15320" xr:uid="{74EE4EFE-4176-4759-BDA4-E735B22CA636}"/>
    <cellStyle name="Normal 5 3 3 2 2 7 3" xfId="11102" xr:uid="{4D54320D-B8C9-458A-9CB2-4F761D5459DF}"/>
    <cellStyle name="Normal 5 3 3 2 2 8" xfId="4816" xr:uid="{00000000-0005-0000-0000-00009E190000}"/>
    <cellStyle name="Normal 5 3 3 2 2 8 2" xfId="13255" xr:uid="{23FEAF62-584F-4BE6-B94E-4BB1EF586746}"/>
    <cellStyle name="Normal 5 3 3 2 2 9" xfId="9037" xr:uid="{E1A47E4B-ABB6-4F84-B163-3DFC2C03600C}"/>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D037A859-CA05-4972-9434-EACF916BA175}"/>
    <cellStyle name="Normal 5 3 3 2 3 2 2 3" xfId="11597" xr:uid="{1D2036AB-695F-4998-A8DD-CF96A818736D}"/>
    <cellStyle name="Normal 5 3 3 2 3 2 3" xfId="5231" xr:uid="{00000000-0005-0000-0000-0000A3190000}"/>
    <cellStyle name="Normal 5 3 3 2 3 2 3 2" xfId="13670" xr:uid="{D32B3519-3AC2-4CC9-BC67-28C1C901713E}"/>
    <cellStyle name="Normal 5 3 3 2 3 2 4" xfId="9452" xr:uid="{4E789C7B-77CF-4D05-B562-E1C04816AA81}"/>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2A3085CC-9D46-48B8-8A9C-6806E7296637}"/>
    <cellStyle name="Normal 5 3 3 2 3 3 2 3" xfId="12010" xr:uid="{2766817C-CAF8-4AFC-A6E3-5CD2DA900A1E}"/>
    <cellStyle name="Normal 5 3 3 2 3 3 3" xfId="5644" xr:uid="{00000000-0005-0000-0000-0000A7190000}"/>
    <cellStyle name="Normal 5 3 3 2 3 3 3 2" xfId="14083" xr:uid="{F12B1AAD-B4D7-4663-8CC1-E4F363B76098}"/>
    <cellStyle name="Normal 5 3 3 2 3 3 4" xfId="9865" xr:uid="{9A047D96-A04D-4E0B-A455-885DE00E71EA}"/>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3901D422-419D-4664-A56F-6B2904582B00}"/>
    <cellStyle name="Normal 5 3 3 2 3 4 2 3" xfId="12423" xr:uid="{FAA5E5A7-CD3E-4274-947D-07B60774C63A}"/>
    <cellStyle name="Normal 5 3 3 2 3 4 3" xfId="6057" xr:uid="{00000000-0005-0000-0000-0000AB190000}"/>
    <cellStyle name="Normal 5 3 3 2 3 4 3 2" xfId="14496" xr:uid="{5E89A818-B3B4-44D4-8F6D-249A4B858D39}"/>
    <cellStyle name="Normal 5 3 3 2 3 4 4" xfId="10278" xr:uid="{1AB42BAA-EB68-44FD-B63C-8D5FA081104B}"/>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015170A7-F2B5-4C08-87DD-C54C699A9664}"/>
    <cellStyle name="Normal 5 3 3 2 3 5 2 3" xfId="12836" xr:uid="{93AF56E7-13A6-452A-9E07-DC23BCD0689C}"/>
    <cellStyle name="Normal 5 3 3 2 3 5 3" xfId="6470" xr:uid="{00000000-0005-0000-0000-0000AF190000}"/>
    <cellStyle name="Normal 5 3 3 2 3 5 3 2" xfId="14909" xr:uid="{ADF55002-A867-4781-AA00-C825E3097D66}"/>
    <cellStyle name="Normal 5 3 3 2 3 5 4" xfId="10691" xr:uid="{BCCAA350-7899-461F-B3FC-1F568A7790A2}"/>
    <cellStyle name="Normal 5 3 3 2 3 6" xfId="2599" xr:uid="{00000000-0005-0000-0000-0000B0190000}"/>
    <cellStyle name="Normal 5 3 3 2 3 6 2" xfId="6883" xr:uid="{00000000-0005-0000-0000-0000B1190000}"/>
    <cellStyle name="Normal 5 3 3 2 3 6 2 2" xfId="15322" xr:uid="{B91E3496-4A25-412E-B162-2C6EF2204668}"/>
    <cellStyle name="Normal 5 3 3 2 3 6 3" xfId="11104" xr:uid="{6EBB08D4-5FF7-4EB2-B678-DAEB542559C7}"/>
    <cellStyle name="Normal 5 3 3 2 3 7" xfId="4818" xr:uid="{00000000-0005-0000-0000-0000B2190000}"/>
    <cellStyle name="Normal 5 3 3 2 3 7 2" xfId="13257" xr:uid="{936E5487-C302-440D-9EB0-BB487B0D8963}"/>
    <cellStyle name="Normal 5 3 3 2 3 8" xfId="9039" xr:uid="{155CAB8D-9741-4B5C-B937-1F71D31976CD}"/>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9EA095EE-8767-4375-95E0-7587337331B2}"/>
    <cellStyle name="Normal 5 3 3 2 4 2 3" xfId="11594" xr:uid="{4D79F930-DEF8-400F-9A37-5981968ACA67}"/>
    <cellStyle name="Normal 5 3 3 2 4 3" xfId="5228" xr:uid="{00000000-0005-0000-0000-0000B6190000}"/>
    <cellStyle name="Normal 5 3 3 2 4 3 2" xfId="13667" xr:uid="{85F3A9F5-4CD6-4ABC-94CB-C1101C937743}"/>
    <cellStyle name="Normal 5 3 3 2 4 4" xfId="9449" xr:uid="{70A8BDD1-C13E-4B4C-ADBC-92BF8982C413}"/>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8AB02CA9-04AE-46C6-A76D-9D040BF7303C}"/>
    <cellStyle name="Normal 5 3 3 2 5 2 3" xfId="12007" xr:uid="{C27FC943-AF37-4CCF-9D48-6143AED54646}"/>
    <cellStyle name="Normal 5 3 3 2 5 3" xfId="5641" xr:uid="{00000000-0005-0000-0000-0000BA190000}"/>
    <cellStyle name="Normal 5 3 3 2 5 3 2" xfId="14080" xr:uid="{3DF03671-D1D0-47C8-B068-3B5EFA373E91}"/>
    <cellStyle name="Normal 5 3 3 2 5 4" xfId="9862" xr:uid="{6E40227C-2052-438B-ADAD-727CFBE650BC}"/>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56B7A738-55CB-46AA-B024-B873A680D727}"/>
    <cellStyle name="Normal 5 3 3 2 6 2 3" xfId="12420" xr:uid="{5E567E49-9E0A-4BD4-896F-898A3F065D58}"/>
    <cellStyle name="Normal 5 3 3 2 6 3" xfId="6054" xr:uid="{00000000-0005-0000-0000-0000BE190000}"/>
    <cellStyle name="Normal 5 3 3 2 6 3 2" xfId="14493" xr:uid="{395147EA-470D-4B48-B941-2E8446CC60B2}"/>
    <cellStyle name="Normal 5 3 3 2 6 4" xfId="10275" xr:uid="{09B83621-7F8F-49E8-85BE-E474E0F57C14}"/>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5AC979CD-4BC4-48D1-BB09-DA6DDA444006}"/>
    <cellStyle name="Normal 5 3 3 2 7 2 3" xfId="12833" xr:uid="{29F367AB-963F-4A81-9841-3A103AF15800}"/>
    <cellStyle name="Normal 5 3 3 2 7 3" xfId="6467" xr:uid="{00000000-0005-0000-0000-0000C2190000}"/>
    <cellStyle name="Normal 5 3 3 2 7 3 2" xfId="14906" xr:uid="{52850EEC-7A4B-41C0-90C2-38E87916E35F}"/>
    <cellStyle name="Normal 5 3 3 2 7 4" xfId="10688" xr:uid="{00B1038B-BE7E-4AAC-BED3-E8F1C8F797E1}"/>
    <cellStyle name="Normal 5 3 3 2 8" xfId="2596" xr:uid="{00000000-0005-0000-0000-0000C3190000}"/>
    <cellStyle name="Normal 5 3 3 2 8 2" xfId="6880" xr:uid="{00000000-0005-0000-0000-0000C4190000}"/>
    <cellStyle name="Normal 5 3 3 2 8 2 2" xfId="15319" xr:uid="{0BD0FEBD-9CDE-4630-8875-FD35B81D1F6D}"/>
    <cellStyle name="Normal 5 3 3 2 8 3" xfId="11101" xr:uid="{D4D0EDE9-FF18-4164-B02E-275A1D7FC3A5}"/>
    <cellStyle name="Normal 5 3 3 2 9" xfId="4815" xr:uid="{00000000-0005-0000-0000-0000C5190000}"/>
    <cellStyle name="Normal 5 3 3 2 9 2" xfId="13254" xr:uid="{AC67AF8F-DAD5-4849-A5CD-A0FAC58C049C}"/>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35FB6A87-A0BF-4DF9-8035-627DEDD16010}"/>
    <cellStyle name="Normal 5 3 3 3 2 2 2 3" xfId="11599" xr:uid="{122FA6CD-D188-4615-B0B9-C00CF63A32E2}"/>
    <cellStyle name="Normal 5 3 3 3 2 2 3" xfId="5233" xr:uid="{00000000-0005-0000-0000-0000CB190000}"/>
    <cellStyle name="Normal 5 3 3 3 2 2 3 2" xfId="13672" xr:uid="{5236B114-B386-40B6-8B51-E4F1F7BA9F91}"/>
    <cellStyle name="Normal 5 3 3 3 2 2 4" xfId="9454" xr:uid="{27BB8566-54D6-4701-B3AF-EAD405670D15}"/>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F7C0FDD0-4F05-47B5-BC73-74ACB772BA6F}"/>
    <cellStyle name="Normal 5 3 3 3 2 3 2 3" xfId="12012" xr:uid="{37968D36-F213-4D3B-8554-E669B0820455}"/>
    <cellStyle name="Normal 5 3 3 3 2 3 3" xfId="5646" xr:uid="{00000000-0005-0000-0000-0000CF190000}"/>
    <cellStyle name="Normal 5 3 3 3 2 3 3 2" xfId="14085" xr:uid="{308D507E-CDF2-4B61-82F9-6E708EA9766C}"/>
    <cellStyle name="Normal 5 3 3 3 2 3 4" xfId="9867" xr:uid="{69B7A828-21B4-4774-92BA-F8A587D590FE}"/>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05572B33-D827-4E92-A101-E5D89A3A2291}"/>
    <cellStyle name="Normal 5 3 3 3 2 4 2 3" xfId="12425" xr:uid="{84597F70-2A58-40F3-B3D7-AE4CF7522B01}"/>
    <cellStyle name="Normal 5 3 3 3 2 4 3" xfId="6059" xr:uid="{00000000-0005-0000-0000-0000D3190000}"/>
    <cellStyle name="Normal 5 3 3 3 2 4 3 2" xfId="14498" xr:uid="{45FBCC1B-B349-46C7-B458-4B4F5DADE7EE}"/>
    <cellStyle name="Normal 5 3 3 3 2 4 4" xfId="10280" xr:uid="{0D975402-973B-43E5-A257-A4B6D9A74B0F}"/>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B29168E4-9A83-41BB-B405-4EF36E8052B5}"/>
    <cellStyle name="Normal 5 3 3 3 2 5 2 3" xfId="12838" xr:uid="{5D434E14-FBD4-489A-AB7E-BB3682A28E38}"/>
    <cellStyle name="Normal 5 3 3 3 2 5 3" xfId="6472" xr:uid="{00000000-0005-0000-0000-0000D7190000}"/>
    <cellStyle name="Normal 5 3 3 3 2 5 3 2" xfId="14911" xr:uid="{BB196F25-128F-4718-AE67-348BA1C820E9}"/>
    <cellStyle name="Normal 5 3 3 3 2 5 4" xfId="10693" xr:uid="{5CE77A9B-09AB-4B33-BF07-4622A07F4512}"/>
    <cellStyle name="Normal 5 3 3 3 2 6" xfId="2601" xr:uid="{00000000-0005-0000-0000-0000D8190000}"/>
    <cellStyle name="Normal 5 3 3 3 2 6 2" xfId="6885" xr:uid="{00000000-0005-0000-0000-0000D9190000}"/>
    <cellStyle name="Normal 5 3 3 3 2 6 2 2" xfId="15324" xr:uid="{AB93A0DB-7DE3-4ACC-AD85-25CD705ADC17}"/>
    <cellStyle name="Normal 5 3 3 3 2 6 3" xfId="11106" xr:uid="{9D39161C-C924-4AB8-A353-6ADA142F0AE9}"/>
    <cellStyle name="Normal 5 3 3 3 2 7" xfId="4820" xr:uid="{00000000-0005-0000-0000-0000DA190000}"/>
    <cellStyle name="Normal 5 3 3 3 2 7 2" xfId="13259" xr:uid="{2CDE26F5-2BB2-4316-81DB-C5E0A75A3C0B}"/>
    <cellStyle name="Normal 5 3 3 3 2 8" xfId="9041" xr:uid="{0EA33EF3-BCA0-45B7-B856-FFA65A1F20BE}"/>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35EE1CD9-24CF-407C-900E-5FDE073690B0}"/>
    <cellStyle name="Normal 5 3 3 3 3 2 3" xfId="11598" xr:uid="{0C1B99FE-E3ED-4EDF-B952-A28475844837}"/>
    <cellStyle name="Normal 5 3 3 3 3 3" xfId="5232" xr:uid="{00000000-0005-0000-0000-0000DE190000}"/>
    <cellStyle name="Normal 5 3 3 3 3 3 2" xfId="13671" xr:uid="{EC3D8411-89F9-4E35-AAF8-D1CB3C219269}"/>
    <cellStyle name="Normal 5 3 3 3 3 4" xfId="9453" xr:uid="{ACC145D9-7B06-4F94-B01C-8F676F946A95}"/>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06F2AF1E-640C-4E0C-8B4B-DE1B3BBE7624}"/>
    <cellStyle name="Normal 5 3 3 3 4 2 3" xfId="12011" xr:uid="{BAB973BA-2DE9-411D-A3AF-272EFABD5788}"/>
    <cellStyle name="Normal 5 3 3 3 4 3" xfId="5645" xr:uid="{00000000-0005-0000-0000-0000E2190000}"/>
    <cellStyle name="Normal 5 3 3 3 4 3 2" xfId="14084" xr:uid="{6C70E3D0-949D-4DF0-B05F-4C2ECDFECB0E}"/>
    <cellStyle name="Normal 5 3 3 3 4 4" xfId="9866" xr:uid="{4677E203-3197-4B3F-8AED-2A01FD7389B7}"/>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76F242A4-C966-4AD6-92C8-48BDA8B9C7CE}"/>
    <cellStyle name="Normal 5 3 3 3 5 2 3" xfId="12424" xr:uid="{A8E54031-801E-4E63-AD1F-16B753D78357}"/>
    <cellStyle name="Normal 5 3 3 3 5 3" xfId="6058" xr:uid="{00000000-0005-0000-0000-0000E6190000}"/>
    <cellStyle name="Normal 5 3 3 3 5 3 2" xfId="14497" xr:uid="{864D22EE-3B0C-4A88-8203-D89DE9C86ECE}"/>
    <cellStyle name="Normal 5 3 3 3 5 4" xfId="10279" xr:uid="{820B62D8-C8DC-431D-90D4-D8069FD5CE76}"/>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D9D90643-EA56-4B27-BCEC-9228AC50ACD2}"/>
    <cellStyle name="Normal 5 3 3 3 6 2 3" xfId="12837" xr:uid="{FF43CD89-0A90-4DA0-8EA5-B6AADADF72D5}"/>
    <cellStyle name="Normal 5 3 3 3 6 3" xfId="6471" xr:uid="{00000000-0005-0000-0000-0000EA190000}"/>
    <cellStyle name="Normal 5 3 3 3 6 3 2" xfId="14910" xr:uid="{57F9D1BE-9967-4E74-96F6-0561A11E858B}"/>
    <cellStyle name="Normal 5 3 3 3 6 4" xfId="10692" xr:uid="{E8714918-04BD-475C-9DDD-83FABB54F590}"/>
    <cellStyle name="Normal 5 3 3 3 7" xfId="2600" xr:uid="{00000000-0005-0000-0000-0000EB190000}"/>
    <cellStyle name="Normal 5 3 3 3 7 2" xfId="6884" xr:uid="{00000000-0005-0000-0000-0000EC190000}"/>
    <cellStyle name="Normal 5 3 3 3 7 2 2" xfId="15323" xr:uid="{E47DE2FE-3B05-49C2-B625-962B475BD02B}"/>
    <cellStyle name="Normal 5 3 3 3 7 3" xfId="11105" xr:uid="{E0503411-CCB6-4659-AD75-6BF28470F563}"/>
    <cellStyle name="Normal 5 3 3 3 8" xfId="4819" xr:uid="{00000000-0005-0000-0000-0000ED190000}"/>
    <cellStyle name="Normal 5 3 3 3 8 2" xfId="13258" xr:uid="{3EE10B6F-5E4F-4116-9022-ECE3419AAEC7}"/>
    <cellStyle name="Normal 5 3 3 3 9" xfId="9040" xr:uid="{1B3771CC-E2A6-4BA5-ADAC-2A5638F7DC2D}"/>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43D2DA65-6FAE-49CC-9E63-7D8A6F920C25}"/>
    <cellStyle name="Normal 5 3 3 4 2 2 3" xfId="11600" xr:uid="{BB099F3F-D4CC-4954-9A72-2ACAD0ECCA36}"/>
    <cellStyle name="Normal 5 3 3 4 2 3" xfId="5234" xr:uid="{00000000-0005-0000-0000-0000F2190000}"/>
    <cellStyle name="Normal 5 3 3 4 2 3 2" xfId="13673" xr:uid="{85181064-1CC0-4FE6-97B5-B9B5A2DF8BA2}"/>
    <cellStyle name="Normal 5 3 3 4 2 4" xfId="9455" xr:uid="{0030ED72-8F6E-4E75-B7E3-C6E971FAA2DF}"/>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0A5AC15E-EB4D-4F46-96C6-C7D8DF093C0C}"/>
    <cellStyle name="Normal 5 3 3 4 3 2 3" xfId="12013" xr:uid="{021C90B0-A4A1-4432-9D07-AA6BA2264E2E}"/>
    <cellStyle name="Normal 5 3 3 4 3 3" xfId="5647" xr:uid="{00000000-0005-0000-0000-0000F6190000}"/>
    <cellStyle name="Normal 5 3 3 4 3 3 2" xfId="14086" xr:uid="{5712CF15-809F-4FF6-9C05-AD2820C1F30C}"/>
    <cellStyle name="Normal 5 3 3 4 3 4" xfId="9868" xr:uid="{6328BFD7-CE44-4563-BADC-0896DF59B445}"/>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203F15AF-0D78-4427-8A72-279CF2234D0A}"/>
    <cellStyle name="Normal 5 3 3 4 4 2 3" xfId="12426" xr:uid="{98C38235-3FA2-4538-AF47-7D0D75F833D3}"/>
    <cellStyle name="Normal 5 3 3 4 4 3" xfId="6060" xr:uid="{00000000-0005-0000-0000-0000FA190000}"/>
    <cellStyle name="Normal 5 3 3 4 4 3 2" xfId="14499" xr:uid="{A817A111-BD76-4E8F-99B8-6330EF4B9F32}"/>
    <cellStyle name="Normal 5 3 3 4 4 4" xfId="10281" xr:uid="{99124534-FE3F-4756-8E3D-58A4D793FC23}"/>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C175865E-98EB-44E4-95F9-9EE6F9C14624}"/>
    <cellStyle name="Normal 5 3 3 4 5 2 3" xfId="12839" xr:uid="{7B630A0A-E853-4A70-A1EC-C5B6DE4C8D1D}"/>
    <cellStyle name="Normal 5 3 3 4 5 3" xfId="6473" xr:uid="{00000000-0005-0000-0000-0000FE190000}"/>
    <cellStyle name="Normal 5 3 3 4 5 3 2" xfId="14912" xr:uid="{B8B26502-981C-4D23-813B-7C0A504D8ACD}"/>
    <cellStyle name="Normal 5 3 3 4 5 4" xfId="10694" xr:uid="{3979148E-DD29-47E4-8415-84D004AE275B}"/>
    <cellStyle name="Normal 5 3 3 4 6" xfId="2602" xr:uid="{00000000-0005-0000-0000-0000FF190000}"/>
    <cellStyle name="Normal 5 3 3 4 6 2" xfId="6886" xr:uid="{00000000-0005-0000-0000-0000001A0000}"/>
    <cellStyle name="Normal 5 3 3 4 6 2 2" xfId="15325" xr:uid="{D05498EB-8009-48AE-A070-7045A29B9540}"/>
    <cellStyle name="Normal 5 3 3 4 6 3" xfId="11107" xr:uid="{37440B0A-9BEA-4524-8B77-2B0195997914}"/>
    <cellStyle name="Normal 5 3 3 4 7" xfId="4821" xr:uid="{00000000-0005-0000-0000-0000011A0000}"/>
    <cellStyle name="Normal 5 3 3 4 7 2" xfId="13260" xr:uid="{6A75A691-A836-465C-B501-5D16A2039C64}"/>
    <cellStyle name="Normal 5 3 3 4 8" xfId="9042" xr:uid="{23A3E6FB-1A97-4993-8DC7-FCAF045B64E1}"/>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4102EAEB-F44A-4FF7-8B16-D3C51417A07F}"/>
    <cellStyle name="Normal 5 3 3 5 2 3" xfId="11593" xr:uid="{687D4DA0-3D38-4613-9B53-EADBA5362BD1}"/>
    <cellStyle name="Normal 5 3 3 5 3" xfId="5227" xr:uid="{00000000-0005-0000-0000-0000051A0000}"/>
    <cellStyle name="Normal 5 3 3 5 3 2" xfId="13666" xr:uid="{6001EFBF-9230-40EE-8966-8C879EB5CB8B}"/>
    <cellStyle name="Normal 5 3 3 5 4" xfId="9448" xr:uid="{3A2E03F9-5392-4230-91A0-0E0C1C90CD27}"/>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DBA447DB-A1F2-4FD7-8ABC-1FB0FFADB8A9}"/>
    <cellStyle name="Normal 5 3 3 6 2 3" xfId="12006" xr:uid="{E039A450-E476-4974-A07C-D316E22DB2E2}"/>
    <cellStyle name="Normal 5 3 3 6 3" xfId="5640" xr:uid="{00000000-0005-0000-0000-0000091A0000}"/>
    <cellStyle name="Normal 5 3 3 6 3 2" xfId="14079" xr:uid="{0C4E0EC6-EA63-4271-8BD3-2D0ED3557ECA}"/>
    <cellStyle name="Normal 5 3 3 6 4" xfId="9861" xr:uid="{95EC2466-6A0D-4663-A7FB-A8F849BC9EEC}"/>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F7132B67-59E3-4940-A63F-AE86641D42EF}"/>
    <cellStyle name="Normal 5 3 3 7 2 3" xfId="12419" xr:uid="{2DEF7A37-A170-4990-81E6-74D65AB53F7E}"/>
    <cellStyle name="Normal 5 3 3 7 3" xfId="6053" xr:uid="{00000000-0005-0000-0000-00000D1A0000}"/>
    <cellStyle name="Normal 5 3 3 7 3 2" xfId="14492" xr:uid="{504D8428-2569-4330-B8F6-36F645DA74FB}"/>
    <cellStyle name="Normal 5 3 3 7 4" xfId="10274" xr:uid="{99C97BDB-E1C5-40F9-9513-6BC73FCE172D}"/>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94A2D87B-5D9E-4981-8FFD-EF4BC2A9C79E}"/>
    <cellStyle name="Normal 5 3 3 8 2 3" xfId="12832" xr:uid="{96A3C698-AB74-45E7-9446-1E7F6F845278}"/>
    <cellStyle name="Normal 5 3 3 8 3" xfId="6466" xr:uid="{00000000-0005-0000-0000-0000111A0000}"/>
    <cellStyle name="Normal 5 3 3 8 3 2" xfId="14905" xr:uid="{361E9758-463D-4E5E-B077-FEB902C4F961}"/>
    <cellStyle name="Normal 5 3 3 8 4" xfId="10687" xr:uid="{216DF36C-12B5-43A2-BC61-A3B20BC8B6B8}"/>
    <cellStyle name="Normal 5 3 3 9" xfId="2595" xr:uid="{00000000-0005-0000-0000-0000121A0000}"/>
    <cellStyle name="Normal 5 3 3 9 2" xfId="6879" xr:uid="{00000000-0005-0000-0000-0000131A0000}"/>
    <cellStyle name="Normal 5 3 3 9 2 2" xfId="15318" xr:uid="{3C15C120-112B-4360-AFB0-8E5931B26B9D}"/>
    <cellStyle name="Normal 5 3 3 9 3" xfId="11100" xr:uid="{C9A0D1D9-5632-4F68-ACBC-CED78B34CFC3}"/>
    <cellStyle name="Normal 5 3 4" xfId="449" xr:uid="{00000000-0005-0000-0000-0000141A0000}"/>
    <cellStyle name="Normal 5 3 4 10" xfId="9043" xr:uid="{DC8DFED2-351A-430D-872A-1515C9395C6A}"/>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5D8A89AD-DBE4-49E5-A75A-D061F1BB8E82}"/>
    <cellStyle name="Normal 5 3 4 2 2 2 2 3" xfId="11603" xr:uid="{3D2F0590-F73F-4421-949B-D8AA8B3C851D}"/>
    <cellStyle name="Normal 5 3 4 2 2 2 3" xfId="5237" xr:uid="{00000000-0005-0000-0000-00001A1A0000}"/>
    <cellStyle name="Normal 5 3 4 2 2 2 3 2" xfId="13676" xr:uid="{C7920093-D2C7-44BE-9421-2B850761173B}"/>
    <cellStyle name="Normal 5 3 4 2 2 2 4" xfId="9458" xr:uid="{A5B49DDC-757C-482B-BC59-E43B195AEA54}"/>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DA0DEEE0-B4EC-4DC9-915B-2FE1F877EB00}"/>
    <cellStyle name="Normal 5 3 4 2 2 3 2 3" xfId="12016" xr:uid="{3F1CC889-3C0B-4A05-919D-970537C1C9D5}"/>
    <cellStyle name="Normal 5 3 4 2 2 3 3" xfId="5650" xr:uid="{00000000-0005-0000-0000-00001E1A0000}"/>
    <cellStyle name="Normal 5 3 4 2 2 3 3 2" xfId="14089" xr:uid="{32DF7804-FFB8-455D-AAD6-ADBAEA235640}"/>
    <cellStyle name="Normal 5 3 4 2 2 3 4" xfId="9871" xr:uid="{3871EE6C-058A-404D-B88C-8CD6A435CFF3}"/>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ACC3544C-4802-4E8A-9474-A79195619ED5}"/>
    <cellStyle name="Normal 5 3 4 2 2 4 2 3" xfId="12429" xr:uid="{BB3484C6-30B0-40B0-91C5-D48A3B1C3E2C}"/>
    <cellStyle name="Normal 5 3 4 2 2 4 3" xfId="6063" xr:uid="{00000000-0005-0000-0000-0000221A0000}"/>
    <cellStyle name="Normal 5 3 4 2 2 4 3 2" xfId="14502" xr:uid="{39D21A53-9DC7-4C6D-888F-FE282E497FE0}"/>
    <cellStyle name="Normal 5 3 4 2 2 4 4" xfId="10284" xr:uid="{31CB6DE1-7A8A-4730-93DA-E8FE1DECB6CF}"/>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5B00AA4D-D7A2-4F53-808B-BF0688D3FDD1}"/>
    <cellStyle name="Normal 5 3 4 2 2 5 2 3" xfId="12842" xr:uid="{7A7DF703-E120-4F1D-A368-E6F380E514C2}"/>
    <cellStyle name="Normal 5 3 4 2 2 5 3" xfId="6476" xr:uid="{00000000-0005-0000-0000-0000261A0000}"/>
    <cellStyle name="Normal 5 3 4 2 2 5 3 2" xfId="14915" xr:uid="{7602AA7B-43DC-4331-9B87-736F393E4D33}"/>
    <cellStyle name="Normal 5 3 4 2 2 5 4" xfId="10697" xr:uid="{B7A49461-B37F-4A77-B179-8DBB0908F678}"/>
    <cellStyle name="Normal 5 3 4 2 2 6" xfId="2605" xr:uid="{00000000-0005-0000-0000-0000271A0000}"/>
    <cellStyle name="Normal 5 3 4 2 2 6 2" xfId="6889" xr:uid="{00000000-0005-0000-0000-0000281A0000}"/>
    <cellStyle name="Normal 5 3 4 2 2 6 2 2" xfId="15328" xr:uid="{FB5B32FC-6810-4F05-BAA8-B1FF2AB61C86}"/>
    <cellStyle name="Normal 5 3 4 2 2 6 3" xfId="11110" xr:uid="{4271CC5D-F985-4F88-AFC2-B5E59A0C9951}"/>
    <cellStyle name="Normal 5 3 4 2 2 7" xfId="4824" xr:uid="{00000000-0005-0000-0000-0000291A0000}"/>
    <cellStyle name="Normal 5 3 4 2 2 7 2" xfId="13263" xr:uid="{7B4A9598-E41C-4CFE-87A5-3893AB289E47}"/>
    <cellStyle name="Normal 5 3 4 2 2 8" xfId="9045" xr:uid="{D8CE4189-2109-4765-B16B-4AAF9E49B086}"/>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27252A97-4531-481C-BEBA-B3ECCE1932E4}"/>
    <cellStyle name="Normal 5 3 4 2 3 2 3" xfId="11602" xr:uid="{0EE58E50-0988-41C6-B40C-5EC12309809A}"/>
    <cellStyle name="Normal 5 3 4 2 3 3" xfId="5236" xr:uid="{00000000-0005-0000-0000-00002D1A0000}"/>
    <cellStyle name="Normal 5 3 4 2 3 3 2" xfId="13675" xr:uid="{AE542F6F-E30B-4861-B924-08E57431D21A}"/>
    <cellStyle name="Normal 5 3 4 2 3 4" xfId="9457" xr:uid="{F64E9A67-55E6-4697-B174-7BF9E0CA79CC}"/>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5F62BA78-99B1-469B-8279-3E2633126110}"/>
    <cellStyle name="Normal 5 3 4 2 4 2 3" xfId="12015" xr:uid="{B39FB885-82EB-4644-899E-3132A6226800}"/>
    <cellStyle name="Normal 5 3 4 2 4 3" xfId="5649" xr:uid="{00000000-0005-0000-0000-0000311A0000}"/>
    <cellStyle name="Normal 5 3 4 2 4 3 2" xfId="14088" xr:uid="{AB979A2A-2041-4211-9266-6D48AD2EF144}"/>
    <cellStyle name="Normal 5 3 4 2 4 4" xfId="9870" xr:uid="{523A9675-7AEE-44AD-AAAA-3A3DB7221DE8}"/>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48B97B1F-5C0E-444B-84DB-AFBB706CA908}"/>
    <cellStyle name="Normal 5 3 4 2 5 2 3" xfId="12428" xr:uid="{1567DB6C-87BC-40D8-81D3-510385DC5D5C}"/>
    <cellStyle name="Normal 5 3 4 2 5 3" xfId="6062" xr:uid="{00000000-0005-0000-0000-0000351A0000}"/>
    <cellStyle name="Normal 5 3 4 2 5 3 2" xfId="14501" xr:uid="{5E02FB34-CCF0-40FD-9F57-650581F72334}"/>
    <cellStyle name="Normal 5 3 4 2 5 4" xfId="10283" xr:uid="{71EE610D-C035-4764-917D-2210D59DD4CE}"/>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75A214E3-7CDF-4740-8182-C25721A9B391}"/>
    <cellStyle name="Normal 5 3 4 2 6 2 3" xfId="12841" xr:uid="{9B0CFB15-AD58-47EF-B5AA-2C61413DB185}"/>
    <cellStyle name="Normal 5 3 4 2 6 3" xfId="6475" xr:uid="{00000000-0005-0000-0000-0000391A0000}"/>
    <cellStyle name="Normal 5 3 4 2 6 3 2" xfId="14914" xr:uid="{D9E669E2-3354-4AC1-A050-AC727D3F4EAA}"/>
    <cellStyle name="Normal 5 3 4 2 6 4" xfId="10696" xr:uid="{847AE0E7-9AB4-42B9-B574-816C88248E20}"/>
    <cellStyle name="Normal 5 3 4 2 7" xfId="2604" xr:uid="{00000000-0005-0000-0000-00003A1A0000}"/>
    <cellStyle name="Normal 5 3 4 2 7 2" xfId="6888" xr:uid="{00000000-0005-0000-0000-00003B1A0000}"/>
    <cellStyle name="Normal 5 3 4 2 7 2 2" xfId="15327" xr:uid="{6032BE23-AC16-4B4E-95FB-7E7DC45A16E1}"/>
    <cellStyle name="Normal 5 3 4 2 7 3" xfId="11109" xr:uid="{DC39B5D1-1AC5-4E93-9B9F-ACE8C11D226F}"/>
    <cellStyle name="Normal 5 3 4 2 8" xfId="4823" xr:uid="{00000000-0005-0000-0000-00003C1A0000}"/>
    <cellStyle name="Normal 5 3 4 2 8 2" xfId="13262" xr:uid="{27726BBB-BECB-4D1E-AE6F-41C271E17D16}"/>
    <cellStyle name="Normal 5 3 4 2 9" xfId="9044" xr:uid="{ABA2E08F-82E4-4D05-AF8D-F7A6252BFB22}"/>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5CDA4870-F3F0-436E-B31B-665F956EF41D}"/>
    <cellStyle name="Normal 5 3 4 3 2 2 3" xfId="11604" xr:uid="{731D977E-99BC-4FC7-BEE0-CEC961D076FD}"/>
    <cellStyle name="Normal 5 3 4 3 2 3" xfId="5238" xr:uid="{00000000-0005-0000-0000-0000411A0000}"/>
    <cellStyle name="Normal 5 3 4 3 2 3 2" xfId="13677" xr:uid="{DE46BDEC-9C46-4999-8ECF-2428CA741468}"/>
    <cellStyle name="Normal 5 3 4 3 2 4" xfId="9459" xr:uid="{37C59643-AD3A-428F-A469-88BE2242C88B}"/>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60EBD4C9-9DEA-40AE-8E0B-4F93E75B5D8C}"/>
    <cellStyle name="Normal 5 3 4 3 3 2 3" xfId="12017" xr:uid="{C75B5633-85B5-44B8-BEC2-118E8EE6CEE4}"/>
    <cellStyle name="Normal 5 3 4 3 3 3" xfId="5651" xr:uid="{00000000-0005-0000-0000-0000451A0000}"/>
    <cellStyle name="Normal 5 3 4 3 3 3 2" xfId="14090" xr:uid="{CC303564-2975-4A40-BD67-BDC49AA510C1}"/>
    <cellStyle name="Normal 5 3 4 3 3 4" xfId="9872" xr:uid="{5480BCF9-F0DC-40D4-95E1-A3C5D6DB0DD7}"/>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CE8EF33B-52D0-4B7B-8E0B-536D65C5C927}"/>
    <cellStyle name="Normal 5 3 4 3 4 2 3" xfId="12430" xr:uid="{1AF400D4-90C1-40F3-9E79-F2AD0EAE46AA}"/>
    <cellStyle name="Normal 5 3 4 3 4 3" xfId="6064" xr:uid="{00000000-0005-0000-0000-0000491A0000}"/>
    <cellStyle name="Normal 5 3 4 3 4 3 2" xfId="14503" xr:uid="{C2C9616D-DF22-429F-B7EE-1DC37DA122BF}"/>
    <cellStyle name="Normal 5 3 4 3 4 4" xfId="10285" xr:uid="{1F9D87DC-4248-4580-99CD-9596A6392F1F}"/>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4B6C1C3B-ED85-4C98-8140-9EEC8EFB9E86}"/>
    <cellStyle name="Normal 5 3 4 3 5 2 3" xfId="12843" xr:uid="{1060C68C-6DFF-4ED0-9771-21F5D096E4E5}"/>
    <cellStyle name="Normal 5 3 4 3 5 3" xfId="6477" xr:uid="{00000000-0005-0000-0000-00004D1A0000}"/>
    <cellStyle name="Normal 5 3 4 3 5 3 2" xfId="14916" xr:uid="{206DF1DE-A023-4319-8716-CF62BE2BD447}"/>
    <cellStyle name="Normal 5 3 4 3 5 4" xfId="10698" xr:uid="{A2885864-C47D-4051-A435-5D0A933994BB}"/>
    <cellStyle name="Normal 5 3 4 3 6" xfId="2606" xr:uid="{00000000-0005-0000-0000-00004E1A0000}"/>
    <cellStyle name="Normal 5 3 4 3 6 2" xfId="6890" xr:uid="{00000000-0005-0000-0000-00004F1A0000}"/>
    <cellStyle name="Normal 5 3 4 3 6 2 2" xfId="15329" xr:uid="{2C56118F-35FD-41A8-8DA1-F2F5AD384DD6}"/>
    <cellStyle name="Normal 5 3 4 3 6 3" xfId="11111" xr:uid="{2500AD03-D957-45D1-93EA-ECD8937D86A8}"/>
    <cellStyle name="Normal 5 3 4 3 7" xfId="4825" xr:uid="{00000000-0005-0000-0000-0000501A0000}"/>
    <cellStyle name="Normal 5 3 4 3 7 2" xfId="13264" xr:uid="{F4E780BB-B5A5-4E6A-B1E2-8BD7AE56B913}"/>
    <cellStyle name="Normal 5 3 4 3 8" xfId="9046" xr:uid="{1713C966-3FD9-47E8-8BE3-924ECA993954}"/>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DFADE57D-14E4-4818-BCE8-FDE4D404609C}"/>
    <cellStyle name="Normal 5 3 4 4 2 3" xfId="11601" xr:uid="{216B3696-7B9F-457F-93DB-F6067D0732FA}"/>
    <cellStyle name="Normal 5 3 4 4 3" xfId="5235" xr:uid="{00000000-0005-0000-0000-0000541A0000}"/>
    <cellStyle name="Normal 5 3 4 4 3 2" xfId="13674" xr:uid="{B1ED9B09-7989-423A-91EF-931BEFC53042}"/>
    <cellStyle name="Normal 5 3 4 4 4" xfId="9456" xr:uid="{8175505D-A738-4DF7-91C2-E249716E467E}"/>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BA4020DD-FC1F-4129-B3F8-830AED2FA87D}"/>
    <cellStyle name="Normal 5 3 4 5 2 3" xfId="12014" xr:uid="{A4BE12D3-ACDF-4781-83F9-73B1DB9F91BF}"/>
    <cellStyle name="Normal 5 3 4 5 3" xfId="5648" xr:uid="{00000000-0005-0000-0000-0000581A0000}"/>
    <cellStyle name="Normal 5 3 4 5 3 2" xfId="14087" xr:uid="{D82E590A-B793-44F5-8CF9-62CD7F56762D}"/>
    <cellStyle name="Normal 5 3 4 5 4" xfId="9869" xr:uid="{3A3D8C41-85BD-427C-AC18-3CE822989CE0}"/>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4455E87F-9AB5-4A8C-BC52-D7E7706E5513}"/>
    <cellStyle name="Normal 5 3 4 6 2 3" xfId="12427" xr:uid="{D694B708-70BC-4A09-9A36-9BBE4497FECC}"/>
    <cellStyle name="Normal 5 3 4 6 3" xfId="6061" xr:uid="{00000000-0005-0000-0000-00005C1A0000}"/>
    <cellStyle name="Normal 5 3 4 6 3 2" xfId="14500" xr:uid="{6B7AC0CB-E774-4E5E-B14A-57981D978347}"/>
    <cellStyle name="Normal 5 3 4 6 4" xfId="10282" xr:uid="{2F77EE06-6882-47BF-97D1-DD5536C84A08}"/>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43A2FFB1-435B-4E91-9593-9D6974428E9F}"/>
    <cellStyle name="Normal 5 3 4 7 2 3" xfId="12840" xr:uid="{29FEC861-07E0-4ECF-8736-8B7B13DF8243}"/>
    <cellStyle name="Normal 5 3 4 7 3" xfId="6474" xr:uid="{00000000-0005-0000-0000-0000601A0000}"/>
    <cellStyle name="Normal 5 3 4 7 3 2" xfId="14913" xr:uid="{91AC066E-5F3E-4FDF-ADE7-831EEA7CB3F6}"/>
    <cellStyle name="Normal 5 3 4 7 4" xfId="10695" xr:uid="{23F6D6E7-AA96-4949-AD48-A12389DC40D0}"/>
    <cellStyle name="Normal 5 3 4 8" xfId="2603" xr:uid="{00000000-0005-0000-0000-0000611A0000}"/>
    <cellStyle name="Normal 5 3 4 8 2" xfId="6887" xr:uid="{00000000-0005-0000-0000-0000621A0000}"/>
    <cellStyle name="Normal 5 3 4 8 2 2" xfId="15326" xr:uid="{99927776-094B-41BC-B195-A5669CEB6E49}"/>
    <cellStyle name="Normal 5 3 4 8 3" xfId="11108" xr:uid="{49536BB2-51AB-4646-BB45-E194145E787A}"/>
    <cellStyle name="Normal 5 3 4 9" xfId="4822" xr:uid="{00000000-0005-0000-0000-0000631A0000}"/>
    <cellStyle name="Normal 5 3 4 9 2" xfId="13261" xr:uid="{35483775-1152-4B38-8821-758EF57874AD}"/>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790ADB6F-A20C-426A-AD9D-89DECD4A55D1}"/>
    <cellStyle name="Normal 5 3 5 2 2 2 3" xfId="11606" xr:uid="{D846F0CA-0674-44FF-86B3-ED7117AA7460}"/>
    <cellStyle name="Normal 5 3 5 2 2 3" xfId="5240" xr:uid="{00000000-0005-0000-0000-0000691A0000}"/>
    <cellStyle name="Normal 5 3 5 2 2 3 2" xfId="13679" xr:uid="{09D137A4-AD02-40DB-A4C2-61C2D68C00DE}"/>
    <cellStyle name="Normal 5 3 5 2 2 4" xfId="9461" xr:uid="{C627104E-4984-47A7-94D1-78D9EB46CBC6}"/>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CD617969-8D6C-4FCD-A595-D4EF8695512D}"/>
    <cellStyle name="Normal 5 3 5 2 3 2 3" xfId="12019" xr:uid="{43490145-9A26-42E7-BBAB-88B8B35F254C}"/>
    <cellStyle name="Normal 5 3 5 2 3 3" xfId="5653" xr:uid="{00000000-0005-0000-0000-00006D1A0000}"/>
    <cellStyle name="Normal 5 3 5 2 3 3 2" xfId="14092" xr:uid="{BA695BBE-25C8-4342-9DD9-A3D2E06D39E3}"/>
    <cellStyle name="Normal 5 3 5 2 3 4" xfId="9874" xr:uid="{6BE1E6CA-07E1-4687-A036-C36ABEB423D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50DD1F0A-9621-4256-917D-A496C2BD8CF6}"/>
    <cellStyle name="Normal 5 3 5 2 4 2 3" xfId="12432" xr:uid="{24F1283C-B494-4A53-B9C7-7F58D78E797C}"/>
    <cellStyle name="Normal 5 3 5 2 4 3" xfId="6066" xr:uid="{00000000-0005-0000-0000-0000711A0000}"/>
    <cellStyle name="Normal 5 3 5 2 4 3 2" xfId="14505" xr:uid="{7CF7F971-0C2C-4DD0-8513-E28869FD1666}"/>
    <cellStyle name="Normal 5 3 5 2 4 4" xfId="10287" xr:uid="{2ACD68A7-25B7-4D2C-8744-B9E8D169F62E}"/>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21386CC9-119A-4884-91B6-2220DEC35EE0}"/>
    <cellStyle name="Normal 5 3 5 2 5 2 3" xfId="12845" xr:uid="{A79AD80F-0F17-492F-93E6-8E40E91984AD}"/>
    <cellStyle name="Normal 5 3 5 2 5 3" xfId="6479" xr:uid="{00000000-0005-0000-0000-0000751A0000}"/>
    <cellStyle name="Normal 5 3 5 2 5 3 2" xfId="14918" xr:uid="{0A2B1145-CB9C-46F3-B94D-34523A09F632}"/>
    <cellStyle name="Normal 5 3 5 2 5 4" xfId="10700" xr:uid="{BC51E091-4385-4773-87EF-AC40D57FD20E}"/>
    <cellStyle name="Normal 5 3 5 2 6" xfId="2608" xr:uid="{00000000-0005-0000-0000-0000761A0000}"/>
    <cellStyle name="Normal 5 3 5 2 6 2" xfId="6892" xr:uid="{00000000-0005-0000-0000-0000771A0000}"/>
    <cellStyle name="Normal 5 3 5 2 6 2 2" xfId="15331" xr:uid="{D6286524-61CA-4B57-BE41-21BBDF4555E5}"/>
    <cellStyle name="Normal 5 3 5 2 6 3" xfId="11113" xr:uid="{CDB587B9-0F7F-4850-8868-A10563E68357}"/>
    <cellStyle name="Normal 5 3 5 2 7" xfId="4827" xr:uid="{00000000-0005-0000-0000-0000781A0000}"/>
    <cellStyle name="Normal 5 3 5 2 7 2" xfId="13266" xr:uid="{26E50A53-1174-4998-AAD5-F2D39FB2C8A6}"/>
    <cellStyle name="Normal 5 3 5 2 8" xfId="9048" xr:uid="{62604D6C-681D-4604-9752-9E84418B0AB7}"/>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1AFA0E96-3459-4660-A3BC-E5B8F8CA5C98}"/>
    <cellStyle name="Normal 5 3 5 3 2 3" xfId="11605" xr:uid="{2E49E6FC-E7C2-452C-AD5C-8CE136F0BE65}"/>
    <cellStyle name="Normal 5 3 5 3 3" xfId="5239" xr:uid="{00000000-0005-0000-0000-00007C1A0000}"/>
    <cellStyle name="Normal 5 3 5 3 3 2" xfId="13678" xr:uid="{523C90D8-2374-4BBE-93DA-B3ACB44A5940}"/>
    <cellStyle name="Normal 5 3 5 3 4" xfId="9460" xr:uid="{8327F565-F45A-4260-B296-E9FE76F91AE4}"/>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C569838A-CDD5-4B96-898B-71181A65382F}"/>
    <cellStyle name="Normal 5 3 5 4 2 3" xfId="12018" xr:uid="{CDEB7A62-85C7-4574-99ED-1A9468DB7D41}"/>
    <cellStyle name="Normal 5 3 5 4 3" xfId="5652" xr:uid="{00000000-0005-0000-0000-0000801A0000}"/>
    <cellStyle name="Normal 5 3 5 4 3 2" xfId="14091" xr:uid="{739385B1-AF51-498D-A6D2-584160345025}"/>
    <cellStyle name="Normal 5 3 5 4 4" xfId="9873" xr:uid="{2E4818B0-351D-443D-9D49-1B2767DE05A3}"/>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5F916509-EAEF-49B1-918E-4C90AF11E42B}"/>
    <cellStyle name="Normal 5 3 5 5 2 3" xfId="12431" xr:uid="{4A6697D0-6E5B-48EC-9E44-B9357DFB14A3}"/>
    <cellStyle name="Normal 5 3 5 5 3" xfId="6065" xr:uid="{00000000-0005-0000-0000-0000841A0000}"/>
    <cellStyle name="Normal 5 3 5 5 3 2" xfId="14504" xr:uid="{23746375-10D9-4A11-9833-9353137C26AB}"/>
    <cellStyle name="Normal 5 3 5 5 4" xfId="10286" xr:uid="{50BC6C14-F65A-4478-9EE7-2D7F7F775AA8}"/>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0D9E8390-6FE5-470A-851D-A2B6A2F22F7C}"/>
    <cellStyle name="Normal 5 3 5 6 2 3" xfId="12844" xr:uid="{67F6BF5C-E431-45DD-9D7A-8FFFDC3B1E53}"/>
    <cellStyle name="Normal 5 3 5 6 3" xfId="6478" xr:uid="{00000000-0005-0000-0000-0000881A0000}"/>
    <cellStyle name="Normal 5 3 5 6 3 2" xfId="14917" xr:uid="{AAD3336C-2B17-47E9-A073-7520406A376B}"/>
    <cellStyle name="Normal 5 3 5 6 4" xfId="10699" xr:uid="{95B5A73E-D905-4394-B583-B98F3A71ACF5}"/>
    <cellStyle name="Normal 5 3 5 7" xfId="2607" xr:uid="{00000000-0005-0000-0000-0000891A0000}"/>
    <cellStyle name="Normal 5 3 5 7 2" xfId="6891" xr:uid="{00000000-0005-0000-0000-00008A1A0000}"/>
    <cellStyle name="Normal 5 3 5 7 2 2" xfId="15330" xr:uid="{8E4B3242-DC8D-4FDC-8A6A-749CC1275A23}"/>
    <cellStyle name="Normal 5 3 5 7 3" xfId="11112" xr:uid="{DD46EE33-924E-4767-9C8C-751B5272D9F8}"/>
    <cellStyle name="Normal 5 3 5 8" xfId="4826" xr:uid="{00000000-0005-0000-0000-00008B1A0000}"/>
    <cellStyle name="Normal 5 3 5 8 2" xfId="13265" xr:uid="{4E58A32A-F13B-44C8-B994-C359501F6381}"/>
    <cellStyle name="Normal 5 3 5 9" xfId="9047" xr:uid="{18414A92-1E75-40F4-9425-1460C4F8CFCD}"/>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0634E557-8492-4AB4-9A8E-9E73BCF6E25F}"/>
    <cellStyle name="Normal 5 3 6 2 2 3" xfId="11607" xr:uid="{BF970F8F-B530-4729-B2D2-6D5442274309}"/>
    <cellStyle name="Normal 5 3 6 2 3" xfId="5241" xr:uid="{00000000-0005-0000-0000-0000901A0000}"/>
    <cellStyle name="Normal 5 3 6 2 3 2" xfId="13680" xr:uid="{5DC89D37-E7E1-4B22-A80A-F7514CC032C5}"/>
    <cellStyle name="Normal 5 3 6 2 4" xfId="9462" xr:uid="{412E836C-A58A-408D-AB90-FA92652CC285}"/>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7A5D0638-5E7F-4D7D-AC61-6F68129E3745}"/>
    <cellStyle name="Normal 5 3 6 3 2 3" xfId="12020" xr:uid="{F193E0DA-648A-4DA7-961B-DAC94C1F6B1D}"/>
    <cellStyle name="Normal 5 3 6 3 3" xfId="5654" xr:uid="{00000000-0005-0000-0000-0000941A0000}"/>
    <cellStyle name="Normal 5 3 6 3 3 2" xfId="14093" xr:uid="{A29F4AF5-99DC-4CD8-B11E-5F1CB7BA1AFB}"/>
    <cellStyle name="Normal 5 3 6 3 4" xfId="9875" xr:uid="{8B38D508-8999-4410-8A7A-A822F20C74E2}"/>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BAC5EF13-C80D-4A7E-B867-7FDCC8FCEAEA}"/>
    <cellStyle name="Normal 5 3 6 4 2 3" xfId="12433" xr:uid="{47667A1D-AA90-48DB-A351-F1D53049F796}"/>
    <cellStyle name="Normal 5 3 6 4 3" xfId="6067" xr:uid="{00000000-0005-0000-0000-0000981A0000}"/>
    <cellStyle name="Normal 5 3 6 4 3 2" xfId="14506" xr:uid="{676CB4BE-7418-4707-8194-975450DD3DC5}"/>
    <cellStyle name="Normal 5 3 6 4 4" xfId="10288" xr:uid="{7322B530-54D2-47D4-BF94-C466196CD6DC}"/>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BA5C2B2C-0AA5-4897-B738-876EF5103103}"/>
    <cellStyle name="Normal 5 3 6 5 2 3" xfId="12846" xr:uid="{9A8F38FA-DFF8-4B18-B226-94319BF5541D}"/>
    <cellStyle name="Normal 5 3 6 5 3" xfId="6480" xr:uid="{00000000-0005-0000-0000-00009C1A0000}"/>
    <cellStyle name="Normal 5 3 6 5 3 2" xfId="14919" xr:uid="{AB416B73-8EAE-49A0-B643-445C3B748801}"/>
    <cellStyle name="Normal 5 3 6 5 4" xfId="10701" xr:uid="{DB0CCD56-B357-41D0-B1DF-667B95FE31E3}"/>
    <cellStyle name="Normal 5 3 6 6" xfId="2609" xr:uid="{00000000-0005-0000-0000-00009D1A0000}"/>
    <cellStyle name="Normal 5 3 6 6 2" xfId="6893" xr:uid="{00000000-0005-0000-0000-00009E1A0000}"/>
    <cellStyle name="Normal 5 3 6 6 2 2" xfId="15332" xr:uid="{EB94B03D-1240-4052-9634-E86A21A3C1BB}"/>
    <cellStyle name="Normal 5 3 6 6 3" xfId="11114" xr:uid="{7938A073-3655-4147-B2A1-7ABC01D24910}"/>
    <cellStyle name="Normal 5 3 6 7" xfId="4828" xr:uid="{00000000-0005-0000-0000-00009F1A0000}"/>
    <cellStyle name="Normal 5 3 6 7 2" xfId="13267" xr:uid="{E40F9993-AB53-41E0-A793-FC5D94B77453}"/>
    <cellStyle name="Normal 5 3 6 8" xfId="9049" xr:uid="{2026E85A-7E71-4324-9610-1B5BD131F691}"/>
    <cellStyle name="Normal 5 3 7" xfId="913" xr:uid="{00000000-0005-0000-0000-0000A01A0000}"/>
    <cellStyle name="Normal 5 3 7 2" xfId="3148" xr:uid="{00000000-0005-0000-0000-0000A11A0000}"/>
    <cellStyle name="Normal 5 3 7 2 2" xfId="7371" xr:uid="{00000000-0005-0000-0000-0000A21A0000}"/>
    <cellStyle name="Normal 5 3 7 2 2 2" xfId="15810" xr:uid="{C91EDDBF-180C-4DEE-A521-E58EDAA9D054}"/>
    <cellStyle name="Normal 5 3 7 2 3" xfId="11592" xr:uid="{F4D31A87-714F-42D9-8253-374C4E3755A2}"/>
    <cellStyle name="Normal 5 3 7 3" xfId="5226" xr:uid="{00000000-0005-0000-0000-0000A31A0000}"/>
    <cellStyle name="Normal 5 3 7 3 2" xfId="13665" xr:uid="{56A336D7-6049-47D0-BD7E-F47C9E922DB8}"/>
    <cellStyle name="Normal 5 3 7 4" xfId="9447" xr:uid="{D7959F2B-75B0-4083-B577-F60C7216DE4F}"/>
    <cellStyle name="Normal 5 3 8" xfId="1331" xr:uid="{00000000-0005-0000-0000-0000A41A0000}"/>
    <cellStyle name="Normal 5 3 8 2" xfId="3561" xr:uid="{00000000-0005-0000-0000-0000A51A0000}"/>
    <cellStyle name="Normal 5 3 8 2 2" xfId="7784" xr:uid="{00000000-0005-0000-0000-0000A61A0000}"/>
    <cellStyle name="Normal 5 3 8 2 2 2" xfId="16223" xr:uid="{BC8755B7-7418-4C26-A164-B275078DF888}"/>
    <cellStyle name="Normal 5 3 8 2 3" xfId="12005" xr:uid="{69C10F15-D12A-4169-9B22-8691BF132572}"/>
    <cellStyle name="Normal 5 3 8 3" xfId="5639" xr:uid="{00000000-0005-0000-0000-0000A71A0000}"/>
    <cellStyle name="Normal 5 3 8 3 2" xfId="14078" xr:uid="{C7FC67DF-3A51-4F10-9DCA-0101EB6358B8}"/>
    <cellStyle name="Normal 5 3 8 4" xfId="9860" xr:uid="{B5239745-45FB-4ED9-8D87-67AB5A22FD49}"/>
    <cellStyle name="Normal 5 3 9" xfId="1744" xr:uid="{00000000-0005-0000-0000-0000A81A0000}"/>
    <cellStyle name="Normal 5 3 9 2" xfId="3974" xr:uid="{00000000-0005-0000-0000-0000A91A0000}"/>
    <cellStyle name="Normal 5 3 9 2 2" xfId="8197" xr:uid="{00000000-0005-0000-0000-0000AA1A0000}"/>
    <cellStyle name="Normal 5 3 9 2 2 2" xfId="16636" xr:uid="{4B6755A3-5C8D-4749-B845-6CA0D0A84CAA}"/>
    <cellStyle name="Normal 5 3 9 2 3" xfId="12418" xr:uid="{896EC45E-80F8-4A6E-8324-6C4A9D73CA61}"/>
    <cellStyle name="Normal 5 3 9 3" xfId="6052" xr:uid="{00000000-0005-0000-0000-0000AB1A0000}"/>
    <cellStyle name="Normal 5 3 9 3 2" xfId="14491" xr:uid="{5C346222-BDED-4286-9A5E-ACAEFD525F09}"/>
    <cellStyle name="Normal 5 3 9 4" xfId="10273" xr:uid="{4671F317-3759-4B17-B38D-4AEDB64733FE}"/>
    <cellStyle name="Normal 5 4" xfId="456" xr:uid="{00000000-0005-0000-0000-0000AC1A0000}"/>
    <cellStyle name="Normal 5 4 10" xfId="4829" xr:uid="{00000000-0005-0000-0000-0000AD1A0000}"/>
    <cellStyle name="Normal 5 4 10 2" xfId="13268" xr:uid="{ED685EEE-CAF0-4969-8359-63856056DECB}"/>
    <cellStyle name="Normal 5 4 11" xfId="9050" xr:uid="{8B526F42-E8E5-4253-8FA1-DA474438977C}"/>
    <cellStyle name="Normal 5 4 2" xfId="457" xr:uid="{00000000-0005-0000-0000-0000AE1A0000}"/>
    <cellStyle name="Normal 5 4 2 10" xfId="9051" xr:uid="{5AC317F8-277B-4E6E-A96C-7B3AE522FCEB}"/>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C2DBD868-C7E1-4E88-8120-5C3B5410CDC4}"/>
    <cellStyle name="Normal 5 4 2 2 2 2 2 3" xfId="11611" xr:uid="{95D25444-CDD6-41A3-89B9-889B253C3E8C}"/>
    <cellStyle name="Normal 5 4 2 2 2 2 3" xfId="5245" xr:uid="{00000000-0005-0000-0000-0000B41A0000}"/>
    <cellStyle name="Normal 5 4 2 2 2 2 3 2" xfId="13684" xr:uid="{EC24C8A4-C5D9-4E5C-956D-084B37A255D9}"/>
    <cellStyle name="Normal 5 4 2 2 2 2 4" xfId="9466" xr:uid="{6E1EA600-6DBB-456B-BC18-B462323C8A45}"/>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A3AD5214-90D2-478F-B6C6-26BBFE2EDF93}"/>
    <cellStyle name="Normal 5 4 2 2 2 3 2 3" xfId="12024" xr:uid="{7049BE48-6AC6-499B-A885-4B10106DB17F}"/>
    <cellStyle name="Normal 5 4 2 2 2 3 3" xfId="5658" xr:uid="{00000000-0005-0000-0000-0000B81A0000}"/>
    <cellStyle name="Normal 5 4 2 2 2 3 3 2" xfId="14097" xr:uid="{747A5061-B925-4CC1-BEA8-17C76B90C69B}"/>
    <cellStyle name="Normal 5 4 2 2 2 3 4" xfId="9879" xr:uid="{0371E14D-C23C-436D-8476-9DA6FAC9DEB3}"/>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607243F6-FE82-4BC5-9C6A-A1172046C841}"/>
    <cellStyle name="Normal 5 4 2 2 2 4 2 3" xfId="12437" xr:uid="{E58638F4-6A8C-4F9C-8D3E-97B9C1226C4A}"/>
    <cellStyle name="Normal 5 4 2 2 2 4 3" xfId="6071" xr:uid="{00000000-0005-0000-0000-0000BC1A0000}"/>
    <cellStyle name="Normal 5 4 2 2 2 4 3 2" xfId="14510" xr:uid="{16B9B045-A9B2-4292-BD3D-3D6767C16F69}"/>
    <cellStyle name="Normal 5 4 2 2 2 4 4" xfId="10292" xr:uid="{F71405EC-9AF8-4F85-BF98-F9F84A02815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290780D9-A318-4849-BFC1-32FE40EBC45E}"/>
    <cellStyle name="Normal 5 4 2 2 2 5 2 3" xfId="12850" xr:uid="{B1789699-C774-4CB0-BE9E-35C5927B90C0}"/>
    <cellStyle name="Normal 5 4 2 2 2 5 3" xfId="6484" xr:uid="{00000000-0005-0000-0000-0000C01A0000}"/>
    <cellStyle name="Normal 5 4 2 2 2 5 3 2" xfId="14923" xr:uid="{BFED24CD-C208-4655-98B8-468B177ED25E}"/>
    <cellStyle name="Normal 5 4 2 2 2 5 4" xfId="10705" xr:uid="{44FFD08E-2FA0-4406-A561-00116FCE3431}"/>
    <cellStyle name="Normal 5 4 2 2 2 6" xfId="2613" xr:uid="{00000000-0005-0000-0000-0000C11A0000}"/>
    <cellStyle name="Normal 5 4 2 2 2 6 2" xfId="6897" xr:uid="{00000000-0005-0000-0000-0000C21A0000}"/>
    <cellStyle name="Normal 5 4 2 2 2 6 2 2" xfId="15336" xr:uid="{823E4AF0-61E4-496A-8031-375E72691A2C}"/>
    <cellStyle name="Normal 5 4 2 2 2 6 3" xfId="11118" xr:uid="{851BACFF-8E03-46C1-878C-98EDB05E5C12}"/>
    <cellStyle name="Normal 5 4 2 2 2 7" xfId="4832" xr:uid="{00000000-0005-0000-0000-0000C31A0000}"/>
    <cellStyle name="Normal 5 4 2 2 2 7 2" xfId="13271" xr:uid="{A5E21C69-8997-4555-A26D-67A0FFBCA3EF}"/>
    <cellStyle name="Normal 5 4 2 2 2 8" xfId="9053" xr:uid="{09603808-E694-4B8F-AE47-F49BDDD6447E}"/>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12CE9FD0-83FF-406E-ACF2-471369EFBCC9}"/>
    <cellStyle name="Normal 5 4 2 2 3 2 3" xfId="11610" xr:uid="{EA829DCC-786B-4FFA-A591-DB1F2B0A820F}"/>
    <cellStyle name="Normal 5 4 2 2 3 3" xfId="5244" xr:uid="{00000000-0005-0000-0000-0000C71A0000}"/>
    <cellStyle name="Normal 5 4 2 2 3 3 2" xfId="13683" xr:uid="{15FD4BDA-56E8-425D-AC33-F9918E605D1E}"/>
    <cellStyle name="Normal 5 4 2 2 3 4" xfId="9465" xr:uid="{7C523999-DFE0-4519-A799-82AD931367DB}"/>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77D26A47-AAD3-46CA-A445-B658C5645F50}"/>
    <cellStyle name="Normal 5 4 2 2 4 2 3" xfId="12023" xr:uid="{D7C59F9C-F7D8-4E1C-9CED-D3D1DA7D6DAF}"/>
    <cellStyle name="Normal 5 4 2 2 4 3" xfId="5657" xr:uid="{00000000-0005-0000-0000-0000CB1A0000}"/>
    <cellStyle name="Normal 5 4 2 2 4 3 2" xfId="14096" xr:uid="{CB02CAFC-84E1-4889-99DE-BAB2D0293925}"/>
    <cellStyle name="Normal 5 4 2 2 4 4" xfId="9878" xr:uid="{B8891418-C66F-48AC-A1DE-166DBF704D47}"/>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63AC7D90-7C2E-439F-8E0E-470D781EDDC7}"/>
    <cellStyle name="Normal 5 4 2 2 5 2 3" xfId="12436" xr:uid="{1B7A2CC1-2C8C-4A5D-83A8-4C84750B81A6}"/>
    <cellStyle name="Normal 5 4 2 2 5 3" xfId="6070" xr:uid="{00000000-0005-0000-0000-0000CF1A0000}"/>
    <cellStyle name="Normal 5 4 2 2 5 3 2" xfId="14509" xr:uid="{C47CDE98-05E1-4DAE-9EDF-BEF446EDAF42}"/>
    <cellStyle name="Normal 5 4 2 2 5 4" xfId="10291" xr:uid="{1B3D6449-0526-4B1E-9179-117AC460C5F7}"/>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8245C9F2-7B95-4293-8EA7-C19B64BDEF62}"/>
    <cellStyle name="Normal 5 4 2 2 6 2 3" xfId="12849" xr:uid="{63AE60C7-BC19-4C69-9F17-19F215579A5D}"/>
    <cellStyle name="Normal 5 4 2 2 6 3" xfId="6483" xr:uid="{00000000-0005-0000-0000-0000D31A0000}"/>
    <cellStyle name="Normal 5 4 2 2 6 3 2" xfId="14922" xr:uid="{1FD64496-7AAC-4A4A-AD15-007CB4E09228}"/>
    <cellStyle name="Normal 5 4 2 2 6 4" xfId="10704" xr:uid="{777B04E1-8E18-4EA2-B778-45D695508365}"/>
    <cellStyle name="Normal 5 4 2 2 7" xfId="2612" xr:uid="{00000000-0005-0000-0000-0000D41A0000}"/>
    <cellStyle name="Normal 5 4 2 2 7 2" xfId="6896" xr:uid="{00000000-0005-0000-0000-0000D51A0000}"/>
    <cellStyle name="Normal 5 4 2 2 7 2 2" xfId="15335" xr:uid="{AB3B955E-DE0A-4015-8E95-A979C49585DA}"/>
    <cellStyle name="Normal 5 4 2 2 7 3" xfId="11117" xr:uid="{9BB0D1A8-0853-4C11-B286-0E2E29145946}"/>
    <cellStyle name="Normal 5 4 2 2 8" xfId="4831" xr:uid="{00000000-0005-0000-0000-0000D61A0000}"/>
    <cellStyle name="Normal 5 4 2 2 8 2" xfId="13270" xr:uid="{0231F95E-F84C-40C1-B974-92CA6F0B4DC5}"/>
    <cellStyle name="Normal 5 4 2 2 9" xfId="9052" xr:uid="{CD4BBFCB-2E89-4A8F-8C54-F9C80D8CB489}"/>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DC0E3D4D-55DB-4617-BBB7-5E8FF8589E2C}"/>
    <cellStyle name="Normal 5 4 2 3 2 2 3" xfId="11612" xr:uid="{3BC71AA5-CAC9-4E5D-BC17-F5425E79CC7C}"/>
    <cellStyle name="Normal 5 4 2 3 2 3" xfId="5246" xr:uid="{00000000-0005-0000-0000-0000DB1A0000}"/>
    <cellStyle name="Normal 5 4 2 3 2 3 2" xfId="13685" xr:uid="{E6965E1B-B0A6-43EA-ADD1-BD75F4DB0B1D}"/>
    <cellStyle name="Normal 5 4 2 3 2 4" xfId="9467" xr:uid="{70F84944-1098-41FE-B9A3-CF6B71FFEEE7}"/>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0FBE3C07-FD6E-4DA3-92C0-7EE935817318}"/>
    <cellStyle name="Normal 5 4 2 3 3 2 3" xfId="12025" xr:uid="{4A9126B6-A1E8-4C64-8B96-239906FFFD6A}"/>
    <cellStyle name="Normal 5 4 2 3 3 3" xfId="5659" xr:uid="{00000000-0005-0000-0000-0000DF1A0000}"/>
    <cellStyle name="Normal 5 4 2 3 3 3 2" xfId="14098" xr:uid="{263CF50C-E1AD-4E64-83D8-911988C52C6F}"/>
    <cellStyle name="Normal 5 4 2 3 3 4" xfId="9880" xr:uid="{D2827256-A797-4650-A384-70B98B062FDE}"/>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4E96E57C-2CBC-448D-A803-60FF3AEBF063}"/>
    <cellStyle name="Normal 5 4 2 3 4 2 3" xfId="12438" xr:uid="{D1FE33D1-BC08-45C3-A418-457375E16514}"/>
    <cellStyle name="Normal 5 4 2 3 4 3" xfId="6072" xr:uid="{00000000-0005-0000-0000-0000E31A0000}"/>
    <cellStyle name="Normal 5 4 2 3 4 3 2" xfId="14511" xr:uid="{BEF655D3-ACBA-45E1-B7D4-9608C7B21074}"/>
    <cellStyle name="Normal 5 4 2 3 4 4" xfId="10293" xr:uid="{1A5C3D1B-C4E4-4B35-99B8-BED7462E8AAE}"/>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59DA1537-AB0C-4B8C-AA77-D5C5B9497CA9}"/>
    <cellStyle name="Normal 5 4 2 3 5 2 3" xfId="12851" xr:uid="{9FC46E70-1583-4EFB-9846-8FC0F425DD4D}"/>
    <cellStyle name="Normal 5 4 2 3 5 3" xfId="6485" xr:uid="{00000000-0005-0000-0000-0000E71A0000}"/>
    <cellStyle name="Normal 5 4 2 3 5 3 2" xfId="14924" xr:uid="{F0234C8A-B46E-48D9-8DD2-F193BDA49867}"/>
    <cellStyle name="Normal 5 4 2 3 5 4" xfId="10706" xr:uid="{C0B048E8-23B1-46C2-874E-4A0CC3C41F81}"/>
    <cellStyle name="Normal 5 4 2 3 6" xfId="2614" xr:uid="{00000000-0005-0000-0000-0000E81A0000}"/>
    <cellStyle name="Normal 5 4 2 3 6 2" xfId="6898" xr:uid="{00000000-0005-0000-0000-0000E91A0000}"/>
    <cellStyle name="Normal 5 4 2 3 6 2 2" xfId="15337" xr:uid="{585A772A-5C97-45AB-919D-EA5D4B095B88}"/>
    <cellStyle name="Normal 5 4 2 3 6 3" xfId="11119" xr:uid="{EEE154B2-4B3E-453C-906A-80E293E45AD9}"/>
    <cellStyle name="Normal 5 4 2 3 7" xfId="4833" xr:uid="{00000000-0005-0000-0000-0000EA1A0000}"/>
    <cellStyle name="Normal 5 4 2 3 7 2" xfId="13272" xr:uid="{C0C1898F-7F69-4AA1-BD5C-0A84F96F56E4}"/>
    <cellStyle name="Normal 5 4 2 3 8" xfId="9054" xr:uid="{A6B8A1A5-CB45-4EE0-866B-30B383D244B2}"/>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FCF12190-C93F-4E17-B141-B0C1DEBC2E03}"/>
    <cellStyle name="Normal 5 4 2 4 2 3" xfId="11609" xr:uid="{A9AECD80-3639-4974-9457-B3F80194527D}"/>
    <cellStyle name="Normal 5 4 2 4 3" xfId="5243" xr:uid="{00000000-0005-0000-0000-0000EE1A0000}"/>
    <cellStyle name="Normal 5 4 2 4 3 2" xfId="13682" xr:uid="{EEEFF79A-8515-4E2A-A95C-F8F6C14459BA}"/>
    <cellStyle name="Normal 5 4 2 4 4" xfId="9464" xr:uid="{67977D85-9675-45B1-92DD-F175B3C4A47B}"/>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073293DF-EC65-4A37-9212-D68219A63E95}"/>
    <cellStyle name="Normal 5 4 2 5 2 3" xfId="12022" xr:uid="{9682AC53-035B-47AF-BA92-C598A2452CFC}"/>
    <cellStyle name="Normal 5 4 2 5 3" xfId="5656" xr:uid="{00000000-0005-0000-0000-0000F21A0000}"/>
    <cellStyle name="Normal 5 4 2 5 3 2" xfId="14095" xr:uid="{A33741A1-00C3-4BCB-82E2-9433D6F2952A}"/>
    <cellStyle name="Normal 5 4 2 5 4" xfId="9877" xr:uid="{5DA0C635-C36D-4ADC-AD5B-9AB5D4FC9336}"/>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AA7FA030-0D8D-4CE3-A21F-19C7A9CCA352}"/>
    <cellStyle name="Normal 5 4 2 6 2 3" xfId="12435" xr:uid="{3E163A8F-1F25-4849-99B9-47895476DE80}"/>
    <cellStyle name="Normal 5 4 2 6 3" xfId="6069" xr:uid="{00000000-0005-0000-0000-0000F61A0000}"/>
    <cellStyle name="Normal 5 4 2 6 3 2" xfId="14508" xr:uid="{E31B3328-23E5-44EB-BF05-72B4A5FE304F}"/>
    <cellStyle name="Normal 5 4 2 6 4" xfId="10290" xr:uid="{2706F85B-9B9B-405F-BE92-3A01A9129B0E}"/>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92517AC5-1EFF-43D3-A517-23BEB385CF5F}"/>
    <cellStyle name="Normal 5 4 2 7 2 3" xfId="12848" xr:uid="{70D604D7-98B6-4E75-ACF4-66913531A8AF}"/>
    <cellStyle name="Normal 5 4 2 7 3" xfId="6482" xr:uid="{00000000-0005-0000-0000-0000FA1A0000}"/>
    <cellStyle name="Normal 5 4 2 7 3 2" xfId="14921" xr:uid="{8EACED56-4663-4ED4-A355-30A675052CAF}"/>
    <cellStyle name="Normal 5 4 2 7 4" xfId="10703" xr:uid="{E7E8B3FC-A50A-4CC8-A6A5-A2A0380D3B4A}"/>
    <cellStyle name="Normal 5 4 2 8" xfId="2611" xr:uid="{00000000-0005-0000-0000-0000FB1A0000}"/>
    <cellStyle name="Normal 5 4 2 8 2" xfId="6895" xr:uid="{00000000-0005-0000-0000-0000FC1A0000}"/>
    <cellStyle name="Normal 5 4 2 8 2 2" xfId="15334" xr:uid="{280FF69F-1CB7-4C13-A229-308771D0EAD4}"/>
    <cellStyle name="Normal 5 4 2 8 3" xfId="11116" xr:uid="{A359C0C7-E4BC-43C6-8443-8A8DBB079445}"/>
    <cellStyle name="Normal 5 4 2 9" xfId="4830" xr:uid="{00000000-0005-0000-0000-0000FD1A0000}"/>
    <cellStyle name="Normal 5 4 2 9 2" xfId="13269" xr:uid="{9507178F-0A2F-4EC2-9675-C37D7FAB68F9}"/>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B9E54B64-3675-41FD-A913-EB7516260467}"/>
    <cellStyle name="Normal 5 4 3 2 2 2 3" xfId="11614" xr:uid="{BE08F8CA-6FE1-4601-A907-F69B42B77ED8}"/>
    <cellStyle name="Normal 5 4 3 2 2 3" xfId="5248" xr:uid="{00000000-0005-0000-0000-0000031B0000}"/>
    <cellStyle name="Normal 5 4 3 2 2 3 2" xfId="13687" xr:uid="{5B6FCFAC-D829-4C16-841D-E6A99E8A9705}"/>
    <cellStyle name="Normal 5 4 3 2 2 4" xfId="9469" xr:uid="{1CAE248E-5863-4356-ADC9-4E72CEB395F8}"/>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37FB77B5-66B2-4D72-A74A-9A8D70BE1D98}"/>
    <cellStyle name="Normal 5 4 3 2 3 2 3" xfId="12027" xr:uid="{205A9B3D-AC51-4D22-95E8-73D4B959B97F}"/>
    <cellStyle name="Normal 5 4 3 2 3 3" xfId="5661" xr:uid="{00000000-0005-0000-0000-0000071B0000}"/>
    <cellStyle name="Normal 5 4 3 2 3 3 2" xfId="14100" xr:uid="{97965FE0-0395-4797-B746-CF97D0F5EAD9}"/>
    <cellStyle name="Normal 5 4 3 2 3 4" xfId="9882" xr:uid="{FE4E2135-F343-4F71-AC3F-59537A21C761}"/>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C7AAF083-A971-463E-951F-491E94674874}"/>
    <cellStyle name="Normal 5 4 3 2 4 2 3" xfId="12440" xr:uid="{79736672-5DBB-497A-BF09-81C55982682E}"/>
    <cellStyle name="Normal 5 4 3 2 4 3" xfId="6074" xr:uid="{00000000-0005-0000-0000-00000B1B0000}"/>
    <cellStyle name="Normal 5 4 3 2 4 3 2" xfId="14513" xr:uid="{9D13B0FE-0E5A-4AC2-AE6E-5F281F1A2882}"/>
    <cellStyle name="Normal 5 4 3 2 4 4" xfId="10295" xr:uid="{89816A28-54BF-40B2-B2D2-44B22B30B3C4}"/>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A1A91DB8-36C3-4050-8089-7CF7563E648B}"/>
    <cellStyle name="Normal 5 4 3 2 5 2 3" xfId="12853" xr:uid="{789C196E-DEBB-485F-A24D-ABDD7E29E08C}"/>
    <cellStyle name="Normal 5 4 3 2 5 3" xfId="6487" xr:uid="{00000000-0005-0000-0000-00000F1B0000}"/>
    <cellStyle name="Normal 5 4 3 2 5 3 2" xfId="14926" xr:uid="{0FD0AE60-241F-4A36-AE98-A9ACB24ADFAC}"/>
    <cellStyle name="Normal 5 4 3 2 5 4" xfId="10708" xr:uid="{065BDD3F-E182-4D0D-93DC-980D273410E6}"/>
    <cellStyle name="Normal 5 4 3 2 6" xfId="2616" xr:uid="{00000000-0005-0000-0000-0000101B0000}"/>
    <cellStyle name="Normal 5 4 3 2 6 2" xfId="6900" xr:uid="{00000000-0005-0000-0000-0000111B0000}"/>
    <cellStyle name="Normal 5 4 3 2 6 2 2" xfId="15339" xr:uid="{843FEFEB-636A-4A91-912C-E0A6D069A4B7}"/>
    <cellStyle name="Normal 5 4 3 2 6 3" xfId="11121" xr:uid="{B96D36E3-93FE-463D-82CE-4377235F5341}"/>
    <cellStyle name="Normal 5 4 3 2 7" xfId="4835" xr:uid="{00000000-0005-0000-0000-0000121B0000}"/>
    <cellStyle name="Normal 5 4 3 2 7 2" xfId="13274" xr:uid="{21DE8F3E-300A-4EF7-9857-70FEE9133539}"/>
    <cellStyle name="Normal 5 4 3 2 8" xfId="9056" xr:uid="{6AAFB1D7-4E2C-4996-8986-47564674D1A0}"/>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A45A5929-06B3-47C5-8949-0415381A7289}"/>
    <cellStyle name="Normal 5 4 3 3 2 3" xfId="11613" xr:uid="{7480A0D1-B374-44C9-8C01-5B3F0A584E89}"/>
    <cellStyle name="Normal 5 4 3 3 3" xfId="5247" xr:uid="{00000000-0005-0000-0000-0000161B0000}"/>
    <cellStyle name="Normal 5 4 3 3 3 2" xfId="13686" xr:uid="{ED138BB3-1EAA-402F-8F17-99857A6FD886}"/>
    <cellStyle name="Normal 5 4 3 3 4" xfId="9468" xr:uid="{F53602B6-AC76-4EAC-9E56-37864559A5E9}"/>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E00DE880-56AC-4C5C-90F5-738BD11B5E3E}"/>
    <cellStyle name="Normal 5 4 3 4 2 3" xfId="12026" xr:uid="{C2A7DA6C-1A0F-4FA2-A636-5910D1CB4E0E}"/>
    <cellStyle name="Normal 5 4 3 4 3" xfId="5660" xr:uid="{00000000-0005-0000-0000-00001A1B0000}"/>
    <cellStyle name="Normal 5 4 3 4 3 2" xfId="14099" xr:uid="{D26BE4B4-A523-4E91-9996-B22C9B278212}"/>
    <cellStyle name="Normal 5 4 3 4 4" xfId="9881" xr:uid="{DDC37A20-5521-4DB8-A823-42B0B9F81D87}"/>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EEF3FB3D-F3E8-4048-93E1-347228EEA4A9}"/>
    <cellStyle name="Normal 5 4 3 5 2 3" xfId="12439" xr:uid="{8684854B-BED7-4EFC-8096-A717304B8423}"/>
    <cellStyle name="Normal 5 4 3 5 3" xfId="6073" xr:uid="{00000000-0005-0000-0000-00001E1B0000}"/>
    <cellStyle name="Normal 5 4 3 5 3 2" xfId="14512" xr:uid="{9AD74A03-7352-4111-911E-685A5B286EB8}"/>
    <cellStyle name="Normal 5 4 3 5 4" xfId="10294" xr:uid="{8C578690-2328-4C0C-8940-9A49B3EEEFF5}"/>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92D59210-58C6-4E62-8BAA-803024ABF796}"/>
    <cellStyle name="Normal 5 4 3 6 2 3" xfId="12852" xr:uid="{4B411D18-48F6-45ED-BEEF-A9A42E92C38D}"/>
    <cellStyle name="Normal 5 4 3 6 3" xfId="6486" xr:uid="{00000000-0005-0000-0000-0000221B0000}"/>
    <cellStyle name="Normal 5 4 3 6 3 2" xfId="14925" xr:uid="{160CE9D9-F4E0-4109-9ABA-EA2C2816FB0E}"/>
    <cellStyle name="Normal 5 4 3 6 4" xfId="10707" xr:uid="{D75AA25E-73B3-4E89-B710-05ACF2515A14}"/>
    <cellStyle name="Normal 5 4 3 7" xfId="2615" xr:uid="{00000000-0005-0000-0000-0000231B0000}"/>
    <cellStyle name="Normal 5 4 3 7 2" xfId="6899" xr:uid="{00000000-0005-0000-0000-0000241B0000}"/>
    <cellStyle name="Normal 5 4 3 7 2 2" xfId="15338" xr:uid="{3A6A7EBC-02B1-4CEB-A8A6-51C09E1C72DC}"/>
    <cellStyle name="Normal 5 4 3 7 3" xfId="11120" xr:uid="{530B358F-646E-4C54-B034-131A3D4391C4}"/>
    <cellStyle name="Normal 5 4 3 8" xfId="4834" xr:uid="{00000000-0005-0000-0000-0000251B0000}"/>
    <cellStyle name="Normal 5 4 3 8 2" xfId="13273" xr:uid="{305AF748-3E7A-45C7-A9B2-706A9F92844C}"/>
    <cellStyle name="Normal 5 4 3 9" xfId="9055" xr:uid="{C5A03A5C-7F9B-4A4D-A634-E40A93FE3E16}"/>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DA7ED0E0-FA0B-403A-B779-B07FBE59DB20}"/>
    <cellStyle name="Normal 5 4 4 2 2 3" xfId="11615" xr:uid="{982CEA8A-C2A5-450F-9FD2-8CC1604A910F}"/>
    <cellStyle name="Normal 5 4 4 2 3" xfId="5249" xr:uid="{00000000-0005-0000-0000-00002A1B0000}"/>
    <cellStyle name="Normal 5 4 4 2 3 2" xfId="13688" xr:uid="{D5E5AC67-F551-406C-8477-5E629DA3B21B}"/>
    <cellStyle name="Normal 5 4 4 2 4" xfId="9470" xr:uid="{566B23C2-A193-4D3C-AC98-37BCA6297276}"/>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46EC90BF-601F-48C5-AE6A-9CF2DD653E93}"/>
    <cellStyle name="Normal 5 4 4 3 2 3" xfId="12028" xr:uid="{3846BECC-75C5-4BF1-8015-42D69AF2933B}"/>
    <cellStyle name="Normal 5 4 4 3 3" xfId="5662" xr:uid="{00000000-0005-0000-0000-00002E1B0000}"/>
    <cellStyle name="Normal 5 4 4 3 3 2" xfId="14101" xr:uid="{16155E8D-977F-4D7D-86A2-97AEF794E425}"/>
    <cellStyle name="Normal 5 4 4 3 4" xfId="9883" xr:uid="{F15E7E05-6ED6-46F0-AFE1-27ADCC98FF2E}"/>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78846A9F-AD50-443B-A3B9-16EB89B60A71}"/>
    <cellStyle name="Normal 5 4 4 4 2 3" xfId="12441" xr:uid="{C64D5043-3223-46B6-8563-F46548E04C26}"/>
    <cellStyle name="Normal 5 4 4 4 3" xfId="6075" xr:uid="{00000000-0005-0000-0000-0000321B0000}"/>
    <cellStyle name="Normal 5 4 4 4 3 2" xfId="14514" xr:uid="{32ED958A-EA82-4E77-B716-C2E558D4D7A3}"/>
    <cellStyle name="Normal 5 4 4 4 4" xfId="10296" xr:uid="{9580A81B-B52F-4F82-8615-D50199672698}"/>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12BD7F3E-965F-4B47-85A2-10DDFB3F28E4}"/>
    <cellStyle name="Normal 5 4 4 5 2 3" xfId="12854" xr:uid="{698A31C2-AEB0-464C-AB81-ED31A995AE9D}"/>
    <cellStyle name="Normal 5 4 4 5 3" xfId="6488" xr:uid="{00000000-0005-0000-0000-0000361B0000}"/>
    <cellStyle name="Normal 5 4 4 5 3 2" xfId="14927" xr:uid="{571E681E-0D6A-446D-88C9-90150015ED28}"/>
    <cellStyle name="Normal 5 4 4 5 4" xfId="10709" xr:uid="{8694ED6D-B440-4A30-A00E-ED8DFE107632}"/>
    <cellStyle name="Normal 5 4 4 6" xfId="2617" xr:uid="{00000000-0005-0000-0000-0000371B0000}"/>
    <cellStyle name="Normal 5 4 4 6 2" xfId="6901" xr:uid="{00000000-0005-0000-0000-0000381B0000}"/>
    <cellStyle name="Normal 5 4 4 6 2 2" xfId="15340" xr:uid="{46935861-D2CC-4807-A4A0-09CDF67C0704}"/>
    <cellStyle name="Normal 5 4 4 6 3" xfId="11122" xr:uid="{1AC78010-9E1A-47D4-BCB6-00E2F62A4A5D}"/>
    <cellStyle name="Normal 5 4 4 7" xfId="4836" xr:uid="{00000000-0005-0000-0000-0000391B0000}"/>
    <cellStyle name="Normal 5 4 4 7 2" xfId="13275" xr:uid="{5CAABA8C-2716-4D6D-92DD-A1AC64B97D52}"/>
    <cellStyle name="Normal 5 4 4 8" xfId="9057" xr:uid="{CDD96BD1-97DC-47AB-8F1D-E86471198D49}"/>
    <cellStyle name="Normal 5 4 5" xfId="930" xr:uid="{00000000-0005-0000-0000-00003A1B0000}"/>
    <cellStyle name="Normal 5 4 5 2" xfId="3164" xr:uid="{00000000-0005-0000-0000-00003B1B0000}"/>
    <cellStyle name="Normal 5 4 5 2 2" xfId="7387" xr:uid="{00000000-0005-0000-0000-00003C1B0000}"/>
    <cellStyle name="Normal 5 4 5 2 2 2" xfId="15826" xr:uid="{8B790A7A-1C56-498C-977A-02D1A5972501}"/>
    <cellStyle name="Normal 5 4 5 2 3" xfId="11608" xr:uid="{081CA7D4-06B9-44EF-BA4A-55BC7DA83B2D}"/>
    <cellStyle name="Normal 5 4 5 3" xfId="5242" xr:uid="{00000000-0005-0000-0000-00003D1B0000}"/>
    <cellStyle name="Normal 5 4 5 3 2" xfId="13681" xr:uid="{34A537CA-9152-44F9-AEF8-AB086921A879}"/>
    <cellStyle name="Normal 5 4 5 4" xfId="9463" xr:uid="{8D28DAD9-E159-42CB-AB18-B5E695CFF46C}"/>
    <cellStyle name="Normal 5 4 6" xfId="1347" xr:uid="{00000000-0005-0000-0000-00003E1B0000}"/>
    <cellStyle name="Normal 5 4 6 2" xfId="3577" xr:uid="{00000000-0005-0000-0000-00003F1B0000}"/>
    <cellStyle name="Normal 5 4 6 2 2" xfId="7800" xr:uid="{00000000-0005-0000-0000-0000401B0000}"/>
    <cellStyle name="Normal 5 4 6 2 2 2" xfId="16239" xr:uid="{9CA5A53E-FE1C-4882-8309-2CE84C53EF35}"/>
    <cellStyle name="Normal 5 4 6 2 3" xfId="12021" xr:uid="{B9AB174B-E0CD-49FC-90E1-3B3787F6F1C6}"/>
    <cellStyle name="Normal 5 4 6 3" xfId="5655" xr:uid="{00000000-0005-0000-0000-0000411B0000}"/>
    <cellStyle name="Normal 5 4 6 3 2" xfId="14094" xr:uid="{4024386D-2540-48A6-A6FF-435D071FD0FF}"/>
    <cellStyle name="Normal 5 4 6 4" xfId="9876" xr:uid="{721702A4-E7F0-41A1-BCDB-86CC7B1AA75D}"/>
    <cellStyle name="Normal 5 4 7" xfId="1760" xr:uid="{00000000-0005-0000-0000-0000421B0000}"/>
    <cellStyle name="Normal 5 4 7 2" xfId="3990" xr:uid="{00000000-0005-0000-0000-0000431B0000}"/>
    <cellStyle name="Normal 5 4 7 2 2" xfId="8213" xr:uid="{00000000-0005-0000-0000-0000441B0000}"/>
    <cellStyle name="Normal 5 4 7 2 2 2" xfId="16652" xr:uid="{6401FE51-4970-4B2B-B59D-4ACF47025B01}"/>
    <cellStyle name="Normal 5 4 7 2 3" xfId="12434" xr:uid="{9357B6A0-42BA-49A9-938F-8942653112E1}"/>
    <cellStyle name="Normal 5 4 7 3" xfId="6068" xr:uid="{00000000-0005-0000-0000-0000451B0000}"/>
    <cellStyle name="Normal 5 4 7 3 2" xfId="14507" xr:uid="{69305E1D-9D4F-47C7-8E39-855DA3A1998C}"/>
    <cellStyle name="Normal 5 4 7 4" xfId="10289" xr:uid="{CF5787D5-DFF6-47B9-A0E9-1C09F6B9C3C0}"/>
    <cellStyle name="Normal 5 4 8" xfId="2174" xr:uid="{00000000-0005-0000-0000-0000461B0000}"/>
    <cellStyle name="Normal 5 4 8 2" xfId="4403" xr:uid="{00000000-0005-0000-0000-0000471B0000}"/>
    <cellStyle name="Normal 5 4 8 2 2" xfId="8626" xr:uid="{00000000-0005-0000-0000-0000481B0000}"/>
    <cellStyle name="Normal 5 4 8 2 2 2" xfId="17065" xr:uid="{932B37F5-8CB9-47C9-8B42-0E9F164ED828}"/>
    <cellStyle name="Normal 5 4 8 2 3" xfId="12847" xr:uid="{B12F5696-D99C-4A66-92E7-36386618D898}"/>
    <cellStyle name="Normal 5 4 8 3" xfId="6481" xr:uid="{00000000-0005-0000-0000-0000491B0000}"/>
    <cellStyle name="Normal 5 4 8 3 2" xfId="14920" xr:uid="{E37B140E-D8CB-4CDF-A90E-04A89F7E044A}"/>
    <cellStyle name="Normal 5 4 8 4" xfId="10702" xr:uid="{6291268A-971B-43E1-9E3C-20068B779E4A}"/>
    <cellStyle name="Normal 5 4 9" xfId="2610" xr:uid="{00000000-0005-0000-0000-00004A1B0000}"/>
    <cellStyle name="Normal 5 4 9 2" xfId="6894" xr:uid="{00000000-0005-0000-0000-00004B1B0000}"/>
    <cellStyle name="Normal 5 4 9 2 2" xfId="15333" xr:uid="{B0D1386E-C3B7-4955-9C42-DF8330AC62AC}"/>
    <cellStyle name="Normal 5 4 9 3" xfId="11115" xr:uid="{64E3F8D9-174B-40A9-9C01-0AECE0C613FE}"/>
    <cellStyle name="Normal 5 5" xfId="464" xr:uid="{00000000-0005-0000-0000-00004C1B0000}"/>
    <cellStyle name="Normal 5 5 10" xfId="9058" xr:uid="{6B92AB1C-9B8C-47CD-BB49-706338620206}"/>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88651192-B73D-43AE-8475-7F8FE49192B7}"/>
    <cellStyle name="Normal 5 5 2 2 2 2 3" xfId="11618" xr:uid="{32E37D47-413C-475E-90B9-E752A7925E07}"/>
    <cellStyle name="Normal 5 5 2 2 2 3" xfId="5252" xr:uid="{00000000-0005-0000-0000-0000521B0000}"/>
    <cellStyle name="Normal 5 5 2 2 2 3 2" xfId="13691" xr:uid="{7A72A055-C96D-4D57-B8E9-5385188A3343}"/>
    <cellStyle name="Normal 5 5 2 2 2 4" xfId="9473" xr:uid="{E646A36E-E1C3-41D8-9FC9-AC37FA8EE824}"/>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3C17F075-CF5A-4C02-89EB-E716C9075B59}"/>
    <cellStyle name="Normal 5 5 2 2 3 2 3" xfId="12031" xr:uid="{D1417428-E92C-4B14-85CA-4CD22A1CBFA2}"/>
    <cellStyle name="Normal 5 5 2 2 3 3" xfId="5665" xr:uid="{00000000-0005-0000-0000-0000561B0000}"/>
    <cellStyle name="Normal 5 5 2 2 3 3 2" xfId="14104" xr:uid="{A1B6553D-9D28-4409-AC52-BE23932BE69A}"/>
    <cellStyle name="Normal 5 5 2 2 3 4" xfId="9886" xr:uid="{4B99D0E3-2C0E-48B6-A6CE-6302174D3DF4}"/>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90320D68-A6A8-4078-854D-D7042A515664}"/>
    <cellStyle name="Normal 5 5 2 2 4 2 3" xfId="12444" xr:uid="{C0E1E8C0-2FC8-41EC-9C88-8B4DAEAA3217}"/>
    <cellStyle name="Normal 5 5 2 2 4 3" xfId="6078" xr:uid="{00000000-0005-0000-0000-00005A1B0000}"/>
    <cellStyle name="Normal 5 5 2 2 4 3 2" xfId="14517" xr:uid="{847D27B4-196A-4C12-841F-B2D0652E33B1}"/>
    <cellStyle name="Normal 5 5 2 2 4 4" xfId="10299" xr:uid="{026ECE35-D78C-4C04-BFF6-48B57FED64F0}"/>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A50FE96E-B66D-412E-85E3-0AFF7804D0E5}"/>
    <cellStyle name="Normal 5 5 2 2 5 2 3" xfId="12857" xr:uid="{70C9F0FC-F227-4AFB-85E1-73DCA8EF346B}"/>
    <cellStyle name="Normal 5 5 2 2 5 3" xfId="6491" xr:uid="{00000000-0005-0000-0000-00005E1B0000}"/>
    <cellStyle name="Normal 5 5 2 2 5 3 2" xfId="14930" xr:uid="{0467A258-C317-4161-A331-C8F2735705EA}"/>
    <cellStyle name="Normal 5 5 2 2 5 4" xfId="10712" xr:uid="{BB2E5B7B-CCE4-4033-8C06-D1377FB0AF26}"/>
    <cellStyle name="Normal 5 5 2 2 6" xfId="2620" xr:uid="{00000000-0005-0000-0000-00005F1B0000}"/>
    <cellStyle name="Normal 5 5 2 2 6 2" xfId="6904" xr:uid="{00000000-0005-0000-0000-0000601B0000}"/>
    <cellStyle name="Normal 5 5 2 2 6 2 2" xfId="15343" xr:uid="{A60C9A36-9DAB-4C22-9FD5-3727EA6E5497}"/>
    <cellStyle name="Normal 5 5 2 2 6 3" xfId="11125" xr:uid="{E6CA997A-E20A-4FAE-87E9-700383C1445C}"/>
    <cellStyle name="Normal 5 5 2 2 7" xfId="4839" xr:uid="{00000000-0005-0000-0000-0000611B0000}"/>
    <cellStyle name="Normal 5 5 2 2 7 2" xfId="13278" xr:uid="{AA6F69BD-AC98-4C08-B547-4274EE3A8B85}"/>
    <cellStyle name="Normal 5 5 2 2 8" xfId="9060" xr:uid="{F107B72D-97EE-415D-9DF5-CC669627DA1B}"/>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512F15F8-CE17-4E63-9D8C-2F75090C5415}"/>
    <cellStyle name="Normal 5 5 2 3 2 3" xfId="11617" xr:uid="{A3234AEE-37E0-45AC-B650-F046877EBEDB}"/>
    <cellStyle name="Normal 5 5 2 3 3" xfId="5251" xr:uid="{00000000-0005-0000-0000-0000651B0000}"/>
    <cellStyle name="Normal 5 5 2 3 3 2" xfId="13690" xr:uid="{A79779AB-669F-4F64-B4EF-26EB6270E3BD}"/>
    <cellStyle name="Normal 5 5 2 3 4" xfId="9472" xr:uid="{A79CD74A-9D18-4430-BB95-812A80A763D5}"/>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F89CF994-ABE3-4B55-96E6-F7D8CBE0AA3A}"/>
    <cellStyle name="Normal 5 5 2 4 2 3" xfId="12030" xr:uid="{A50BD264-577C-4872-9635-6ED03EB818B1}"/>
    <cellStyle name="Normal 5 5 2 4 3" xfId="5664" xr:uid="{00000000-0005-0000-0000-0000691B0000}"/>
    <cellStyle name="Normal 5 5 2 4 3 2" xfId="14103" xr:uid="{7B04B358-DA84-421D-ADC1-45DC86C1CB25}"/>
    <cellStyle name="Normal 5 5 2 4 4" xfId="9885" xr:uid="{34895673-4B8F-410C-B1A2-5AA463E7E1F6}"/>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5B186F9C-C166-4277-AF3D-F91A7FFFA0E6}"/>
    <cellStyle name="Normal 5 5 2 5 2 3" xfId="12443" xr:uid="{65D8F7E4-6E84-40D2-A028-008C5FCC84A6}"/>
    <cellStyle name="Normal 5 5 2 5 3" xfId="6077" xr:uid="{00000000-0005-0000-0000-00006D1B0000}"/>
    <cellStyle name="Normal 5 5 2 5 3 2" xfId="14516" xr:uid="{6B298A00-54B0-43C7-896B-BC5FAA89FED7}"/>
    <cellStyle name="Normal 5 5 2 5 4" xfId="10298" xr:uid="{F8956C63-AB5D-41E6-B985-202DEEE2FD19}"/>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CD7BCE04-F9F3-49B5-98BD-D2C06D2525FF}"/>
    <cellStyle name="Normal 5 5 2 6 2 3" xfId="12856" xr:uid="{CC3C92DA-75C4-4163-922B-D91F853D17F9}"/>
    <cellStyle name="Normal 5 5 2 6 3" xfId="6490" xr:uid="{00000000-0005-0000-0000-0000711B0000}"/>
    <cellStyle name="Normal 5 5 2 6 3 2" xfId="14929" xr:uid="{389AEDFE-A1F8-4B7F-ABD9-09ED95CE74CE}"/>
    <cellStyle name="Normal 5 5 2 6 4" xfId="10711" xr:uid="{12D4825A-C065-4693-BD8E-27ABA87C24A1}"/>
    <cellStyle name="Normal 5 5 2 7" xfId="2619" xr:uid="{00000000-0005-0000-0000-0000721B0000}"/>
    <cellStyle name="Normal 5 5 2 7 2" xfId="6903" xr:uid="{00000000-0005-0000-0000-0000731B0000}"/>
    <cellStyle name="Normal 5 5 2 7 2 2" xfId="15342" xr:uid="{50881C66-FA25-48DE-B966-9A698E7BA874}"/>
    <cellStyle name="Normal 5 5 2 7 3" xfId="11124" xr:uid="{C7EB7678-9FA3-40D2-B2A6-4217DB4CB24D}"/>
    <cellStyle name="Normal 5 5 2 8" xfId="4838" xr:uid="{00000000-0005-0000-0000-0000741B0000}"/>
    <cellStyle name="Normal 5 5 2 8 2" xfId="13277" xr:uid="{8BC2F5B6-C590-4F3B-85B0-728CCB221BEA}"/>
    <cellStyle name="Normal 5 5 2 9" xfId="9059" xr:uid="{B7A72151-8D92-4E0E-B642-F1254BC1935F}"/>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4BF77D08-1370-4321-A57A-D3B62F1D1860}"/>
    <cellStyle name="Normal 5 5 3 2 2 3" xfId="11619" xr:uid="{CB54293B-B086-41B4-9D94-A9081967345C}"/>
    <cellStyle name="Normal 5 5 3 2 3" xfId="5253" xr:uid="{00000000-0005-0000-0000-0000791B0000}"/>
    <cellStyle name="Normal 5 5 3 2 3 2" xfId="13692" xr:uid="{65803414-4F6C-491A-9138-3813FDA1B3E5}"/>
    <cellStyle name="Normal 5 5 3 2 4" xfId="9474" xr:uid="{9C7629C5-AEE3-4CCE-AE1A-DBFD1C7AAF42}"/>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FA330142-9D80-44B9-9683-FDCB1A635781}"/>
    <cellStyle name="Normal 5 5 3 3 2 3" xfId="12032" xr:uid="{C8343030-DECC-4C5A-A60A-2404EED16EC8}"/>
    <cellStyle name="Normal 5 5 3 3 3" xfId="5666" xr:uid="{00000000-0005-0000-0000-00007D1B0000}"/>
    <cellStyle name="Normal 5 5 3 3 3 2" xfId="14105" xr:uid="{33E538F4-EDAF-4567-9EE6-C303E1202F75}"/>
    <cellStyle name="Normal 5 5 3 3 4" xfId="9887" xr:uid="{4B2E3ED4-3C8D-47BA-B2FC-E116D07EF812}"/>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916BBC2E-56EC-4051-844B-69C2CD4FB640}"/>
    <cellStyle name="Normal 5 5 3 4 2 3" xfId="12445" xr:uid="{D55BC7DD-5C07-4218-B0E8-407C2C845EC4}"/>
    <cellStyle name="Normal 5 5 3 4 3" xfId="6079" xr:uid="{00000000-0005-0000-0000-0000811B0000}"/>
    <cellStyle name="Normal 5 5 3 4 3 2" xfId="14518" xr:uid="{64C3273A-8098-4ABF-98B2-C2819C6784E0}"/>
    <cellStyle name="Normal 5 5 3 4 4" xfId="10300" xr:uid="{5D5459D8-1108-4AE7-BA97-A3E9D999E55D}"/>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D811D672-0F0C-4087-B76C-90B25359BCFD}"/>
    <cellStyle name="Normal 5 5 3 5 2 3" xfId="12858" xr:uid="{13541D16-8706-41D9-B311-99F2DE6EE5DF}"/>
    <cellStyle name="Normal 5 5 3 5 3" xfId="6492" xr:uid="{00000000-0005-0000-0000-0000851B0000}"/>
    <cellStyle name="Normal 5 5 3 5 3 2" xfId="14931" xr:uid="{A493ACF5-0ABD-4906-827C-DA9094AD6EAB}"/>
    <cellStyle name="Normal 5 5 3 5 4" xfId="10713" xr:uid="{09DEE1A6-EC17-4530-BCE1-EA67AC02896F}"/>
    <cellStyle name="Normal 5 5 3 6" xfId="2621" xr:uid="{00000000-0005-0000-0000-0000861B0000}"/>
    <cellStyle name="Normal 5 5 3 6 2" xfId="6905" xr:uid="{00000000-0005-0000-0000-0000871B0000}"/>
    <cellStyle name="Normal 5 5 3 6 2 2" xfId="15344" xr:uid="{83FD7FC0-4F8D-4426-A10A-E490706C5922}"/>
    <cellStyle name="Normal 5 5 3 6 3" xfId="11126" xr:uid="{0165CF87-FE59-408F-94CC-78E463177133}"/>
    <cellStyle name="Normal 5 5 3 7" xfId="4840" xr:uid="{00000000-0005-0000-0000-0000881B0000}"/>
    <cellStyle name="Normal 5 5 3 7 2" xfId="13279" xr:uid="{CEECCADF-022A-4AB3-AAC6-02D8857400F2}"/>
    <cellStyle name="Normal 5 5 3 8" xfId="9061" xr:uid="{BF65FF51-A079-4390-AB9A-CD3534F78CF6}"/>
    <cellStyle name="Normal 5 5 4" xfId="938" xr:uid="{00000000-0005-0000-0000-0000891B0000}"/>
    <cellStyle name="Normal 5 5 4 2" xfId="3172" xr:uid="{00000000-0005-0000-0000-00008A1B0000}"/>
    <cellStyle name="Normal 5 5 4 2 2" xfId="7395" xr:uid="{00000000-0005-0000-0000-00008B1B0000}"/>
    <cellStyle name="Normal 5 5 4 2 2 2" xfId="15834" xr:uid="{16CADEAE-8998-4A05-8A5F-DFCA1DBD7609}"/>
    <cellStyle name="Normal 5 5 4 2 3" xfId="11616" xr:uid="{08F9E551-2DFE-4C26-B783-2A3ABDE53E5F}"/>
    <cellStyle name="Normal 5 5 4 3" xfId="5250" xr:uid="{00000000-0005-0000-0000-00008C1B0000}"/>
    <cellStyle name="Normal 5 5 4 3 2" xfId="13689" xr:uid="{378F3911-3696-4905-9C82-8631AF8DD5BC}"/>
    <cellStyle name="Normal 5 5 4 4" xfId="9471" xr:uid="{74E38BBA-3E8D-4281-9305-4F86C6699C3E}"/>
    <cellStyle name="Normal 5 5 5" xfId="1355" xr:uid="{00000000-0005-0000-0000-00008D1B0000}"/>
    <cellStyle name="Normal 5 5 5 2" xfId="3585" xr:uid="{00000000-0005-0000-0000-00008E1B0000}"/>
    <cellStyle name="Normal 5 5 5 2 2" xfId="7808" xr:uid="{00000000-0005-0000-0000-00008F1B0000}"/>
    <cellStyle name="Normal 5 5 5 2 2 2" xfId="16247" xr:uid="{F604E696-D27C-45F9-9CC3-731505F81ED7}"/>
    <cellStyle name="Normal 5 5 5 2 3" xfId="12029" xr:uid="{34DC0B9C-C5C1-46CE-BE55-BBCE134DE876}"/>
    <cellStyle name="Normal 5 5 5 3" xfId="5663" xr:uid="{00000000-0005-0000-0000-0000901B0000}"/>
    <cellStyle name="Normal 5 5 5 3 2" xfId="14102" xr:uid="{7F7F424E-0976-43FF-9B39-EA0566B13C8C}"/>
    <cellStyle name="Normal 5 5 5 4" xfId="9884" xr:uid="{B3F53F9A-5D90-45BC-B991-281426E69F74}"/>
    <cellStyle name="Normal 5 5 6" xfId="1768" xr:uid="{00000000-0005-0000-0000-0000911B0000}"/>
    <cellStyle name="Normal 5 5 6 2" xfId="3998" xr:uid="{00000000-0005-0000-0000-0000921B0000}"/>
    <cellStyle name="Normal 5 5 6 2 2" xfId="8221" xr:uid="{00000000-0005-0000-0000-0000931B0000}"/>
    <cellStyle name="Normal 5 5 6 2 2 2" xfId="16660" xr:uid="{CE31A746-DD60-4364-8EBC-3BEA7E89DCCA}"/>
    <cellStyle name="Normal 5 5 6 2 3" xfId="12442" xr:uid="{5252503C-9F61-4D71-BEEC-B684148C9D0A}"/>
    <cellStyle name="Normal 5 5 6 3" xfId="6076" xr:uid="{00000000-0005-0000-0000-0000941B0000}"/>
    <cellStyle name="Normal 5 5 6 3 2" xfId="14515" xr:uid="{E89C7C70-0F6E-46BA-8120-05B247C093CA}"/>
    <cellStyle name="Normal 5 5 6 4" xfId="10297" xr:uid="{EAA8ADE6-5301-419E-A9C9-4CB9A7DB12CA}"/>
    <cellStyle name="Normal 5 5 7" xfId="2182" xr:uid="{00000000-0005-0000-0000-0000951B0000}"/>
    <cellStyle name="Normal 5 5 7 2" xfId="4411" xr:uid="{00000000-0005-0000-0000-0000961B0000}"/>
    <cellStyle name="Normal 5 5 7 2 2" xfId="8634" xr:uid="{00000000-0005-0000-0000-0000971B0000}"/>
    <cellStyle name="Normal 5 5 7 2 2 2" xfId="17073" xr:uid="{8563DA2B-151C-4821-8847-42221D4BA9D9}"/>
    <cellStyle name="Normal 5 5 7 2 3" xfId="12855" xr:uid="{7CF7DB41-45E0-4E48-8BBA-6CA65A5270DA}"/>
    <cellStyle name="Normal 5 5 7 3" xfId="6489" xr:uid="{00000000-0005-0000-0000-0000981B0000}"/>
    <cellStyle name="Normal 5 5 7 3 2" xfId="14928" xr:uid="{DA399276-7A32-4FC9-809F-F8B1EEC8CE86}"/>
    <cellStyle name="Normal 5 5 7 4" xfId="10710" xr:uid="{13DF3572-16BD-4F5D-9194-27F4D381FE6D}"/>
    <cellStyle name="Normal 5 5 8" xfId="2618" xr:uid="{00000000-0005-0000-0000-0000991B0000}"/>
    <cellStyle name="Normal 5 5 8 2" xfId="6902" xr:uid="{00000000-0005-0000-0000-00009A1B0000}"/>
    <cellStyle name="Normal 5 5 8 2 2" xfId="15341" xr:uid="{74EB6EB2-1F09-44D7-BF8B-4AD3E10B4E4F}"/>
    <cellStyle name="Normal 5 5 8 3" xfId="11123" xr:uid="{644DB7CA-BF2F-4E9A-8AC3-E04BC1C87C97}"/>
    <cellStyle name="Normal 5 5 9" xfId="4837" xr:uid="{00000000-0005-0000-0000-00009B1B0000}"/>
    <cellStyle name="Normal 5 5 9 2" xfId="13276" xr:uid="{2E4C1E65-843F-4900-9BEC-3DDA3A0218B8}"/>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2F12533D-EA17-4B8A-ABD2-6CD29CA27755}"/>
    <cellStyle name="Normal 5 6 2 2 2 3" xfId="11621" xr:uid="{3790C2D7-59E0-4B03-B49D-17375D957E4A}"/>
    <cellStyle name="Normal 5 6 2 2 3" xfId="5255" xr:uid="{00000000-0005-0000-0000-0000A11B0000}"/>
    <cellStyle name="Normal 5 6 2 2 3 2" xfId="13694" xr:uid="{1AD73723-9550-4AD0-AF41-49187560DFD3}"/>
    <cellStyle name="Normal 5 6 2 2 4" xfId="9476" xr:uid="{97898AD3-5529-4146-9232-430E05498096}"/>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D456D7D0-12BD-4F1D-A434-C80D417D2A0C}"/>
    <cellStyle name="Normal 5 6 2 3 2 3" xfId="12034" xr:uid="{795EABA7-AE61-4097-9C41-B4E1DA4A9709}"/>
    <cellStyle name="Normal 5 6 2 3 3" xfId="5668" xr:uid="{00000000-0005-0000-0000-0000A51B0000}"/>
    <cellStyle name="Normal 5 6 2 3 3 2" xfId="14107" xr:uid="{33E46E76-4FCA-4519-BA22-819A52C93EAA}"/>
    <cellStyle name="Normal 5 6 2 3 4" xfId="9889" xr:uid="{922A62EA-845E-44A5-BA74-5D9E2BEACA38}"/>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E586B6C4-B69F-4ADD-BCC9-42F7644E67E5}"/>
    <cellStyle name="Normal 5 6 2 4 2 3" xfId="12447" xr:uid="{5A06CFCC-E1A9-49CF-981D-F776BFCAA0B2}"/>
    <cellStyle name="Normal 5 6 2 4 3" xfId="6081" xr:uid="{00000000-0005-0000-0000-0000A91B0000}"/>
    <cellStyle name="Normal 5 6 2 4 3 2" xfId="14520" xr:uid="{2959B13F-A7AB-4CFA-9A3E-3D10463D4B5C}"/>
    <cellStyle name="Normal 5 6 2 4 4" xfId="10302" xr:uid="{A0CDE6A8-D001-4F4F-9D60-9758D229CE37}"/>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311B699A-AB63-4C7B-81C4-420524317BCF}"/>
    <cellStyle name="Normal 5 6 2 5 2 3" xfId="12860" xr:uid="{2B9B06D4-5FB0-4EAE-BFE8-B36A63FACE37}"/>
    <cellStyle name="Normal 5 6 2 5 3" xfId="6494" xr:uid="{00000000-0005-0000-0000-0000AD1B0000}"/>
    <cellStyle name="Normal 5 6 2 5 3 2" xfId="14933" xr:uid="{33E2EAE5-73EA-4422-B7B8-C981E7339FC3}"/>
    <cellStyle name="Normal 5 6 2 5 4" xfId="10715" xr:uid="{4A09C291-EEEE-4E35-956D-16A8DE5CA32C}"/>
    <cellStyle name="Normal 5 6 2 6" xfId="2623" xr:uid="{00000000-0005-0000-0000-0000AE1B0000}"/>
    <cellStyle name="Normal 5 6 2 6 2" xfId="6907" xr:uid="{00000000-0005-0000-0000-0000AF1B0000}"/>
    <cellStyle name="Normal 5 6 2 6 2 2" xfId="15346" xr:uid="{4A9013F7-E425-4AE0-8CA6-D3875D34D7E2}"/>
    <cellStyle name="Normal 5 6 2 6 3" xfId="11128" xr:uid="{AD8C0092-38F7-44C0-8789-56C6BEDCB871}"/>
    <cellStyle name="Normal 5 6 2 7" xfId="4842" xr:uid="{00000000-0005-0000-0000-0000B01B0000}"/>
    <cellStyle name="Normal 5 6 2 7 2" xfId="13281" xr:uid="{9D2C1177-BC54-4439-BE9C-5AE941547050}"/>
    <cellStyle name="Normal 5 6 2 8" xfId="9063" xr:uid="{4400B428-91D0-45A9-9504-041899B008FC}"/>
    <cellStyle name="Normal 5 6 3" xfId="942" xr:uid="{00000000-0005-0000-0000-0000B11B0000}"/>
    <cellStyle name="Normal 5 6 3 2" xfId="3176" xr:uid="{00000000-0005-0000-0000-0000B21B0000}"/>
    <cellStyle name="Normal 5 6 3 2 2" xfId="7399" xr:uid="{00000000-0005-0000-0000-0000B31B0000}"/>
    <cellStyle name="Normal 5 6 3 2 2 2" xfId="15838" xr:uid="{C576885E-A3CC-4771-B364-FA7298C92BDF}"/>
    <cellStyle name="Normal 5 6 3 2 3" xfId="11620" xr:uid="{6BC6BA1B-EFE2-49C8-8A81-2447F93C60DF}"/>
    <cellStyle name="Normal 5 6 3 3" xfId="5254" xr:uid="{00000000-0005-0000-0000-0000B41B0000}"/>
    <cellStyle name="Normal 5 6 3 3 2" xfId="13693" xr:uid="{7FED6176-9C36-463A-BEF4-07E10D2A1AE4}"/>
    <cellStyle name="Normal 5 6 3 4" xfId="9475" xr:uid="{32951C71-A177-4775-A740-8DD3485FB44C}"/>
    <cellStyle name="Normal 5 6 4" xfId="1359" xr:uid="{00000000-0005-0000-0000-0000B51B0000}"/>
    <cellStyle name="Normal 5 6 4 2" xfId="3589" xr:uid="{00000000-0005-0000-0000-0000B61B0000}"/>
    <cellStyle name="Normal 5 6 4 2 2" xfId="7812" xr:uid="{00000000-0005-0000-0000-0000B71B0000}"/>
    <cellStyle name="Normal 5 6 4 2 2 2" xfId="16251" xr:uid="{A48EAFFD-5C82-45D8-B9D2-7B5111674C94}"/>
    <cellStyle name="Normal 5 6 4 2 3" xfId="12033" xr:uid="{3706D5B4-EADC-4799-9072-0248ADEACC25}"/>
    <cellStyle name="Normal 5 6 4 3" xfId="5667" xr:uid="{00000000-0005-0000-0000-0000B81B0000}"/>
    <cellStyle name="Normal 5 6 4 3 2" xfId="14106" xr:uid="{C3263A79-5B20-49CE-A8AE-6AB47280A6FE}"/>
    <cellStyle name="Normal 5 6 4 4" xfId="9888" xr:uid="{E70DA969-57AF-4781-AAC5-FA544B59B5E3}"/>
    <cellStyle name="Normal 5 6 5" xfId="1772" xr:uid="{00000000-0005-0000-0000-0000B91B0000}"/>
    <cellStyle name="Normal 5 6 5 2" xfId="4002" xr:uid="{00000000-0005-0000-0000-0000BA1B0000}"/>
    <cellStyle name="Normal 5 6 5 2 2" xfId="8225" xr:uid="{00000000-0005-0000-0000-0000BB1B0000}"/>
    <cellStyle name="Normal 5 6 5 2 2 2" xfId="16664" xr:uid="{DF0057D3-830E-4C13-961E-E3EF7D1A2A2B}"/>
    <cellStyle name="Normal 5 6 5 2 3" xfId="12446" xr:uid="{9DE8B034-19B4-42E3-86F9-62A5044F0231}"/>
    <cellStyle name="Normal 5 6 5 3" xfId="6080" xr:uid="{00000000-0005-0000-0000-0000BC1B0000}"/>
    <cellStyle name="Normal 5 6 5 3 2" xfId="14519" xr:uid="{9A1C6651-DB74-482D-92A0-E7C0EFDCAFBF}"/>
    <cellStyle name="Normal 5 6 5 4" xfId="10301" xr:uid="{D3CC5B80-1C53-4B65-81E7-B3295D3BDE3A}"/>
    <cellStyle name="Normal 5 6 6" xfId="2186" xr:uid="{00000000-0005-0000-0000-0000BD1B0000}"/>
    <cellStyle name="Normal 5 6 6 2" xfId="4415" xr:uid="{00000000-0005-0000-0000-0000BE1B0000}"/>
    <cellStyle name="Normal 5 6 6 2 2" xfId="8638" xr:uid="{00000000-0005-0000-0000-0000BF1B0000}"/>
    <cellStyle name="Normal 5 6 6 2 2 2" xfId="17077" xr:uid="{EA095D3F-2FDF-4564-A729-4748DC040F37}"/>
    <cellStyle name="Normal 5 6 6 2 3" xfId="12859" xr:uid="{D21D2572-2F98-46F5-8EFB-3F8F633B94E2}"/>
    <cellStyle name="Normal 5 6 6 3" xfId="6493" xr:uid="{00000000-0005-0000-0000-0000C01B0000}"/>
    <cellStyle name="Normal 5 6 6 3 2" xfId="14932" xr:uid="{FCA0B9E5-D085-4F5F-8FD4-9035FC4FBEBF}"/>
    <cellStyle name="Normal 5 6 6 4" xfId="10714" xr:uid="{86164614-DC17-4ED8-943A-E09BF311107A}"/>
    <cellStyle name="Normal 5 6 7" xfId="2622" xr:uid="{00000000-0005-0000-0000-0000C11B0000}"/>
    <cellStyle name="Normal 5 6 7 2" xfId="6906" xr:uid="{00000000-0005-0000-0000-0000C21B0000}"/>
    <cellStyle name="Normal 5 6 7 2 2" xfId="15345" xr:uid="{23680F18-0897-432D-8067-5040DC19B729}"/>
    <cellStyle name="Normal 5 6 7 3" xfId="11127" xr:uid="{A52A7DBB-B032-4353-A4A1-970169CAC676}"/>
    <cellStyle name="Normal 5 6 8" xfId="4841" xr:uid="{00000000-0005-0000-0000-0000C31B0000}"/>
    <cellStyle name="Normal 5 6 8 2" xfId="13280" xr:uid="{CAF0313D-576E-46D1-9897-34B7B83B6F8C}"/>
    <cellStyle name="Normal 5 6 9" xfId="9062" xr:uid="{6EB702E2-ACAE-4A28-B2A8-3765ACF5A918}"/>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462DF175-2FC7-40DD-93AE-6FAA09206A1F}"/>
    <cellStyle name="Normal 5 7 2 2 3" xfId="11622" xr:uid="{670A28B6-BB9A-4868-91A7-D7FAD3B51FDD}"/>
    <cellStyle name="Normal 5 7 2 3" xfId="5256" xr:uid="{00000000-0005-0000-0000-0000C81B0000}"/>
    <cellStyle name="Normal 5 7 2 3 2" xfId="13695" xr:uid="{0B800B96-D683-43D7-A545-111AC72C2123}"/>
    <cellStyle name="Normal 5 7 2 4" xfId="9477" xr:uid="{B801B705-027B-43A6-BF72-E399C7D5AEB1}"/>
    <cellStyle name="Normal 5 7 3" xfId="1361" xr:uid="{00000000-0005-0000-0000-0000C91B0000}"/>
    <cellStyle name="Normal 5 7 3 2" xfId="3591" xr:uid="{00000000-0005-0000-0000-0000CA1B0000}"/>
    <cellStyle name="Normal 5 7 3 2 2" xfId="7814" xr:uid="{00000000-0005-0000-0000-0000CB1B0000}"/>
    <cellStyle name="Normal 5 7 3 2 2 2" xfId="16253" xr:uid="{A83A25E1-75EF-4923-AE1D-5BD99E9B42BC}"/>
    <cellStyle name="Normal 5 7 3 2 3" xfId="12035" xr:uid="{91B463FE-A50E-416D-BA68-27F3AEFCA339}"/>
    <cellStyle name="Normal 5 7 3 3" xfId="5669" xr:uid="{00000000-0005-0000-0000-0000CC1B0000}"/>
    <cellStyle name="Normal 5 7 3 3 2" xfId="14108" xr:uid="{DFC6C751-D61A-4044-B02B-76DC4A85D913}"/>
    <cellStyle name="Normal 5 7 3 4" xfId="9890" xr:uid="{5BD979A1-35EA-4F09-86DD-81CF91C0D899}"/>
    <cellStyle name="Normal 5 7 4" xfId="1774" xr:uid="{00000000-0005-0000-0000-0000CD1B0000}"/>
    <cellStyle name="Normal 5 7 4 2" xfId="4004" xr:uid="{00000000-0005-0000-0000-0000CE1B0000}"/>
    <cellStyle name="Normal 5 7 4 2 2" xfId="8227" xr:uid="{00000000-0005-0000-0000-0000CF1B0000}"/>
    <cellStyle name="Normal 5 7 4 2 2 2" xfId="16666" xr:uid="{9186E21E-9A75-4DED-B278-0255BEDC7B1A}"/>
    <cellStyle name="Normal 5 7 4 2 3" xfId="12448" xr:uid="{371467E8-5337-4613-8292-B3126DFCB200}"/>
    <cellStyle name="Normal 5 7 4 3" xfId="6082" xr:uid="{00000000-0005-0000-0000-0000D01B0000}"/>
    <cellStyle name="Normal 5 7 4 3 2" xfId="14521" xr:uid="{5B37F5E6-28AE-493E-B2C5-19166DF12C57}"/>
    <cellStyle name="Normal 5 7 4 4" xfId="10303" xr:uid="{CB574B0F-1925-402E-B783-18C58A1C58CB}"/>
    <cellStyle name="Normal 5 7 5" xfId="2188" xr:uid="{00000000-0005-0000-0000-0000D11B0000}"/>
    <cellStyle name="Normal 5 7 5 2" xfId="4417" xr:uid="{00000000-0005-0000-0000-0000D21B0000}"/>
    <cellStyle name="Normal 5 7 5 2 2" xfId="8640" xr:uid="{00000000-0005-0000-0000-0000D31B0000}"/>
    <cellStyle name="Normal 5 7 5 2 2 2" xfId="17079" xr:uid="{6DB7BF40-85A6-4B2C-A050-377E5C5A830F}"/>
    <cellStyle name="Normal 5 7 5 2 3" xfId="12861" xr:uid="{D372A7A0-FB54-405C-8039-F55A76641AF1}"/>
    <cellStyle name="Normal 5 7 5 3" xfId="6495" xr:uid="{00000000-0005-0000-0000-0000D41B0000}"/>
    <cellStyle name="Normal 5 7 5 3 2" xfId="14934" xr:uid="{D2D21A07-DD49-4754-9301-D7B830E21606}"/>
    <cellStyle name="Normal 5 7 5 4" xfId="10716" xr:uid="{35D74EBD-4F23-4DB8-9D5A-FDA09271BF21}"/>
    <cellStyle name="Normal 5 7 6" xfId="2624" xr:uid="{00000000-0005-0000-0000-0000D51B0000}"/>
    <cellStyle name="Normal 5 7 6 2" xfId="6908" xr:uid="{00000000-0005-0000-0000-0000D61B0000}"/>
    <cellStyle name="Normal 5 7 6 2 2" xfId="15347" xr:uid="{E99C82BC-8526-4639-A33A-358DCCDB28F7}"/>
    <cellStyle name="Normal 5 7 6 3" xfId="11129" xr:uid="{27C317A9-7034-4B1F-B2EF-988D36B49F00}"/>
    <cellStyle name="Normal 5 7 7" xfId="4843" xr:uid="{00000000-0005-0000-0000-0000D71B0000}"/>
    <cellStyle name="Normal 5 7 7 2" xfId="13282" xr:uid="{2A793CDE-15C3-46B6-AC46-151F9612297D}"/>
    <cellStyle name="Normal 5 7 8" xfId="9064" xr:uid="{7B0D563C-2F93-4001-BB81-2FADD74B04EA}"/>
    <cellStyle name="Normal 5 8" xfId="880" xr:uid="{00000000-0005-0000-0000-0000D81B0000}"/>
    <cellStyle name="Normal 5 8 2" xfId="3115" xr:uid="{00000000-0005-0000-0000-0000D91B0000}"/>
    <cellStyle name="Normal 5 8 2 2" xfId="7338" xr:uid="{00000000-0005-0000-0000-0000DA1B0000}"/>
    <cellStyle name="Normal 5 8 2 2 2" xfId="15777" xr:uid="{19B2914D-434A-4B57-B66C-1CB4E9937A4B}"/>
    <cellStyle name="Normal 5 8 2 3" xfId="11559" xr:uid="{0C6944A8-71D2-49D8-9E89-C1B34BB6FB6D}"/>
    <cellStyle name="Normal 5 8 3" xfId="5193" xr:uid="{00000000-0005-0000-0000-0000DB1B0000}"/>
    <cellStyle name="Normal 5 8 3 2" xfId="13632" xr:uid="{91EDED61-FB64-403B-99FB-EDDDEA8427B7}"/>
    <cellStyle name="Normal 5 8 4" xfId="9414" xr:uid="{61EA2EFB-57A6-46B8-9327-DE7EF3A8ED83}"/>
    <cellStyle name="Normal 5 9" xfId="1298" xr:uid="{00000000-0005-0000-0000-0000DC1B0000}"/>
    <cellStyle name="Normal 5 9 2" xfId="3528" xr:uid="{00000000-0005-0000-0000-0000DD1B0000}"/>
    <cellStyle name="Normal 5 9 2 2" xfId="7751" xr:uid="{00000000-0005-0000-0000-0000DE1B0000}"/>
    <cellStyle name="Normal 5 9 2 2 2" xfId="16190" xr:uid="{E6492D51-806A-4791-9CA3-F3316A438DD4}"/>
    <cellStyle name="Normal 5 9 2 3" xfId="11972" xr:uid="{439C27D1-B8D5-4ADD-8836-893AEE8CFEDF}"/>
    <cellStyle name="Normal 5 9 3" xfId="5606" xr:uid="{00000000-0005-0000-0000-0000DF1B0000}"/>
    <cellStyle name="Normal 5 9 3 2" xfId="14045" xr:uid="{53A42ACF-3B2B-45F7-AD02-AFA498205310}"/>
    <cellStyle name="Normal 5 9 4" xfId="9827" xr:uid="{4927C005-0E69-4F88-8CE9-2077FF6312F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C1AC1F86-46C1-4BA0-824E-3AE922B11485}"/>
    <cellStyle name="Normal 8 10 2 3" xfId="12862" xr:uid="{EC8769CA-46B3-4C0D-B245-0B06457A1569}"/>
    <cellStyle name="Normal 8 10 3" xfId="6496" xr:uid="{00000000-0005-0000-0000-0000EB1B0000}"/>
    <cellStyle name="Normal 8 10 3 2" xfId="14935" xr:uid="{9E12FD11-2A21-423A-8835-B1EE22DE4054}"/>
    <cellStyle name="Normal 8 10 4" xfId="10717" xr:uid="{DABDFCC7-EA56-4EC4-B098-CEFD95722BF3}"/>
    <cellStyle name="Normal 8 11" xfId="2625" xr:uid="{00000000-0005-0000-0000-0000EC1B0000}"/>
    <cellStyle name="Normal 8 11 2" xfId="6909" xr:uid="{00000000-0005-0000-0000-0000ED1B0000}"/>
    <cellStyle name="Normal 8 11 2 2" xfId="15348" xr:uid="{E36C07EA-8E34-4039-B714-C2AB4C34BC5E}"/>
    <cellStyle name="Normal 8 11 3" xfId="11130" xr:uid="{A48680AE-15E5-4FC5-ABA1-1FF053BE9781}"/>
    <cellStyle name="Normal 8 12" xfId="4844" xr:uid="{00000000-0005-0000-0000-0000EE1B0000}"/>
    <cellStyle name="Normal 8 12 2" xfId="13283" xr:uid="{BD242B88-CE84-40D2-8850-60025A0DC192}"/>
    <cellStyle name="Normal 8 13" xfId="9065" xr:uid="{9768E7B6-7E02-4325-A8E7-CC5091D7808F}"/>
    <cellStyle name="Normal 8 2" xfId="479" xr:uid="{00000000-0005-0000-0000-0000EF1B0000}"/>
    <cellStyle name="Normal 8 2 10" xfId="2626" xr:uid="{00000000-0005-0000-0000-0000F01B0000}"/>
    <cellStyle name="Normal 8 2 10 2" xfId="6910" xr:uid="{00000000-0005-0000-0000-0000F11B0000}"/>
    <cellStyle name="Normal 8 2 10 2 2" xfId="15349" xr:uid="{94F0718B-5770-4763-8CC0-EA5CC928C115}"/>
    <cellStyle name="Normal 8 2 10 3" xfId="11131" xr:uid="{50B6F988-0DBE-4B9E-A2CB-85E2404AF9C9}"/>
    <cellStyle name="Normal 8 2 11" xfId="4845" xr:uid="{00000000-0005-0000-0000-0000F21B0000}"/>
    <cellStyle name="Normal 8 2 11 2" xfId="13284" xr:uid="{CEBF027A-4175-4994-A366-6157AA08B3F1}"/>
    <cellStyle name="Normal 8 2 12" xfId="9066" xr:uid="{BFE9E6FB-E1E3-40C8-9157-6366A6E13169}"/>
    <cellStyle name="Normal 8 2 2" xfId="480" xr:uid="{00000000-0005-0000-0000-0000F31B0000}"/>
    <cellStyle name="Normal 8 2 2 10" xfId="4846" xr:uid="{00000000-0005-0000-0000-0000F41B0000}"/>
    <cellStyle name="Normal 8 2 2 10 2" xfId="13285" xr:uid="{58D1BAE3-8227-428E-BF4E-596506403F82}"/>
    <cellStyle name="Normal 8 2 2 11" xfId="9067" xr:uid="{EB6BDC52-774D-419D-96B6-B011E352BA7A}"/>
    <cellStyle name="Normal 8 2 2 2" xfId="481" xr:uid="{00000000-0005-0000-0000-0000F51B0000}"/>
    <cellStyle name="Normal 8 2 2 2 10" xfId="9068" xr:uid="{A82381B2-0EDE-427C-A828-2343947661BC}"/>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548C1084-CD58-4530-81B2-5A90F6EFA412}"/>
    <cellStyle name="Normal 8 2 2 2 2 2 2 2 3" xfId="11628" xr:uid="{A3916847-5948-4DFF-B958-2D671AB0B1F7}"/>
    <cellStyle name="Normal 8 2 2 2 2 2 2 3" xfId="5262" xr:uid="{00000000-0005-0000-0000-0000FB1B0000}"/>
    <cellStyle name="Normal 8 2 2 2 2 2 2 3 2" xfId="13701" xr:uid="{9DEB6B58-3BA5-49EA-AA18-CC34B9B25FC2}"/>
    <cellStyle name="Normal 8 2 2 2 2 2 2 4" xfId="9483" xr:uid="{A9489384-8CA3-4C26-8289-FC63EDDFAD9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7A20B19C-DA8A-40EF-A67C-AD75BE6A95AE}"/>
    <cellStyle name="Normal 8 2 2 2 2 2 3 2 3" xfId="12041" xr:uid="{7D2F5D5C-72C1-4938-82D7-E95FF03D99F5}"/>
    <cellStyle name="Normal 8 2 2 2 2 2 3 3" xfId="5675" xr:uid="{00000000-0005-0000-0000-0000FF1B0000}"/>
    <cellStyle name="Normal 8 2 2 2 2 2 3 3 2" xfId="14114" xr:uid="{6FAEC1B7-946E-44ED-B960-B6E6CB3C39C5}"/>
    <cellStyle name="Normal 8 2 2 2 2 2 3 4" xfId="9896" xr:uid="{1BD3AD69-6C15-485D-8D02-F814E7EED948}"/>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D43494DB-C867-4E4A-8F5D-B9087BB87D99}"/>
    <cellStyle name="Normal 8 2 2 2 2 2 4 2 3" xfId="12454" xr:uid="{1F3E6658-861D-41BC-84F0-BBA056A328BF}"/>
    <cellStyle name="Normal 8 2 2 2 2 2 4 3" xfId="6088" xr:uid="{00000000-0005-0000-0000-0000031C0000}"/>
    <cellStyle name="Normal 8 2 2 2 2 2 4 3 2" xfId="14527" xr:uid="{27BE8A64-5A67-48E2-8D69-D86907075AE8}"/>
    <cellStyle name="Normal 8 2 2 2 2 2 4 4" xfId="10309" xr:uid="{48E13F5D-ABAB-4E06-87C6-709462E09544}"/>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1B0D6138-824A-4472-ACB4-F4DC482FB4D4}"/>
    <cellStyle name="Normal 8 2 2 2 2 2 5 2 3" xfId="12867" xr:uid="{2E1EF42A-E3DA-42FF-8A3C-28089C857F1E}"/>
    <cellStyle name="Normal 8 2 2 2 2 2 5 3" xfId="6501" xr:uid="{00000000-0005-0000-0000-0000071C0000}"/>
    <cellStyle name="Normal 8 2 2 2 2 2 5 3 2" xfId="14940" xr:uid="{AFDCE679-E47B-41E8-BD90-B615EFE8057C}"/>
    <cellStyle name="Normal 8 2 2 2 2 2 5 4" xfId="10722" xr:uid="{4B4C9ADE-7D93-442F-AE85-029DE69709D3}"/>
    <cellStyle name="Normal 8 2 2 2 2 2 6" xfId="2630" xr:uid="{00000000-0005-0000-0000-0000081C0000}"/>
    <cellStyle name="Normal 8 2 2 2 2 2 6 2" xfId="6914" xr:uid="{00000000-0005-0000-0000-0000091C0000}"/>
    <cellStyle name="Normal 8 2 2 2 2 2 6 2 2" xfId="15353" xr:uid="{2B51FDDD-51D2-4B37-A5BF-469EBA521449}"/>
    <cellStyle name="Normal 8 2 2 2 2 2 6 3" xfId="11135" xr:uid="{4DB037ED-142A-4679-91C6-A275B6957381}"/>
    <cellStyle name="Normal 8 2 2 2 2 2 7" xfId="4849" xr:uid="{00000000-0005-0000-0000-00000A1C0000}"/>
    <cellStyle name="Normal 8 2 2 2 2 2 7 2" xfId="13288" xr:uid="{3405FF41-0F3B-45DD-88D7-A5EF8AE773DB}"/>
    <cellStyle name="Normal 8 2 2 2 2 2 8" xfId="9070" xr:uid="{CA919545-A425-4B55-8930-D8A0EA6C86CD}"/>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3602B648-8868-4A15-9E5B-E20F678FED18}"/>
    <cellStyle name="Normal 8 2 2 2 2 3 2 3" xfId="11627" xr:uid="{1973ED26-7BE9-4F49-903F-35B70A31818C}"/>
    <cellStyle name="Normal 8 2 2 2 2 3 3" xfId="5261" xr:uid="{00000000-0005-0000-0000-00000E1C0000}"/>
    <cellStyle name="Normal 8 2 2 2 2 3 3 2" xfId="13700" xr:uid="{34C80217-0C5C-47B2-973E-B3A3138D2DBC}"/>
    <cellStyle name="Normal 8 2 2 2 2 3 4" xfId="9482" xr:uid="{DA6EEC63-36FC-4AC8-A47B-C6524BDCC33F}"/>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F0DCCDC1-640C-4384-9F60-2A2AB62174E9}"/>
    <cellStyle name="Normal 8 2 2 2 2 4 2 3" xfId="12040" xr:uid="{0E7FBF50-C8B1-45BE-A59F-4C941E004F07}"/>
    <cellStyle name="Normal 8 2 2 2 2 4 3" xfId="5674" xr:uid="{00000000-0005-0000-0000-0000121C0000}"/>
    <cellStyle name="Normal 8 2 2 2 2 4 3 2" xfId="14113" xr:uid="{3916FC54-6F64-4A2C-97A0-07BA9494254E}"/>
    <cellStyle name="Normal 8 2 2 2 2 4 4" xfId="9895" xr:uid="{4FE7AD3A-5DCE-4D98-AADC-C52C8D688546}"/>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0BD335FA-2CB6-4649-8B6C-50A1CA9A0BFC}"/>
    <cellStyle name="Normal 8 2 2 2 2 5 2 3" xfId="12453" xr:uid="{062B9336-B368-48F6-B22F-45B3E32A5BEF}"/>
    <cellStyle name="Normal 8 2 2 2 2 5 3" xfId="6087" xr:uid="{00000000-0005-0000-0000-0000161C0000}"/>
    <cellStyle name="Normal 8 2 2 2 2 5 3 2" xfId="14526" xr:uid="{E8E8413F-A14F-4081-9CE2-E8A470C63E1B}"/>
    <cellStyle name="Normal 8 2 2 2 2 5 4" xfId="10308" xr:uid="{753FC2EE-197A-4405-AE66-C5336DA05408}"/>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146EEF1C-1BB9-42E0-ACEC-087216F35825}"/>
    <cellStyle name="Normal 8 2 2 2 2 6 2 3" xfId="12866" xr:uid="{2D89DCB9-478F-4976-84C2-00E2AC139D05}"/>
    <cellStyle name="Normal 8 2 2 2 2 6 3" xfId="6500" xr:uid="{00000000-0005-0000-0000-00001A1C0000}"/>
    <cellStyle name="Normal 8 2 2 2 2 6 3 2" xfId="14939" xr:uid="{AC4AC2BD-013E-48A4-A569-97B6A8A809C1}"/>
    <cellStyle name="Normal 8 2 2 2 2 6 4" xfId="10721" xr:uid="{55BAE756-9BEA-420B-876A-541E515073B5}"/>
    <cellStyle name="Normal 8 2 2 2 2 7" xfId="2629" xr:uid="{00000000-0005-0000-0000-00001B1C0000}"/>
    <cellStyle name="Normal 8 2 2 2 2 7 2" xfId="6913" xr:uid="{00000000-0005-0000-0000-00001C1C0000}"/>
    <cellStyle name="Normal 8 2 2 2 2 7 2 2" xfId="15352" xr:uid="{ABBD57A9-FA84-430E-BEB9-B0303F969935}"/>
    <cellStyle name="Normal 8 2 2 2 2 7 3" xfId="11134" xr:uid="{9464E60E-83C7-4993-B692-4A508E1AAA44}"/>
    <cellStyle name="Normal 8 2 2 2 2 8" xfId="4848" xr:uid="{00000000-0005-0000-0000-00001D1C0000}"/>
    <cellStyle name="Normal 8 2 2 2 2 8 2" xfId="13287" xr:uid="{6459E34F-E4C1-47BD-BC89-AFA9D58525B6}"/>
    <cellStyle name="Normal 8 2 2 2 2 9" xfId="9069" xr:uid="{FD38C03F-1952-4B3C-BF27-10992B3B8AD6}"/>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0FAED9E4-4D40-4EC5-9C99-4C9707430455}"/>
    <cellStyle name="Normal 8 2 2 2 3 2 2 3" xfId="11629" xr:uid="{FBECFC5E-6D9A-48AB-9364-33B5634A000B}"/>
    <cellStyle name="Normal 8 2 2 2 3 2 3" xfId="5263" xr:uid="{00000000-0005-0000-0000-0000221C0000}"/>
    <cellStyle name="Normal 8 2 2 2 3 2 3 2" xfId="13702" xr:uid="{A77CEACE-B57B-4BA4-A880-B486161B3046}"/>
    <cellStyle name="Normal 8 2 2 2 3 2 4" xfId="9484" xr:uid="{B0BD0AA7-E2CC-4962-875A-BBF6098DC8C2}"/>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130BD1C1-21A1-472A-B1F1-C796DD361EC3}"/>
    <cellStyle name="Normal 8 2 2 2 3 3 2 3" xfId="12042" xr:uid="{053CEC41-3869-4889-8ACE-9E02A38CCAC8}"/>
    <cellStyle name="Normal 8 2 2 2 3 3 3" xfId="5676" xr:uid="{00000000-0005-0000-0000-0000261C0000}"/>
    <cellStyle name="Normal 8 2 2 2 3 3 3 2" xfId="14115" xr:uid="{FE0E5B09-27F3-4255-8F70-559529F8C7C4}"/>
    <cellStyle name="Normal 8 2 2 2 3 3 4" xfId="9897" xr:uid="{F7B8743E-9422-4F85-B6E9-F1942498B22E}"/>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07CA0FD9-5F7F-4992-A3AC-8DE0DAEDC860}"/>
    <cellStyle name="Normal 8 2 2 2 3 4 2 3" xfId="12455" xr:uid="{D95B569D-1F37-4E58-B24C-347631F79104}"/>
    <cellStyle name="Normal 8 2 2 2 3 4 3" xfId="6089" xr:uid="{00000000-0005-0000-0000-00002A1C0000}"/>
    <cellStyle name="Normal 8 2 2 2 3 4 3 2" xfId="14528" xr:uid="{CDA66A96-AA7C-4858-971C-0687BCAA88DD}"/>
    <cellStyle name="Normal 8 2 2 2 3 4 4" xfId="10310" xr:uid="{1F7BCBD8-0591-4590-8A39-AAB2B8D7053A}"/>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8B8A56FA-C183-406F-845C-E7E4462C3571}"/>
    <cellStyle name="Normal 8 2 2 2 3 5 2 3" xfId="12868" xr:uid="{F6FFB1AE-5D61-4210-A120-B860D458DABA}"/>
    <cellStyle name="Normal 8 2 2 2 3 5 3" xfId="6502" xr:uid="{00000000-0005-0000-0000-00002E1C0000}"/>
    <cellStyle name="Normal 8 2 2 2 3 5 3 2" xfId="14941" xr:uid="{C25D7D91-139E-490B-AB9F-830273AA88C1}"/>
    <cellStyle name="Normal 8 2 2 2 3 5 4" xfId="10723" xr:uid="{E34FDE52-DA36-4395-A45A-E5B0CF4ABB2A}"/>
    <cellStyle name="Normal 8 2 2 2 3 6" xfId="2631" xr:uid="{00000000-0005-0000-0000-00002F1C0000}"/>
    <cellStyle name="Normal 8 2 2 2 3 6 2" xfId="6915" xr:uid="{00000000-0005-0000-0000-0000301C0000}"/>
    <cellStyle name="Normal 8 2 2 2 3 6 2 2" xfId="15354" xr:uid="{2D9BAF27-F79C-4AC3-A979-2E29FB2EEE62}"/>
    <cellStyle name="Normal 8 2 2 2 3 6 3" xfId="11136" xr:uid="{5BC53625-63BE-4AEB-B041-487A03D73E17}"/>
    <cellStyle name="Normal 8 2 2 2 3 7" xfId="4850" xr:uid="{00000000-0005-0000-0000-0000311C0000}"/>
    <cellStyle name="Normal 8 2 2 2 3 7 2" xfId="13289" xr:uid="{5E8C7FAE-CC61-4F2E-A28A-7354643A615C}"/>
    <cellStyle name="Normal 8 2 2 2 3 8" xfId="9071" xr:uid="{56709494-A41F-4FE6-A852-03FB64E259ED}"/>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166834B2-DAC2-4C3C-8CDB-A0B3FECE3B24}"/>
    <cellStyle name="Normal 8 2 2 2 4 2 3" xfId="11626" xr:uid="{73499753-7389-4F45-917D-0C46E6EF10D7}"/>
    <cellStyle name="Normal 8 2 2 2 4 3" xfId="5260" xr:uid="{00000000-0005-0000-0000-0000351C0000}"/>
    <cellStyle name="Normal 8 2 2 2 4 3 2" xfId="13699" xr:uid="{EC772580-6655-47D6-8E3E-242414FE45F9}"/>
    <cellStyle name="Normal 8 2 2 2 4 4" xfId="9481" xr:uid="{B939C72C-4462-4E7B-94EE-AAC95BCA6AD6}"/>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06F75F2C-B2CA-46B0-9A4B-0F15153A3007}"/>
    <cellStyle name="Normal 8 2 2 2 5 2 3" xfId="12039" xr:uid="{ABB90F7A-2CA0-4DF1-942C-42CAE54B15C4}"/>
    <cellStyle name="Normal 8 2 2 2 5 3" xfId="5673" xr:uid="{00000000-0005-0000-0000-0000391C0000}"/>
    <cellStyle name="Normal 8 2 2 2 5 3 2" xfId="14112" xr:uid="{C180984E-8566-4C0E-8D8F-8E63573D7333}"/>
    <cellStyle name="Normal 8 2 2 2 5 4" xfId="9894" xr:uid="{3C0EAEA5-1C64-48F8-8C6B-AB3D5A522CC7}"/>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117F8CB4-E105-428B-BFF3-6E17636C34AE}"/>
    <cellStyle name="Normal 8 2 2 2 6 2 3" xfId="12452" xr:uid="{EB3698C8-98E7-411D-8A7C-4067FCE4BE64}"/>
    <cellStyle name="Normal 8 2 2 2 6 3" xfId="6086" xr:uid="{00000000-0005-0000-0000-00003D1C0000}"/>
    <cellStyle name="Normal 8 2 2 2 6 3 2" xfId="14525" xr:uid="{4BD0886A-E7D9-4871-9CDA-7CCE53807674}"/>
    <cellStyle name="Normal 8 2 2 2 6 4" xfId="10307" xr:uid="{46B0ED60-6D5D-4EB2-ABA3-957B1C04A9F1}"/>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6DB83960-FCD6-4DDA-AB3D-84B8987C8232}"/>
    <cellStyle name="Normal 8 2 2 2 7 2 3" xfId="12865" xr:uid="{29A50F88-3F25-454E-A319-6E18B462EB3D}"/>
    <cellStyle name="Normal 8 2 2 2 7 3" xfId="6499" xr:uid="{00000000-0005-0000-0000-0000411C0000}"/>
    <cellStyle name="Normal 8 2 2 2 7 3 2" xfId="14938" xr:uid="{B49D6EE7-066E-4854-91E1-B890F94AB4C0}"/>
    <cellStyle name="Normal 8 2 2 2 7 4" xfId="10720" xr:uid="{EBFF2329-4D7B-432C-BC94-5DB024507C49}"/>
    <cellStyle name="Normal 8 2 2 2 8" xfId="2628" xr:uid="{00000000-0005-0000-0000-0000421C0000}"/>
    <cellStyle name="Normal 8 2 2 2 8 2" xfId="6912" xr:uid="{00000000-0005-0000-0000-0000431C0000}"/>
    <cellStyle name="Normal 8 2 2 2 8 2 2" xfId="15351" xr:uid="{57495656-58BF-44F4-A695-2AA377B9933C}"/>
    <cellStyle name="Normal 8 2 2 2 8 3" xfId="11133" xr:uid="{6746FA91-DA8A-4D2F-9F52-6CE43436D966}"/>
    <cellStyle name="Normal 8 2 2 2 9" xfId="4847" xr:uid="{00000000-0005-0000-0000-0000441C0000}"/>
    <cellStyle name="Normal 8 2 2 2 9 2" xfId="13286" xr:uid="{67175980-B5D8-451E-B9F4-68FCBD62897B}"/>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3256F3C4-4D11-4585-92C6-0A10772A9AA7}"/>
    <cellStyle name="Normal 8 2 2 3 2 2 2 3" xfId="11631" xr:uid="{AE76FCF3-5656-472B-B62B-E024B65D248C}"/>
    <cellStyle name="Normal 8 2 2 3 2 2 3" xfId="5265" xr:uid="{00000000-0005-0000-0000-00004A1C0000}"/>
    <cellStyle name="Normal 8 2 2 3 2 2 3 2" xfId="13704" xr:uid="{3BEA5C5B-19D2-4D51-A8F6-00FA26F475AE}"/>
    <cellStyle name="Normal 8 2 2 3 2 2 4" xfId="9486" xr:uid="{3E5BE469-F647-4F7D-8235-0AE1F53CD235}"/>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68A80CA4-C23E-4E57-BBAE-4A24A4A92952}"/>
    <cellStyle name="Normal 8 2 2 3 2 3 2 3" xfId="12044" xr:uid="{BC55FE10-60B7-4AFC-B9EF-8892AB44C9B9}"/>
    <cellStyle name="Normal 8 2 2 3 2 3 3" xfId="5678" xr:uid="{00000000-0005-0000-0000-00004E1C0000}"/>
    <cellStyle name="Normal 8 2 2 3 2 3 3 2" xfId="14117" xr:uid="{8E73473C-0ADB-4E3E-B415-7DE12E0102A0}"/>
    <cellStyle name="Normal 8 2 2 3 2 3 4" xfId="9899" xr:uid="{D7F767C3-AD53-4428-B33D-05102B5092F4}"/>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9DCDB42E-03BB-4466-99DE-212D3A04F070}"/>
    <cellStyle name="Normal 8 2 2 3 2 4 2 3" xfId="12457" xr:uid="{B8745B6A-EFE8-4504-832F-B52B19C29FD3}"/>
    <cellStyle name="Normal 8 2 2 3 2 4 3" xfId="6091" xr:uid="{00000000-0005-0000-0000-0000521C0000}"/>
    <cellStyle name="Normal 8 2 2 3 2 4 3 2" xfId="14530" xr:uid="{2D58A31F-C58D-4FE8-AA2D-26CB41726366}"/>
    <cellStyle name="Normal 8 2 2 3 2 4 4" xfId="10312" xr:uid="{BA6489D9-B1A6-40CC-8E94-319BC6E04B61}"/>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DA2EA01A-93C4-456F-ADFB-4B6F753BC406}"/>
    <cellStyle name="Normal 8 2 2 3 2 5 2 3" xfId="12870" xr:uid="{6F7CC2BE-E82F-4817-BD57-0FBF9928CCD9}"/>
    <cellStyle name="Normal 8 2 2 3 2 5 3" xfId="6504" xr:uid="{00000000-0005-0000-0000-0000561C0000}"/>
    <cellStyle name="Normal 8 2 2 3 2 5 3 2" xfId="14943" xr:uid="{552FAF49-32D6-44FC-9929-E301812004F1}"/>
    <cellStyle name="Normal 8 2 2 3 2 5 4" xfId="10725" xr:uid="{3616D411-6B62-4152-884D-2D6C2A1F64EA}"/>
    <cellStyle name="Normal 8 2 2 3 2 6" xfId="2633" xr:uid="{00000000-0005-0000-0000-0000571C0000}"/>
    <cellStyle name="Normal 8 2 2 3 2 6 2" xfId="6917" xr:uid="{00000000-0005-0000-0000-0000581C0000}"/>
    <cellStyle name="Normal 8 2 2 3 2 6 2 2" xfId="15356" xr:uid="{EB8935A5-8692-406B-81B4-9F48E2864B33}"/>
    <cellStyle name="Normal 8 2 2 3 2 6 3" xfId="11138" xr:uid="{B5F2A419-737E-45BB-8640-A0AB2A38AF3F}"/>
    <cellStyle name="Normal 8 2 2 3 2 7" xfId="4852" xr:uid="{00000000-0005-0000-0000-0000591C0000}"/>
    <cellStyle name="Normal 8 2 2 3 2 7 2" xfId="13291" xr:uid="{532DDBB6-C5FF-4527-A3BE-8752BE7E6730}"/>
    <cellStyle name="Normal 8 2 2 3 2 8" xfId="9073" xr:uid="{891C6BBC-81E0-4FFD-B080-6377602C45BA}"/>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9A1DF987-9630-4637-9007-5F7FF0C000CC}"/>
    <cellStyle name="Normal 8 2 2 3 3 2 3" xfId="11630" xr:uid="{A59003F2-0065-4ACD-A656-31B7E1481C11}"/>
    <cellStyle name="Normal 8 2 2 3 3 3" xfId="5264" xr:uid="{00000000-0005-0000-0000-00005D1C0000}"/>
    <cellStyle name="Normal 8 2 2 3 3 3 2" xfId="13703" xr:uid="{89890E8A-DCD2-461F-943C-3734BD9BEEAF}"/>
    <cellStyle name="Normal 8 2 2 3 3 4" xfId="9485" xr:uid="{25714EE7-5432-43BB-94DE-F3184BAC3020}"/>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5121A327-FFC2-422C-90EC-06DD39B8AAA5}"/>
    <cellStyle name="Normal 8 2 2 3 4 2 3" xfId="12043" xr:uid="{C9876887-9A65-4B21-B5B6-4BD17075B5E6}"/>
    <cellStyle name="Normal 8 2 2 3 4 3" xfId="5677" xr:uid="{00000000-0005-0000-0000-0000611C0000}"/>
    <cellStyle name="Normal 8 2 2 3 4 3 2" xfId="14116" xr:uid="{8DB12DA4-9DF7-4375-A73E-4CB1FE38FA94}"/>
    <cellStyle name="Normal 8 2 2 3 4 4" xfId="9898" xr:uid="{F57F6215-EE6C-42B0-9B77-39B066BA58BE}"/>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A2729BF4-C05C-47EC-BB2C-6A5F92E8564A}"/>
    <cellStyle name="Normal 8 2 2 3 5 2 3" xfId="12456" xr:uid="{FEEA73DC-202F-43F8-AF94-E2FF7B333B2D}"/>
    <cellStyle name="Normal 8 2 2 3 5 3" xfId="6090" xr:uid="{00000000-0005-0000-0000-0000651C0000}"/>
    <cellStyle name="Normal 8 2 2 3 5 3 2" xfId="14529" xr:uid="{51294B48-CB97-477F-9AD4-F54035FAADDD}"/>
    <cellStyle name="Normal 8 2 2 3 5 4" xfId="10311" xr:uid="{ACBD78C2-A89F-4D4E-A657-A9C452752A72}"/>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74595616-3971-4C30-A2B2-216F40CA3089}"/>
    <cellStyle name="Normal 8 2 2 3 6 2 3" xfId="12869" xr:uid="{AE0F3BB9-0B8B-41D9-A965-4EA0ECEAB211}"/>
    <cellStyle name="Normal 8 2 2 3 6 3" xfId="6503" xr:uid="{00000000-0005-0000-0000-0000691C0000}"/>
    <cellStyle name="Normal 8 2 2 3 6 3 2" xfId="14942" xr:uid="{5C9CEDD7-ACF8-4586-87C0-7710985CEB97}"/>
    <cellStyle name="Normal 8 2 2 3 6 4" xfId="10724" xr:uid="{43D72054-A543-4219-BB22-7BBB9CCA7961}"/>
    <cellStyle name="Normal 8 2 2 3 7" xfId="2632" xr:uid="{00000000-0005-0000-0000-00006A1C0000}"/>
    <cellStyle name="Normal 8 2 2 3 7 2" xfId="6916" xr:uid="{00000000-0005-0000-0000-00006B1C0000}"/>
    <cellStyle name="Normal 8 2 2 3 7 2 2" xfId="15355" xr:uid="{C95923AE-3B98-4BE7-900F-05273DE9502C}"/>
    <cellStyle name="Normal 8 2 2 3 7 3" xfId="11137" xr:uid="{01426079-5CD7-457D-AB72-CD2361A86895}"/>
    <cellStyle name="Normal 8 2 2 3 8" xfId="4851" xr:uid="{00000000-0005-0000-0000-00006C1C0000}"/>
    <cellStyle name="Normal 8 2 2 3 8 2" xfId="13290" xr:uid="{A30820F7-3DA1-4B61-9F6E-5E7C8459C5BD}"/>
    <cellStyle name="Normal 8 2 2 3 9" xfId="9072" xr:uid="{168DB1F5-D8BA-4ED7-8682-269D92593E6B}"/>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C028D41E-0A6B-482F-A7D9-86297A5D8440}"/>
    <cellStyle name="Normal 8 2 2 4 2 2 3" xfId="11632" xr:uid="{9CD7D326-0B25-4156-9944-3CFD43B8F45D}"/>
    <cellStyle name="Normal 8 2 2 4 2 3" xfId="5266" xr:uid="{00000000-0005-0000-0000-0000711C0000}"/>
    <cellStyle name="Normal 8 2 2 4 2 3 2" xfId="13705" xr:uid="{ACA605E8-7877-43DC-8421-49083F26A3EA}"/>
    <cellStyle name="Normal 8 2 2 4 2 4" xfId="9487" xr:uid="{8AA08B7A-7CB2-4423-BE9C-939CA534DBFE}"/>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4491A40B-301C-4F3D-B66A-926E3F5B4708}"/>
    <cellStyle name="Normal 8 2 2 4 3 2 3" xfId="12045" xr:uid="{0C7F143D-A4EC-4623-A83A-CC299B73C7F3}"/>
    <cellStyle name="Normal 8 2 2 4 3 3" xfId="5679" xr:uid="{00000000-0005-0000-0000-0000751C0000}"/>
    <cellStyle name="Normal 8 2 2 4 3 3 2" xfId="14118" xr:uid="{2659D2ED-5513-4508-8D06-FB01115EBF4A}"/>
    <cellStyle name="Normal 8 2 2 4 3 4" xfId="9900" xr:uid="{DAE23381-255B-4402-AF1A-194C726145FD}"/>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B98C5750-4E63-4E4B-9DFF-1568AB6479AF}"/>
    <cellStyle name="Normal 8 2 2 4 4 2 3" xfId="12458" xr:uid="{6FFDAA8F-27D0-419D-9F7E-F0682A2C6098}"/>
    <cellStyle name="Normal 8 2 2 4 4 3" xfId="6092" xr:uid="{00000000-0005-0000-0000-0000791C0000}"/>
    <cellStyle name="Normal 8 2 2 4 4 3 2" xfId="14531" xr:uid="{8901CE75-8BD9-474C-9680-B58195FC3D2C}"/>
    <cellStyle name="Normal 8 2 2 4 4 4" xfId="10313" xr:uid="{7C2E4046-8495-4213-918C-6006D3006548}"/>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4AB30B37-3E1C-4A9B-B25A-8A7ECCE39EE1}"/>
    <cellStyle name="Normal 8 2 2 4 5 2 3" xfId="12871" xr:uid="{A8F112C5-D6C8-4307-BC96-B11AF45517D0}"/>
    <cellStyle name="Normal 8 2 2 4 5 3" xfId="6505" xr:uid="{00000000-0005-0000-0000-00007D1C0000}"/>
    <cellStyle name="Normal 8 2 2 4 5 3 2" xfId="14944" xr:uid="{5101D5E9-5049-4673-9960-FF609C4AE624}"/>
    <cellStyle name="Normal 8 2 2 4 5 4" xfId="10726" xr:uid="{822164DF-E518-45E4-9AF4-5CF247F31C20}"/>
    <cellStyle name="Normal 8 2 2 4 6" xfId="2634" xr:uid="{00000000-0005-0000-0000-00007E1C0000}"/>
    <cellStyle name="Normal 8 2 2 4 6 2" xfId="6918" xr:uid="{00000000-0005-0000-0000-00007F1C0000}"/>
    <cellStyle name="Normal 8 2 2 4 6 2 2" xfId="15357" xr:uid="{E1505B47-BF3B-4F1F-B467-098F996A11BA}"/>
    <cellStyle name="Normal 8 2 2 4 6 3" xfId="11139" xr:uid="{ADCF1577-8221-42B1-B664-7E3C667D5606}"/>
    <cellStyle name="Normal 8 2 2 4 7" xfId="4853" xr:uid="{00000000-0005-0000-0000-0000801C0000}"/>
    <cellStyle name="Normal 8 2 2 4 7 2" xfId="13292" xr:uid="{83A2602A-ADF0-4939-BB28-3943C050AF55}"/>
    <cellStyle name="Normal 8 2 2 4 8" xfId="9074" xr:uid="{5514B1B8-BAD2-4A0A-A5C0-167EC2AD6A7E}"/>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022F5238-63D4-4ADA-A5EF-08A31565A83E}"/>
    <cellStyle name="Normal 8 2 2 5 2 3" xfId="11625" xr:uid="{2E33A278-E9DE-40B4-AC15-14F6C9380CBC}"/>
    <cellStyle name="Normal 8 2 2 5 3" xfId="5259" xr:uid="{00000000-0005-0000-0000-0000841C0000}"/>
    <cellStyle name="Normal 8 2 2 5 3 2" xfId="13698" xr:uid="{0B010224-9BFC-44CB-9D76-526421424B11}"/>
    <cellStyle name="Normal 8 2 2 5 4" xfId="9480" xr:uid="{CFAC24B8-5732-428F-8642-2938BE27B223}"/>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7E0C927B-58AF-45C1-9262-5B85B72EC157}"/>
    <cellStyle name="Normal 8 2 2 6 2 3" xfId="12038" xr:uid="{F5E703E4-DC22-4AD3-BB8F-CBAF8FBD3EDA}"/>
    <cellStyle name="Normal 8 2 2 6 3" xfId="5672" xr:uid="{00000000-0005-0000-0000-0000881C0000}"/>
    <cellStyle name="Normal 8 2 2 6 3 2" xfId="14111" xr:uid="{3A8E38C7-4E90-4D67-BEA2-052AF10051E3}"/>
    <cellStyle name="Normal 8 2 2 6 4" xfId="9893" xr:uid="{5031349E-56AD-4A74-86CC-F42CD2E59B5A}"/>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7E0901D4-FFD6-4254-B978-596C80BC4237}"/>
    <cellStyle name="Normal 8 2 2 7 2 3" xfId="12451" xr:uid="{5A73777B-FBBA-4441-8661-3C0405BC2AA7}"/>
    <cellStyle name="Normal 8 2 2 7 3" xfId="6085" xr:uid="{00000000-0005-0000-0000-00008C1C0000}"/>
    <cellStyle name="Normal 8 2 2 7 3 2" xfId="14524" xr:uid="{DB263E7B-F847-4A04-9BDA-FF99204A3B29}"/>
    <cellStyle name="Normal 8 2 2 7 4" xfId="10306" xr:uid="{BE987F16-6C58-44C7-A6AF-7555AD63E3DD}"/>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1BC1AEA3-C839-4EC6-9B0D-60C06FFAA750}"/>
    <cellStyle name="Normal 8 2 2 8 2 3" xfId="12864" xr:uid="{603EF0AF-66A9-4DA9-865A-DC10F7C2EDDB}"/>
    <cellStyle name="Normal 8 2 2 8 3" xfId="6498" xr:uid="{00000000-0005-0000-0000-0000901C0000}"/>
    <cellStyle name="Normal 8 2 2 8 3 2" xfId="14937" xr:uid="{17074569-9CAA-4C77-B12B-13BEF2742964}"/>
    <cellStyle name="Normal 8 2 2 8 4" xfId="10719" xr:uid="{C2CF5D6D-7DA8-4BE9-BDCB-B4FDED2F1EBD}"/>
    <cellStyle name="Normal 8 2 2 9" xfId="2627" xr:uid="{00000000-0005-0000-0000-0000911C0000}"/>
    <cellStyle name="Normal 8 2 2 9 2" xfId="6911" xr:uid="{00000000-0005-0000-0000-0000921C0000}"/>
    <cellStyle name="Normal 8 2 2 9 2 2" xfId="15350" xr:uid="{2603014C-F151-4971-ABBC-DF312A1CDA70}"/>
    <cellStyle name="Normal 8 2 2 9 3" xfId="11132" xr:uid="{9192B848-403D-419F-BA29-875E8225C8B8}"/>
    <cellStyle name="Normal 8 2 3" xfId="488" xr:uid="{00000000-0005-0000-0000-0000931C0000}"/>
    <cellStyle name="Normal 8 2 3 10" xfId="9075" xr:uid="{4E341D92-7F0E-457C-A677-C1CE235DFFB4}"/>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EED4877D-2197-4978-BE73-7A34BA224B38}"/>
    <cellStyle name="Normal 8 2 3 2 2 2 2 3" xfId="11635" xr:uid="{24D170F4-2017-44FC-B622-3CF435EFCD21}"/>
    <cellStyle name="Normal 8 2 3 2 2 2 3" xfId="5269" xr:uid="{00000000-0005-0000-0000-0000991C0000}"/>
    <cellStyle name="Normal 8 2 3 2 2 2 3 2" xfId="13708" xr:uid="{60E721F9-6F4C-4B85-A26F-D8DE646245A5}"/>
    <cellStyle name="Normal 8 2 3 2 2 2 4" xfId="9490" xr:uid="{49FE4652-8247-428F-B48E-D5E3EA4C16CE}"/>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1A235603-3652-4710-9E67-98A217FF418A}"/>
    <cellStyle name="Normal 8 2 3 2 2 3 2 3" xfId="12048" xr:uid="{F58935F3-613A-494C-A2B3-2BB69B4B57F7}"/>
    <cellStyle name="Normal 8 2 3 2 2 3 3" xfId="5682" xr:uid="{00000000-0005-0000-0000-00009D1C0000}"/>
    <cellStyle name="Normal 8 2 3 2 2 3 3 2" xfId="14121" xr:uid="{A540A264-AC4F-4253-8820-50AD1D3C2400}"/>
    <cellStyle name="Normal 8 2 3 2 2 3 4" xfId="9903" xr:uid="{7B7C5FC9-EEF9-46B8-8B43-E6CB9BF3D42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34B44710-5F1E-4D26-8AF9-BFD6D1F8D8CE}"/>
    <cellStyle name="Normal 8 2 3 2 2 4 2 3" xfId="12461" xr:uid="{07CDCF71-7EC9-4DBD-AA77-FA8B161FA5FE}"/>
    <cellStyle name="Normal 8 2 3 2 2 4 3" xfId="6095" xr:uid="{00000000-0005-0000-0000-0000A11C0000}"/>
    <cellStyle name="Normal 8 2 3 2 2 4 3 2" xfId="14534" xr:uid="{B78835F3-6708-4A06-8086-9E47849E8961}"/>
    <cellStyle name="Normal 8 2 3 2 2 4 4" xfId="10316" xr:uid="{93CE3662-8107-4146-A449-AE9692AA314C}"/>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6F0651F6-598F-4A30-8348-5035CD88F809}"/>
    <cellStyle name="Normal 8 2 3 2 2 5 2 3" xfId="12874" xr:uid="{A577F54E-2512-4286-9727-567B7E7AF43D}"/>
    <cellStyle name="Normal 8 2 3 2 2 5 3" xfId="6508" xr:uid="{00000000-0005-0000-0000-0000A51C0000}"/>
    <cellStyle name="Normal 8 2 3 2 2 5 3 2" xfId="14947" xr:uid="{364836A0-1C53-4A02-B604-61FC80C06FB2}"/>
    <cellStyle name="Normal 8 2 3 2 2 5 4" xfId="10729" xr:uid="{FC343E74-59B7-4D43-B017-FACB245A91CA}"/>
    <cellStyle name="Normal 8 2 3 2 2 6" xfId="2637" xr:uid="{00000000-0005-0000-0000-0000A61C0000}"/>
    <cellStyle name="Normal 8 2 3 2 2 6 2" xfId="6921" xr:uid="{00000000-0005-0000-0000-0000A71C0000}"/>
    <cellStyle name="Normal 8 2 3 2 2 6 2 2" xfId="15360" xr:uid="{469555C4-1080-4C67-A429-FCA91C3C0A5D}"/>
    <cellStyle name="Normal 8 2 3 2 2 6 3" xfId="11142" xr:uid="{281FFE98-225C-462E-B45E-5A9C51698A1D}"/>
    <cellStyle name="Normal 8 2 3 2 2 7" xfId="4856" xr:uid="{00000000-0005-0000-0000-0000A81C0000}"/>
    <cellStyle name="Normal 8 2 3 2 2 7 2" xfId="13295" xr:uid="{B11B2736-92E1-41ED-B491-7F8248F4ACBE}"/>
    <cellStyle name="Normal 8 2 3 2 2 8" xfId="9077" xr:uid="{96485836-EF2B-49B2-835D-F9695D506C7C}"/>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CCAB8A95-2864-47C8-9844-D27DE8256947}"/>
    <cellStyle name="Normal 8 2 3 2 3 2 3" xfId="11634" xr:uid="{E1B76426-CB3A-47B5-B49E-624D48AE089B}"/>
    <cellStyle name="Normal 8 2 3 2 3 3" xfId="5268" xr:uid="{00000000-0005-0000-0000-0000AC1C0000}"/>
    <cellStyle name="Normal 8 2 3 2 3 3 2" xfId="13707" xr:uid="{211D9F2D-9893-4C66-9908-FB2A701770D0}"/>
    <cellStyle name="Normal 8 2 3 2 3 4" xfId="9489" xr:uid="{3CFF58FE-A7EA-46CA-807F-63E699B92580}"/>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BC546509-D423-4578-8075-CFD70D7B86BB}"/>
    <cellStyle name="Normal 8 2 3 2 4 2 3" xfId="12047" xr:uid="{37FCB579-1DEC-4979-988F-6F8E4F8A9F3C}"/>
    <cellStyle name="Normal 8 2 3 2 4 3" xfId="5681" xr:uid="{00000000-0005-0000-0000-0000B01C0000}"/>
    <cellStyle name="Normal 8 2 3 2 4 3 2" xfId="14120" xr:uid="{7A75AB07-F0DF-4638-A52C-197220C0A108}"/>
    <cellStyle name="Normal 8 2 3 2 4 4" xfId="9902" xr:uid="{C41D05BA-14E9-40A9-B6F1-90B6FCF32FB9}"/>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08D1FCF8-3A33-4CE6-AF64-D63BC6AC920B}"/>
    <cellStyle name="Normal 8 2 3 2 5 2 3" xfId="12460" xr:uid="{DC760668-8ABB-4B66-9CF3-59EA80AE3176}"/>
    <cellStyle name="Normal 8 2 3 2 5 3" xfId="6094" xr:uid="{00000000-0005-0000-0000-0000B41C0000}"/>
    <cellStyle name="Normal 8 2 3 2 5 3 2" xfId="14533" xr:uid="{B26BF9C7-602A-449C-BFB5-0923A68CB425}"/>
    <cellStyle name="Normal 8 2 3 2 5 4" xfId="10315" xr:uid="{D95FE24C-CCF9-478A-B6A3-D047BD0C75E9}"/>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0F8CE326-9429-4E79-B3A6-C79D10B19569}"/>
    <cellStyle name="Normal 8 2 3 2 6 2 3" xfId="12873" xr:uid="{A862537C-1339-4AF3-95C0-2ABCF66C37BA}"/>
    <cellStyle name="Normal 8 2 3 2 6 3" xfId="6507" xr:uid="{00000000-0005-0000-0000-0000B81C0000}"/>
    <cellStyle name="Normal 8 2 3 2 6 3 2" xfId="14946" xr:uid="{DA15183A-00A8-4722-A528-173F1FDAD54D}"/>
    <cellStyle name="Normal 8 2 3 2 6 4" xfId="10728" xr:uid="{25BE0502-9376-46E6-B860-4863A79BC1C8}"/>
    <cellStyle name="Normal 8 2 3 2 7" xfId="2636" xr:uid="{00000000-0005-0000-0000-0000B91C0000}"/>
    <cellStyle name="Normal 8 2 3 2 7 2" xfId="6920" xr:uid="{00000000-0005-0000-0000-0000BA1C0000}"/>
    <cellStyle name="Normal 8 2 3 2 7 2 2" xfId="15359" xr:uid="{6515E789-14E8-4950-91A7-0B6C87612ED0}"/>
    <cellStyle name="Normal 8 2 3 2 7 3" xfId="11141" xr:uid="{2BD9FC18-DBF0-4FF1-B6A8-07CE4728693F}"/>
    <cellStyle name="Normal 8 2 3 2 8" xfId="4855" xr:uid="{00000000-0005-0000-0000-0000BB1C0000}"/>
    <cellStyle name="Normal 8 2 3 2 8 2" xfId="13294" xr:uid="{5201E0C9-1AE1-4601-BC85-7BD75ACA3726}"/>
    <cellStyle name="Normal 8 2 3 2 9" xfId="9076" xr:uid="{68A904CA-D74A-4C8D-94AC-5DF63590F102}"/>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2FC41258-961F-46C0-B4F0-5E297B75E1FA}"/>
    <cellStyle name="Normal 8 2 3 3 2 2 3" xfId="11636" xr:uid="{37BB8EB1-D0E6-4F7E-8B66-81681FB669B2}"/>
    <cellStyle name="Normal 8 2 3 3 2 3" xfId="5270" xr:uid="{00000000-0005-0000-0000-0000C01C0000}"/>
    <cellStyle name="Normal 8 2 3 3 2 3 2" xfId="13709" xr:uid="{F409DD0F-8673-4FFD-A744-62DF36D122B9}"/>
    <cellStyle name="Normal 8 2 3 3 2 4" xfId="9491" xr:uid="{F96CFFAF-0416-49A4-ADAE-2513E098AC0C}"/>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E85EEB5B-39E0-48A1-AB72-537204971B0D}"/>
    <cellStyle name="Normal 8 2 3 3 3 2 3" xfId="12049" xr:uid="{A11F4D6E-5806-48CA-8F46-00AA1DAB675D}"/>
    <cellStyle name="Normal 8 2 3 3 3 3" xfId="5683" xr:uid="{00000000-0005-0000-0000-0000C41C0000}"/>
    <cellStyle name="Normal 8 2 3 3 3 3 2" xfId="14122" xr:uid="{2D935915-0DC5-4C40-B25A-8E341AAA7A28}"/>
    <cellStyle name="Normal 8 2 3 3 3 4" xfId="9904" xr:uid="{47A0A336-59D2-491F-A6BD-FABEB57AD66D}"/>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AA03AE7A-CCF8-48A9-8396-BE40827068A5}"/>
    <cellStyle name="Normal 8 2 3 3 4 2 3" xfId="12462" xr:uid="{F70D4754-AE09-49FA-96B0-929036CB78F6}"/>
    <cellStyle name="Normal 8 2 3 3 4 3" xfId="6096" xr:uid="{00000000-0005-0000-0000-0000C81C0000}"/>
    <cellStyle name="Normal 8 2 3 3 4 3 2" xfId="14535" xr:uid="{92F9584F-24E4-46C6-8407-432C3B3D6BFF}"/>
    <cellStyle name="Normal 8 2 3 3 4 4" xfId="10317" xr:uid="{AA112CD5-A3C2-463E-B539-6BCE38A0E427}"/>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D4C7D37C-88EE-47DE-900F-F46A3D6E7959}"/>
    <cellStyle name="Normal 8 2 3 3 5 2 3" xfId="12875" xr:uid="{B9D8F684-A717-463D-8916-18E426A55036}"/>
    <cellStyle name="Normal 8 2 3 3 5 3" xfId="6509" xr:uid="{00000000-0005-0000-0000-0000CC1C0000}"/>
    <cellStyle name="Normal 8 2 3 3 5 3 2" xfId="14948" xr:uid="{C363F84C-9681-4643-BA8A-5DC5E6B37367}"/>
    <cellStyle name="Normal 8 2 3 3 5 4" xfId="10730" xr:uid="{FAB48E2E-FF79-4A9A-BA4A-DAEB561B78F1}"/>
    <cellStyle name="Normal 8 2 3 3 6" xfId="2638" xr:uid="{00000000-0005-0000-0000-0000CD1C0000}"/>
    <cellStyle name="Normal 8 2 3 3 6 2" xfId="6922" xr:uid="{00000000-0005-0000-0000-0000CE1C0000}"/>
    <cellStyle name="Normal 8 2 3 3 6 2 2" xfId="15361" xr:uid="{2C50C89B-0547-4C8B-8313-65CCA351B611}"/>
    <cellStyle name="Normal 8 2 3 3 6 3" xfId="11143" xr:uid="{04218838-999E-4AEC-8DBD-DC1BF14520E8}"/>
    <cellStyle name="Normal 8 2 3 3 7" xfId="4857" xr:uid="{00000000-0005-0000-0000-0000CF1C0000}"/>
    <cellStyle name="Normal 8 2 3 3 7 2" xfId="13296" xr:uid="{5D7CF01B-A9DF-48CB-B29C-00C9D46235EA}"/>
    <cellStyle name="Normal 8 2 3 3 8" xfId="9078" xr:uid="{99BE9500-AFDA-4333-AA0C-431D4EA623F8}"/>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497D6B7F-BB7A-4C65-9DAD-1AF8E87AD8C7}"/>
    <cellStyle name="Normal 8 2 3 4 2 3" xfId="11633" xr:uid="{4C5BA0C9-6EF8-4E49-B33A-5E8B16D54D05}"/>
    <cellStyle name="Normal 8 2 3 4 3" xfId="5267" xr:uid="{00000000-0005-0000-0000-0000D31C0000}"/>
    <cellStyle name="Normal 8 2 3 4 3 2" xfId="13706" xr:uid="{1A2D6030-9327-4CD5-A786-EB9FF49E4E34}"/>
    <cellStyle name="Normal 8 2 3 4 4" xfId="9488" xr:uid="{59A7231F-8578-4DB0-885B-256078DFC5E0}"/>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030F1DC6-1816-4F2E-A8FA-A199FF29CEF0}"/>
    <cellStyle name="Normal 8 2 3 5 2 3" xfId="12046" xr:uid="{6D1411F5-1BE0-45E3-8328-1185573478DE}"/>
    <cellStyle name="Normal 8 2 3 5 3" xfId="5680" xr:uid="{00000000-0005-0000-0000-0000D71C0000}"/>
    <cellStyle name="Normal 8 2 3 5 3 2" xfId="14119" xr:uid="{219FA560-B82A-4F71-A536-3EFFE5A0664E}"/>
    <cellStyle name="Normal 8 2 3 5 4" xfId="9901" xr:uid="{DD3295D5-E133-4F1F-AA5D-328039DE0BBA}"/>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575B2627-73DB-43D1-BEC2-B6D660DFC433}"/>
    <cellStyle name="Normal 8 2 3 6 2 3" xfId="12459" xr:uid="{F7AAF089-0C48-489C-9A0A-1820833592E2}"/>
    <cellStyle name="Normal 8 2 3 6 3" xfId="6093" xr:uid="{00000000-0005-0000-0000-0000DB1C0000}"/>
    <cellStyle name="Normal 8 2 3 6 3 2" xfId="14532" xr:uid="{0E4794C6-EE87-43B9-A8CA-C48E321BCEE1}"/>
    <cellStyle name="Normal 8 2 3 6 4" xfId="10314" xr:uid="{4B4F7082-71FC-47C3-B48E-795EC0EC8B45}"/>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AA1AE7DC-3034-4F04-9433-6CAD24D215C5}"/>
    <cellStyle name="Normal 8 2 3 7 2 3" xfId="12872" xr:uid="{B7756DF2-D503-483A-9930-12F50055B922}"/>
    <cellStyle name="Normal 8 2 3 7 3" xfId="6506" xr:uid="{00000000-0005-0000-0000-0000DF1C0000}"/>
    <cellStyle name="Normal 8 2 3 7 3 2" xfId="14945" xr:uid="{C79950AB-F56E-452B-AFAF-ECAC1BCC09F9}"/>
    <cellStyle name="Normal 8 2 3 7 4" xfId="10727" xr:uid="{A9ADEA73-1456-45FE-B5CC-73403E24D3A7}"/>
    <cellStyle name="Normal 8 2 3 8" xfId="2635" xr:uid="{00000000-0005-0000-0000-0000E01C0000}"/>
    <cellStyle name="Normal 8 2 3 8 2" xfId="6919" xr:uid="{00000000-0005-0000-0000-0000E11C0000}"/>
    <cellStyle name="Normal 8 2 3 8 2 2" xfId="15358" xr:uid="{59C5A409-E172-45AA-B262-0A4236129AF9}"/>
    <cellStyle name="Normal 8 2 3 8 3" xfId="11140" xr:uid="{ECD5078B-5984-4782-A290-79D5275BD56F}"/>
    <cellStyle name="Normal 8 2 3 9" xfId="4854" xr:uid="{00000000-0005-0000-0000-0000E21C0000}"/>
    <cellStyle name="Normal 8 2 3 9 2" xfId="13293" xr:uid="{6C288402-7836-43CB-ADC0-AD625A6AE184}"/>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F04A9C3F-B027-46EF-BF8D-483DFACA09E6}"/>
    <cellStyle name="Normal 8 2 4 2 2 2 3" xfId="11638" xr:uid="{195F0911-4335-4C54-80B4-7E14D0A4B585}"/>
    <cellStyle name="Normal 8 2 4 2 2 3" xfId="5272" xr:uid="{00000000-0005-0000-0000-0000E81C0000}"/>
    <cellStyle name="Normal 8 2 4 2 2 3 2" xfId="13711" xr:uid="{2B4B710C-5310-4DDD-90A9-15A721E35E6F}"/>
    <cellStyle name="Normal 8 2 4 2 2 4" xfId="9493" xr:uid="{A76D027A-2AC4-485C-98D5-5815D51F0CEC}"/>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E2763DED-C9C6-4EE9-8AC3-B8FD478D038D}"/>
    <cellStyle name="Normal 8 2 4 2 3 2 3" xfId="12051" xr:uid="{58C6EE8C-4997-4727-AC87-05AED2968F4F}"/>
    <cellStyle name="Normal 8 2 4 2 3 3" xfId="5685" xr:uid="{00000000-0005-0000-0000-0000EC1C0000}"/>
    <cellStyle name="Normal 8 2 4 2 3 3 2" xfId="14124" xr:uid="{954F0636-28D1-455B-827D-82623C018642}"/>
    <cellStyle name="Normal 8 2 4 2 3 4" xfId="9906" xr:uid="{49FB3C87-9906-465D-A10E-2590C43F507D}"/>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8BDFFB0F-6B1A-4AEB-BA57-7543F40494C7}"/>
    <cellStyle name="Normal 8 2 4 2 4 2 3" xfId="12464" xr:uid="{3F1567A3-A1AB-4CD5-97D0-4A25742B9B6F}"/>
    <cellStyle name="Normal 8 2 4 2 4 3" xfId="6098" xr:uid="{00000000-0005-0000-0000-0000F01C0000}"/>
    <cellStyle name="Normal 8 2 4 2 4 3 2" xfId="14537" xr:uid="{85340044-459B-429A-8722-FCEB5294C15E}"/>
    <cellStyle name="Normal 8 2 4 2 4 4" xfId="10319" xr:uid="{FD256D99-0404-4FAB-8CA0-4E4909B85D7E}"/>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ED67799D-041C-4CA5-B922-11458175AAF8}"/>
    <cellStyle name="Normal 8 2 4 2 5 2 3" xfId="12877" xr:uid="{0D796839-6BD2-4222-90BF-967AA80161BC}"/>
    <cellStyle name="Normal 8 2 4 2 5 3" xfId="6511" xr:uid="{00000000-0005-0000-0000-0000F41C0000}"/>
    <cellStyle name="Normal 8 2 4 2 5 3 2" xfId="14950" xr:uid="{3FFFD8A9-5425-45C2-88E7-30BB9DAB64F8}"/>
    <cellStyle name="Normal 8 2 4 2 5 4" xfId="10732" xr:uid="{32CFA3B8-D573-4AE3-AB12-B7D62861511E}"/>
    <cellStyle name="Normal 8 2 4 2 6" xfId="2640" xr:uid="{00000000-0005-0000-0000-0000F51C0000}"/>
    <cellStyle name="Normal 8 2 4 2 6 2" xfId="6924" xr:uid="{00000000-0005-0000-0000-0000F61C0000}"/>
    <cellStyle name="Normal 8 2 4 2 6 2 2" xfId="15363" xr:uid="{E5408697-CAD3-4E60-87D0-F0108961ADBB}"/>
    <cellStyle name="Normal 8 2 4 2 6 3" xfId="11145" xr:uid="{73A8F6A7-CE3F-4E16-9A32-0933F613CAFB}"/>
    <cellStyle name="Normal 8 2 4 2 7" xfId="4859" xr:uid="{00000000-0005-0000-0000-0000F71C0000}"/>
    <cellStyle name="Normal 8 2 4 2 7 2" xfId="13298" xr:uid="{8FB60CAD-E15F-4601-A6CC-971231F64A31}"/>
    <cellStyle name="Normal 8 2 4 2 8" xfId="9080" xr:uid="{5A93C167-103D-467E-8B08-75AA02EC4D42}"/>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87873FCF-5462-40B2-913E-3DA55E898E6E}"/>
    <cellStyle name="Normal 8 2 4 3 2 3" xfId="11637" xr:uid="{9B81C73C-E4BA-48CC-BF53-93F4FE2EB3F6}"/>
    <cellStyle name="Normal 8 2 4 3 3" xfId="5271" xr:uid="{00000000-0005-0000-0000-0000FB1C0000}"/>
    <cellStyle name="Normal 8 2 4 3 3 2" xfId="13710" xr:uid="{9AE356D3-2533-4545-9330-A89FAC25EB14}"/>
    <cellStyle name="Normal 8 2 4 3 4" xfId="9492" xr:uid="{78EC027E-9C48-4F8F-8AE4-5B10D3992D3D}"/>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0B902185-03AF-463F-B522-0356424E418E}"/>
    <cellStyle name="Normal 8 2 4 4 2 3" xfId="12050" xr:uid="{BBB0ECD1-686F-4EB6-B6C1-9B8BAC0C9553}"/>
    <cellStyle name="Normal 8 2 4 4 3" xfId="5684" xr:uid="{00000000-0005-0000-0000-0000FF1C0000}"/>
    <cellStyle name="Normal 8 2 4 4 3 2" xfId="14123" xr:uid="{76765BB5-5CF4-4391-86FA-92B21D70BD6E}"/>
    <cellStyle name="Normal 8 2 4 4 4" xfId="9905" xr:uid="{AFA3196A-0160-4C3F-8A50-DBFB136C3FFC}"/>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915406AF-D4A6-4710-855A-6B12A7B91EEE}"/>
    <cellStyle name="Normal 8 2 4 5 2 3" xfId="12463" xr:uid="{CB52340E-C179-43D8-9C38-9B17B832DB21}"/>
    <cellStyle name="Normal 8 2 4 5 3" xfId="6097" xr:uid="{00000000-0005-0000-0000-0000031D0000}"/>
    <cellStyle name="Normal 8 2 4 5 3 2" xfId="14536" xr:uid="{88041361-19FC-47B7-8767-CCF08BBCB830}"/>
    <cellStyle name="Normal 8 2 4 5 4" xfId="10318" xr:uid="{01CDCFA6-C507-4497-AC87-E6F9CCD01836}"/>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ADD91136-B5BD-47E2-9871-AEBCE00787D1}"/>
    <cellStyle name="Normal 8 2 4 6 2 3" xfId="12876" xr:uid="{1B108F1C-E998-45D0-813C-89B752DA10C0}"/>
    <cellStyle name="Normal 8 2 4 6 3" xfId="6510" xr:uid="{00000000-0005-0000-0000-0000071D0000}"/>
    <cellStyle name="Normal 8 2 4 6 3 2" xfId="14949" xr:uid="{41DE9753-C01C-4591-B1AB-4F6A01115D1C}"/>
    <cellStyle name="Normal 8 2 4 6 4" xfId="10731" xr:uid="{9C5F2F02-15F8-4607-93B5-1892AE63F250}"/>
    <cellStyle name="Normal 8 2 4 7" xfId="2639" xr:uid="{00000000-0005-0000-0000-0000081D0000}"/>
    <cellStyle name="Normal 8 2 4 7 2" xfId="6923" xr:uid="{00000000-0005-0000-0000-0000091D0000}"/>
    <cellStyle name="Normal 8 2 4 7 2 2" xfId="15362" xr:uid="{F8FB97B8-ED92-422D-81DC-1976F9768C22}"/>
    <cellStyle name="Normal 8 2 4 7 3" xfId="11144" xr:uid="{FA556344-78A4-4A28-9796-8E9AC03EB10A}"/>
    <cellStyle name="Normal 8 2 4 8" xfId="4858" xr:uid="{00000000-0005-0000-0000-00000A1D0000}"/>
    <cellStyle name="Normal 8 2 4 8 2" xfId="13297" xr:uid="{D1D3D47B-FE57-497A-93B6-A67B445A2CB7}"/>
    <cellStyle name="Normal 8 2 4 9" xfId="9079" xr:uid="{2F348D7B-D728-47BF-AA78-E165F2EC1F5B}"/>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096FCE2F-541E-47EB-87F6-729F1DE2423B}"/>
    <cellStyle name="Normal 8 2 5 2 2 3" xfId="11639" xr:uid="{95247CBB-06C0-4F7B-99A3-FCB283E36199}"/>
    <cellStyle name="Normal 8 2 5 2 3" xfId="5273" xr:uid="{00000000-0005-0000-0000-00000F1D0000}"/>
    <cellStyle name="Normal 8 2 5 2 3 2" xfId="13712" xr:uid="{7539B2E8-BE14-4332-9394-AAF4E7DD4BA5}"/>
    <cellStyle name="Normal 8 2 5 2 4" xfId="9494" xr:uid="{4BAF6ECA-2D90-4AE4-8E3C-4B0651908FE2}"/>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994AE809-1697-44A7-8221-43E4B3635A88}"/>
    <cellStyle name="Normal 8 2 5 3 2 3" xfId="12052" xr:uid="{18A8B5B0-4A3B-4EAC-9C96-6509975D8062}"/>
    <cellStyle name="Normal 8 2 5 3 3" xfId="5686" xr:uid="{00000000-0005-0000-0000-0000131D0000}"/>
    <cellStyle name="Normal 8 2 5 3 3 2" xfId="14125" xr:uid="{87BAED9C-185A-45A3-908D-A5F757839D93}"/>
    <cellStyle name="Normal 8 2 5 3 4" xfId="9907" xr:uid="{2CC0D448-2761-4D21-9EFF-37F061B0560A}"/>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7F2A7755-62A1-4F86-95D0-B515A63B394C}"/>
    <cellStyle name="Normal 8 2 5 4 2 3" xfId="12465" xr:uid="{D417A035-4C24-45C0-A65C-D4D889E05CC4}"/>
    <cellStyle name="Normal 8 2 5 4 3" xfId="6099" xr:uid="{00000000-0005-0000-0000-0000171D0000}"/>
    <cellStyle name="Normal 8 2 5 4 3 2" xfId="14538" xr:uid="{3E574A93-4BDC-4F36-B505-4F912466055D}"/>
    <cellStyle name="Normal 8 2 5 4 4" xfId="10320" xr:uid="{A3C220AC-E3B9-46E8-8061-3E356F42613D}"/>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6FDAADBA-BEC1-4118-BD3B-1CCF5DC18321}"/>
    <cellStyle name="Normal 8 2 5 5 2 3" xfId="12878" xr:uid="{ACD522C3-532E-41F4-9E8C-1CA46B753A1F}"/>
    <cellStyle name="Normal 8 2 5 5 3" xfId="6512" xr:uid="{00000000-0005-0000-0000-00001B1D0000}"/>
    <cellStyle name="Normal 8 2 5 5 3 2" xfId="14951" xr:uid="{85C8687A-8051-4BDE-9900-E887A45EEF4A}"/>
    <cellStyle name="Normal 8 2 5 5 4" xfId="10733" xr:uid="{8D44D910-1984-4CEA-AC51-95C0A859A70D}"/>
    <cellStyle name="Normal 8 2 5 6" xfId="2641" xr:uid="{00000000-0005-0000-0000-00001C1D0000}"/>
    <cellStyle name="Normal 8 2 5 6 2" xfId="6925" xr:uid="{00000000-0005-0000-0000-00001D1D0000}"/>
    <cellStyle name="Normal 8 2 5 6 2 2" xfId="15364" xr:uid="{D0BE3CB8-F1D2-4AD2-A806-99F24BFA68DD}"/>
    <cellStyle name="Normal 8 2 5 6 3" xfId="11146" xr:uid="{D79706C9-3676-4128-9B3A-E790556C9D7F}"/>
    <cellStyle name="Normal 8 2 5 7" xfId="4860" xr:uid="{00000000-0005-0000-0000-00001E1D0000}"/>
    <cellStyle name="Normal 8 2 5 7 2" xfId="13299" xr:uid="{494A9DAA-851E-42C9-927A-DE97CFBB891E}"/>
    <cellStyle name="Normal 8 2 5 8" xfId="9081" xr:uid="{A1C3E525-C5F7-4DF1-B774-2FE4F13A7DF4}"/>
    <cellStyle name="Normal 8 2 6" xfId="946" xr:uid="{00000000-0005-0000-0000-00001F1D0000}"/>
    <cellStyle name="Normal 8 2 6 2" xfId="3180" xr:uid="{00000000-0005-0000-0000-0000201D0000}"/>
    <cellStyle name="Normal 8 2 6 2 2" xfId="7403" xr:uid="{00000000-0005-0000-0000-0000211D0000}"/>
    <cellStyle name="Normal 8 2 6 2 2 2" xfId="15842" xr:uid="{482CCC22-4C42-4F7D-AAF1-D0DBF49EF6D5}"/>
    <cellStyle name="Normal 8 2 6 2 3" xfId="11624" xr:uid="{FBA3DF01-5E89-4A96-87D9-24F948082B8B}"/>
    <cellStyle name="Normal 8 2 6 3" xfId="5258" xr:uid="{00000000-0005-0000-0000-0000221D0000}"/>
    <cellStyle name="Normal 8 2 6 3 2" xfId="13697" xr:uid="{AF4125C8-2D8B-48B5-94B2-DD44D8CDD3D5}"/>
    <cellStyle name="Normal 8 2 6 4" xfId="9479" xr:uid="{97413064-1FFE-48C7-BD98-3615025969B1}"/>
    <cellStyle name="Normal 8 2 7" xfId="1363" xr:uid="{00000000-0005-0000-0000-0000231D0000}"/>
    <cellStyle name="Normal 8 2 7 2" xfId="3593" xr:uid="{00000000-0005-0000-0000-0000241D0000}"/>
    <cellStyle name="Normal 8 2 7 2 2" xfId="7816" xr:uid="{00000000-0005-0000-0000-0000251D0000}"/>
    <cellStyle name="Normal 8 2 7 2 2 2" xfId="16255" xr:uid="{1F153CC1-5AEA-4515-BF3B-9FB8565B93F0}"/>
    <cellStyle name="Normal 8 2 7 2 3" xfId="12037" xr:uid="{D9D8B1AE-DEC2-436A-8DD4-14F095FF1A45}"/>
    <cellStyle name="Normal 8 2 7 3" xfId="5671" xr:uid="{00000000-0005-0000-0000-0000261D0000}"/>
    <cellStyle name="Normal 8 2 7 3 2" xfId="14110" xr:uid="{94018EB5-91DA-429A-9DFD-E7C1BDCA1127}"/>
    <cellStyle name="Normal 8 2 7 4" xfId="9892" xr:uid="{5A2175DB-8639-494B-909B-CAC32DE310E7}"/>
    <cellStyle name="Normal 8 2 8" xfId="1776" xr:uid="{00000000-0005-0000-0000-0000271D0000}"/>
    <cellStyle name="Normal 8 2 8 2" xfId="4006" xr:uid="{00000000-0005-0000-0000-0000281D0000}"/>
    <cellStyle name="Normal 8 2 8 2 2" xfId="8229" xr:uid="{00000000-0005-0000-0000-0000291D0000}"/>
    <cellStyle name="Normal 8 2 8 2 2 2" xfId="16668" xr:uid="{B98B56D0-8E55-4A0D-9FF3-7A406308D70A}"/>
    <cellStyle name="Normal 8 2 8 2 3" xfId="12450" xr:uid="{3A2EA9FC-94B2-43D8-91EB-251707EBFDF4}"/>
    <cellStyle name="Normal 8 2 8 3" xfId="6084" xr:uid="{00000000-0005-0000-0000-00002A1D0000}"/>
    <cellStyle name="Normal 8 2 8 3 2" xfId="14523" xr:uid="{CB95E1A4-2ABC-4CE9-9791-E139F95183BB}"/>
    <cellStyle name="Normal 8 2 8 4" xfId="10305" xr:uid="{B46444F5-C957-4D46-BD3C-F6842D462287}"/>
    <cellStyle name="Normal 8 2 9" xfId="2190" xr:uid="{00000000-0005-0000-0000-00002B1D0000}"/>
    <cellStyle name="Normal 8 2 9 2" xfId="4419" xr:uid="{00000000-0005-0000-0000-00002C1D0000}"/>
    <cellStyle name="Normal 8 2 9 2 2" xfId="8642" xr:uid="{00000000-0005-0000-0000-00002D1D0000}"/>
    <cellStyle name="Normal 8 2 9 2 2 2" xfId="17081" xr:uid="{6A928695-C470-45AE-B5B1-A09C50283F59}"/>
    <cellStyle name="Normal 8 2 9 2 3" xfId="12863" xr:uid="{62C7305F-EF5D-4FE1-8980-BAF64FF67F60}"/>
    <cellStyle name="Normal 8 2 9 3" xfId="6497" xr:uid="{00000000-0005-0000-0000-00002E1D0000}"/>
    <cellStyle name="Normal 8 2 9 3 2" xfId="14936" xr:uid="{01C66545-FCA4-4C76-821A-F1BDE52C6775}"/>
    <cellStyle name="Normal 8 2 9 4" xfId="10718" xr:uid="{F401FB1C-8F7D-40BD-B21A-1F112FA55503}"/>
    <cellStyle name="Normal 8 3" xfId="495" xr:uid="{00000000-0005-0000-0000-00002F1D0000}"/>
    <cellStyle name="Normal 8 3 10" xfId="4861" xr:uid="{00000000-0005-0000-0000-0000301D0000}"/>
    <cellStyle name="Normal 8 3 10 2" xfId="13300" xr:uid="{8344F254-F6AE-48AE-8810-ABBD90BB097D}"/>
    <cellStyle name="Normal 8 3 11" xfId="9082" xr:uid="{20541D88-5CF9-4BB4-9791-4B5C02A7FBD8}"/>
    <cellStyle name="Normal 8 3 2" xfId="496" xr:uid="{00000000-0005-0000-0000-0000311D0000}"/>
    <cellStyle name="Normal 8 3 2 10" xfId="9083" xr:uid="{8A48BD27-FA39-4F1C-8006-3CB3ADB1E8A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C05E2721-5FAE-4DDC-A5B0-117F8C7C54B0}"/>
    <cellStyle name="Normal 8 3 2 2 2 2 2 3" xfId="11643" xr:uid="{B1EC18C5-1616-4594-A17A-24B231394517}"/>
    <cellStyle name="Normal 8 3 2 2 2 2 3" xfId="5277" xr:uid="{00000000-0005-0000-0000-0000371D0000}"/>
    <cellStyle name="Normal 8 3 2 2 2 2 3 2" xfId="13716" xr:uid="{9B161386-4881-4DF6-AC71-F94A36D883D4}"/>
    <cellStyle name="Normal 8 3 2 2 2 2 4" xfId="9498" xr:uid="{F87A31C9-D38E-4386-BBAC-8F0C1D5530C8}"/>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1529289A-4A90-4524-8840-D1F1EEAD0C6D}"/>
    <cellStyle name="Normal 8 3 2 2 2 3 2 3" xfId="12056" xr:uid="{C81EC74C-03AA-47CE-BBE1-B4D7C2F49769}"/>
    <cellStyle name="Normal 8 3 2 2 2 3 3" xfId="5690" xr:uid="{00000000-0005-0000-0000-00003B1D0000}"/>
    <cellStyle name="Normal 8 3 2 2 2 3 3 2" xfId="14129" xr:uid="{CE6DEFF2-35DD-43EA-8041-09C39583E100}"/>
    <cellStyle name="Normal 8 3 2 2 2 3 4" xfId="9911" xr:uid="{F88E1059-DA00-47F9-A987-FE25E81F2025}"/>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A95097B4-6F4A-4673-A2A9-011DE7CE049F}"/>
    <cellStyle name="Normal 8 3 2 2 2 4 2 3" xfId="12469" xr:uid="{3949D034-D4F4-4324-A359-C40AB9F045D5}"/>
    <cellStyle name="Normal 8 3 2 2 2 4 3" xfId="6103" xr:uid="{00000000-0005-0000-0000-00003F1D0000}"/>
    <cellStyle name="Normal 8 3 2 2 2 4 3 2" xfId="14542" xr:uid="{611BDEB3-F506-4EBB-9D8F-4950882CF09A}"/>
    <cellStyle name="Normal 8 3 2 2 2 4 4" xfId="10324" xr:uid="{1F00FC1C-6548-4421-84B9-290BA7CD8FEB}"/>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AAAB1570-8E60-4986-8E11-31E4FE9A86DE}"/>
    <cellStyle name="Normal 8 3 2 2 2 5 2 3" xfId="12882" xr:uid="{7E8FB91A-A155-4862-913F-20294C8D4E6A}"/>
    <cellStyle name="Normal 8 3 2 2 2 5 3" xfId="6516" xr:uid="{00000000-0005-0000-0000-0000431D0000}"/>
    <cellStyle name="Normal 8 3 2 2 2 5 3 2" xfId="14955" xr:uid="{17FE8336-16CD-4336-8818-4A75C24E5281}"/>
    <cellStyle name="Normal 8 3 2 2 2 5 4" xfId="10737" xr:uid="{CDD600D5-DEFE-49F2-82BD-25E0CA958352}"/>
    <cellStyle name="Normal 8 3 2 2 2 6" xfId="2645" xr:uid="{00000000-0005-0000-0000-0000441D0000}"/>
    <cellStyle name="Normal 8 3 2 2 2 6 2" xfId="6929" xr:uid="{00000000-0005-0000-0000-0000451D0000}"/>
    <cellStyle name="Normal 8 3 2 2 2 6 2 2" xfId="15368" xr:uid="{8E5E18AE-6DBA-4372-87AA-20EBBD39B48F}"/>
    <cellStyle name="Normal 8 3 2 2 2 6 3" xfId="11150" xr:uid="{A3E9C14A-C77A-4E1F-83D4-FDA722D08C8B}"/>
    <cellStyle name="Normal 8 3 2 2 2 7" xfId="4864" xr:uid="{00000000-0005-0000-0000-0000461D0000}"/>
    <cellStyle name="Normal 8 3 2 2 2 7 2" xfId="13303" xr:uid="{6C410F8E-CB92-4D25-AAE3-865F6860E7AA}"/>
    <cellStyle name="Normal 8 3 2 2 2 8" xfId="9085" xr:uid="{13D038E2-1ABB-408D-944C-38FF5A388C70}"/>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0102CB99-15AA-4F08-8DAC-C51B9062F32F}"/>
    <cellStyle name="Normal 8 3 2 2 3 2 3" xfId="11642" xr:uid="{52D41FA1-17F4-4826-8B25-5726E99966EC}"/>
    <cellStyle name="Normal 8 3 2 2 3 3" xfId="5276" xr:uid="{00000000-0005-0000-0000-00004A1D0000}"/>
    <cellStyle name="Normal 8 3 2 2 3 3 2" xfId="13715" xr:uid="{E0B36B85-9E1B-41AB-A9FB-8D90A6F4C2C8}"/>
    <cellStyle name="Normal 8 3 2 2 3 4" xfId="9497" xr:uid="{D2EFAB68-B82C-4003-BD97-9358CA384955}"/>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687B09C9-7684-4164-94BB-91A74F454429}"/>
    <cellStyle name="Normal 8 3 2 2 4 2 3" xfId="12055" xr:uid="{C4C289AA-3E9B-4018-B6A3-5B76E4D9C229}"/>
    <cellStyle name="Normal 8 3 2 2 4 3" xfId="5689" xr:uid="{00000000-0005-0000-0000-00004E1D0000}"/>
    <cellStyle name="Normal 8 3 2 2 4 3 2" xfId="14128" xr:uid="{4D7DEC40-120E-438B-A6DE-8B0E5A426C16}"/>
    <cellStyle name="Normal 8 3 2 2 4 4" xfId="9910" xr:uid="{6C69A3AD-DBD3-4205-8274-7CFAA2CC93D8}"/>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0DD87F74-6519-45D6-B1CD-5B8AD0DD6BFE}"/>
    <cellStyle name="Normal 8 3 2 2 5 2 3" xfId="12468" xr:uid="{D12D0E49-54D8-4860-940F-5E7DE1B5BFB7}"/>
    <cellStyle name="Normal 8 3 2 2 5 3" xfId="6102" xr:uid="{00000000-0005-0000-0000-0000521D0000}"/>
    <cellStyle name="Normal 8 3 2 2 5 3 2" xfId="14541" xr:uid="{B8C38CDE-DD76-42C4-932C-E5F0758DDEE6}"/>
    <cellStyle name="Normal 8 3 2 2 5 4" xfId="10323" xr:uid="{29F6F933-265D-49C5-831A-9C0D1FB735D6}"/>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9B121398-8248-4098-83FC-E5DC2D177262}"/>
    <cellStyle name="Normal 8 3 2 2 6 2 3" xfId="12881" xr:uid="{5753BA57-7955-46A6-A562-F754E41DA500}"/>
    <cellStyle name="Normal 8 3 2 2 6 3" xfId="6515" xr:uid="{00000000-0005-0000-0000-0000561D0000}"/>
    <cellStyle name="Normal 8 3 2 2 6 3 2" xfId="14954" xr:uid="{CD30E335-DA6C-430D-88D3-5737A173F4F0}"/>
    <cellStyle name="Normal 8 3 2 2 6 4" xfId="10736" xr:uid="{E441B25C-8E19-4DAD-BFFA-E55C949D1157}"/>
    <cellStyle name="Normal 8 3 2 2 7" xfId="2644" xr:uid="{00000000-0005-0000-0000-0000571D0000}"/>
    <cellStyle name="Normal 8 3 2 2 7 2" xfId="6928" xr:uid="{00000000-0005-0000-0000-0000581D0000}"/>
    <cellStyle name="Normal 8 3 2 2 7 2 2" xfId="15367" xr:uid="{300F6741-454B-4E9B-9244-AA72895186FA}"/>
    <cellStyle name="Normal 8 3 2 2 7 3" xfId="11149" xr:uid="{BA8BCC7D-BDDF-4718-860A-2AE346A74796}"/>
    <cellStyle name="Normal 8 3 2 2 8" xfId="4863" xr:uid="{00000000-0005-0000-0000-0000591D0000}"/>
    <cellStyle name="Normal 8 3 2 2 8 2" xfId="13302" xr:uid="{3CD2403E-40EF-4A5A-A36C-2ECFE9F2375E}"/>
    <cellStyle name="Normal 8 3 2 2 9" xfId="9084" xr:uid="{2C21BAE6-23B3-4D41-B130-E64BABED6E19}"/>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5A3DE95E-C568-488C-9C0B-15CA256F756E}"/>
    <cellStyle name="Normal 8 3 2 3 2 2 3" xfId="11644" xr:uid="{48C851BB-7794-4631-81F2-A70D395CE63A}"/>
    <cellStyle name="Normal 8 3 2 3 2 3" xfId="5278" xr:uid="{00000000-0005-0000-0000-00005E1D0000}"/>
    <cellStyle name="Normal 8 3 2 3 2 3 2" xfId="13717" xr:uid="{17947E97-0126-4957-8F3C-3483B26B056E}"/>
    <cellStyle name="Normal 8 3 2 3 2 4" xfId="9499" xr:uid="{521A2491-6D42-4668-B2DC-B60FCA21A618}"/>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8F6597DA-1C9E-4F86-8469-9E5C8415F5F5}"/>
    <cellStyle name="Normal 8 3 2 3 3 2 3" xfId="12057" xr:uid="{D2E479F9-E29C-4AEC-AD94-D6FF55030874}"/>
    <cellStyle name="Normal 8 3 2 3 3 3" xfId="5691" xr:uid="{00000000-0005-0000-0000-0000621D0000}"/>
    <cellStyle name="Normal 8 3 2 3 3 3 2" xfId="14130" xr:uid="{AC5AE19E-7CA0-4AA5-9DA3-51E9A0E4BBEE}"/>
    <cellStyle name="Normal 8 3 2 3 3 4" xfId="9912" xr:uid="{C732E438-19B7-4E7B-B508-F1A5C7D0A741}"/>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7A1592BC-7788-4CB0-9A2F-3DDC879AD833}"/>
    <cellStyle name="Normal 8 3 2 3 4 2 3" xfId="12470" xr:uid="{03CD6DD5-5D1C-4D7B-9370-37D0ED1FF78F}"/>
    <cellStyle name="Normal 8 3 2 3 4 3" xfId="6104" xr:uid="{00000000-0005-0000-0000-0000661D0000}"/>
    <cellStyle name="Normal 8 3 2 3 4 3 2" xfId="14543" xr:uid="{C044C29F-1C56-4143-8D27-B6B571DF0685}"/>
    <cellStyle name="Normal 8 3 2 3 4 4" xfId="10325" xr:uid="{4CF15613-75CA-485A-84C0-0004DF2824D0}"/>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802F50F2-B575-427F-A3FB-2B3DC72A6963}"/>
    <cellStyle name="Normal 8 3 2 3 5 2 3" xfId="12883" xr:uid="{C21026E5-C3A0-4472-ACA6-E87855E52963}"/>
    <cellStyle name="Normal 8 3 2 3 5 3" xfId="6517" xr:uid="{00000000-0005-0000-0000-00006A1D0000}"/>
    <cellStyle name="Normal 8 3 2 3 5 3 2" xfId="14956" xr:uid="{4164A6EC-325E-4D90-9B36-31CF2EC2C28A}"/>
    <cellStyle name="Normal 8 3 2 3 5 4" xfId="10738" xr:uid="{618756EC-11C5-4A4F-81B7-B6AFC30E31D3}"/>
    <cellStyle name="Normal 8 3 2 3 6" xfId="2646" xr:uid="{00000000-0005-0000-0000-00006B1D0000}"/>
    <cellStyle name="Normal 8 3 2 3 6 2" xfId="6930" xr:uid="{00000000-0005-0000-0000-00006C1D0000}"/>
    <cellStyle name="Normal 8 3 2 3 6 2 2" xfId="15369" xr:uid="{F35DB747-E174-4E59-AACE-CAB00EECB904}"/>
    <cellStyle name="Normal 8 3 2 3 6 3" xfId="11151" xr:uid="{90FE14FC-C7E2-4165-957E-019112CFE064}"/>
    <cellStyle name="Normal 8 3 2 3 7" xfId="4865" xr:uid="{00000000-0005-0000-0000-00006D1D0000}"/>
    <cellStyle name="Normal 8 3 2 3 7 2" xfId="13304" xr:uid="{8F14DB58-BCF9-4019-B5B7-A2D629CFC783}"/>
    <cellStyle name="Normal 8 3 2 3 8" xfId="9086" xr:uid="{1B7340DA-2B2F-4F87-A651-A78DC8C4F48E}"/>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B618A692-C9A6-4A6A-AC60-C14E04238CD9}"/>
    <cellStyle name="Normal 8 3 2 4 2 3" xfId="11641" xr:uid="{F15ABF78-41F3-45B2-A4C3-B3EA497D3BEC}"/>
    <cellStyle name="Normal 8 3 2 4 3" xfId="5275" xr:uid="{00000000-0005-0000-0000-0000711D0000}"/>
    <cellStyle name="Normal 8 3 2 4 3 2" xfId="13714" xr:uid="{1CA60308-B810-4AC5-AACA-9C8095DF5428}"/>
    <cellStyle name="Normal 8 3 2 4 4" xfId="9496" xr:uid="{37C2BCEE-A0B8-48B0-A850-2E4E02836D18}"/>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19141DE2-69DC-4C61-AC69-2F573FB3FFB1}"/>
    <cellStyle name="Normal 8 3 2 5 2 3" xfId="12054" xr:uid="{3B521208-5E84-4076-84B1-12FD7B0F0ED3}"/>
    <cellStyle name="Normal 8 3 2 5 3" xfId="5688" xr:uid="{00000000-0005-0000-0000-0000751D0000}"/>
    <cellStyle name="Normal 8 3 2 5 3 2" xfId="14127" xr:uid="{A7B23249-1822-4885-85C3-F4060F913D8F}"/>
    <cellStyle name="Normal 8 3 2 5 4" xfId="9909" xr:uid="{6D705618-642E-44CE-BD95-D4E844D0175C}"/>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87CE94AD-8983-4670-A453-991ED58EB7B0}"/>
    <cellStyle name="Normal 8 3 2 6 2 3" xfId="12467" xr:uid="{86807F32-04B5-4378-9B53-96F05BBE4040}"/>
    <cellStyle name="Normal 8 3 2 6 3" xfId="6101" xr:uid="{00000000-0005-0000-0000-0000791D0000}"/>
    <cellStyle name="Normal 8 3 2 6 3 2" xfId="14540" xr:uid="{8495C4EB-F7B4-4BBB-8715-39ED4FADC9D1}"/>
    <cellStyle name="Normal 8 3 2 6 4" xfId="10322" xr:uid="{2A81099C-2889-4968-88AF-FFAC75EF855D}"/>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5755F400-1DED-4778-9C77-2D585B3A74E3}"/>
    <cellStyle name="Normal 8 3 2 7 2 3" xfId="12880" xr:uid="{149FA738-94C7-433E-9ADA-E6D61144707D}"/>
    <cellStyle name="Normal 8 3 2 7 3" xfId="6514" xr:uid="{00000000-0005-0000-0000-00007D1D0000}"/>
    <cellStyle name="Normal 8 3 2 7 3 2" xfId="14953" xr:uid="{ABE3487F-56FE-4539-A642-A43C732D2725}"/>
    <cellStyle name="Normal 8 3 2 7 4" xfId="10735" xr:uid="{9F177AC1-327A-4BF7-8F16-1E39D1FDD852}"/>
    <cellStyle name="Normal 8 3 2 8" xfId="2643" xr:uid="{00000000-0005-0000-0000-00007E1D0000}"/>
    <cellStyle name="Normal 8 3 2 8 2" xfId="6927" xr:uid="{00000000-0005-0000-0000-00007F1D0000}"/>
    <cellStyle name="Normal 8 3 2 8 2 2" xfId="15366" xr:uid="{7C652EDD-9D11-4600-8A44-D33464844BC3}"/>
    <cellStyle name="Normal 8 3 2 8 3" xfId="11148" xr:uid="{3510DBB7-7C51-4464-A4C9-2A89473E0FFA}"/>
    <cellStyle name="Normal 8 3 2 9" xfId="4862" xr:uid="{00000000-0005-0000-0000-0000801D0000}"/>
    <cellStyle name="Normal 8 3 2 9 2" xfId="13301" xr:uid="{BC53DC96-5690-4B94-98F9-0CA61252AC52}"/>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958D597C-68C7-4C72-8231-8EE4E5C292C8}"/>
    <cellStyle name="Normal 8 3 3 2 2 2 3" xfId="11646" xr:uid="{6DAE51C2-EDD2-4B9F-B0A8-06A3A1C914BC}"/>
    <cellStyle name="Normal 8 3 3 2 2 3" xfId="5280" xr:uid="{00000000-0005-0000-0000-0000861D0000}"/>
    <cellStyle name="Normal 8 3 3 2 2 3 2" xfId="13719" xr:uid="{4E313082-6650-4BCC-9CC9-03A1C296B135}"/>
    <cellStyle name="Normal 8 3 3 2 2 4" xfId="9501" xr:uid="{E2F243B1-9301-4D96-BE5B-026C912B97B2}"/>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642FFE60-45AC-4DCA-9AF4-87D285A252B7}"/>
    <cellStyle name="Normal 8 3 3 2 3 2 3" xfId="12059" xr:uid="{311D386F-FD24-4983-AA30-257C65F8D29B}"/>
    <cellStyle name="Normal 8 3 3 2 3 3" xfId="5693" xr:uid="{00000000-0005-0000-0000-00008A1D0000}"/>
    <cellStyle name="Normal 8 3 3 2 3 3 2" xfId="14132" xr:uid="{D489EB54-55C7-4DD0-A588-D04580FC9E74}"/>
    <cellStyle name="Normal 8 3 3 2 3 4" xfId="9914" xr:uid="{119E7981-B4AF-45D7-A3AA-A4BB23AF2175}"/>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43CC9105-9D37-4D67-880A-ABB845E3A696}"/>
    <cellStyle name="Normal 8 3 3 2 4 2 3" xfId="12472" xr:uid="{16D19E52-3A6C-4CA0-9AC1-508012237089}"/>
    <cellStyle name="Normal 8 3 3 2 4 3" xfId="6106" xr:uid="{00000000-0005-0000-0000-00008E1D0000}"/>
    <cellStyle name="Normal 8 3 3 2 4 3 2" xfId="14545" xr:uid="{E1C5BAA1-0415-4C82-9A67-0083A266B833}"/>
    <cellStyle name="Normal 8 3 3 2 4 4" xfId="10327" xr:uid="{FE5F9E66-47D8-46C4-8DA1-9C1B51C4FBC7}"/>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D342382B-1830-4C09-A9A7-EA2C75210F28}"/>
    <cellStyle name="Normal 8 3 3 2 5 2 3" xfId="12885" xr:uid="{181C8C6F-60ED-4885-8844-F2E61E1F933D}"/>
    <cellStyle name="Normal 8 3 3 2 5 3" xfId="6519" xr:uid="{00000000-0005-0000-0000-0000921D0000}"/>
    <cellStyle name="Normal 8 3 3 2 5 3 2" xfId="14958" xr:uid="{2B2FA4F0-5B95-44CF-92D5-314E64B7BDE3}"/>
    <cellStyle name="Normal 8 3 3 2 5 4" xfId="10740" xr:uid="{6FD83528-8FB1-4C4E-A67B-98AC72DA8CF4}"/>
    <cellStyle name="Normal 8 3 3 2 6" xfId="2648" xr:uid="{00000000-0005-0000-0000-0000931D0000}"/>
    <cellStyle name="Normal 8 3 3 2 6 2" xfId="6932" xr:uid="{00000000-0005-0000-0000-0000941D0000}"/>
    <cellStyle name="Normal 8 3 3 2 6 2 2" xfId="15371" xr:uid="{6F2BB521-1499-4A01-A7E9-47730FD6FEAE}"/>
    <cellStyle name="Normal 8 3 3 2 6 3" xfId="11153" xr:uid="{E9718E92-1F6F-42AC-9289-E35A3AA9432B}"/>
    <cellStyle name="Normal 8 3 3 2 7" xfId="4867" xr:uid="{00000000-0005-0000-0000-0000951D0000}"/>
    <cellStyle name="Normal 8 3 3 2 7 2" xfId="13306" xr:uid="{BBD4C656-AA4D-4669-8A7A-8715CD142A75}"/>
    <cellStyle name="Normal 8 3 3 2 8" xfId="9088" xr:uid="{9BDF06B3-6120-4EDD-AFBB-F348425972F8}"/>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BFE88ECF-2C80-4AFA-AD47-3F2CA37F29FD}"/>
    <cellStyle name="Normal 8 3 3 3 2 3" xfId="11645" xr:uid="{8336BC32-8538-4344-A7C7-D3D462DEF6F2}"/>
    <cellStyle name="Normal 8 3 3 3 3" xfId="5279" xr:uid="{00000000-0005-0000-0000-0000991D0000}"/>
    <cellStyle name="Normal 8 3 3 3 3 2" xfId="13718" xr:uid="{97AF4089-F961-452E-BDFF-0DF728FE78A3}"/>
    <cellStyle name="Normal 8 3 3 3 4" xfId="9500" xr:uid="{E2F27252-2E3D-4BD3-B930-ED2CEEF1C777}"/>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9CB1531C-37D7-40CD-B29B-432CDA46F53C}"/>
    <cellStyle name="Normal 8 3 3 4 2 3" xfId="12058" xr:uid="{63F3A7FE-DB6A-4BB8-B819-38CD34606850}"/>
    <cellStyle name="Normal 8 3 3 4 3" xfId="5692" xr:uid="{00000000-0005-0000-0000-00009D1D0000}"/>
    <cellStyle name="Normal 8 3 3 4 3 2" xfId="14131" xr:uid="{33587F89-05CD-46F5-B679-EAE77078FDC2}"/>
    <cellStyle name="Normal 8 3 3 4 4" xfId="9913" xr:uid="{8530C503-B3A1-4B1E-901A-E5887CD61D70}"/>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9A8C3965-A188-4B8E-AFB3-D3B1DD3540AD}"/>
    <cellStyle name="Normal 8 3 3 5 2 3" xfId="12471" xr:uid="{51D74194-6E12-494A-B4BC-74F4FF175361}"/>
    <cellStyle name="Normal 8 3 3 5 3" xfId="6105" xr:uid="{00000000-0005-0000-0000-0000A11D0000}"/>
    <cellStyle name="Normal 8 3 3 5 3 2" xfId="14544" xr:uid="{240E45E0-9919-4F67-B2A4-3A88EC6DB5D8}"/>
    <cellStyle name="Normal 8 3 3 5 4" xfId="10326" xr:uid="{9851310D-E6AC-4E34-8393-8EDEF4389B67}"/>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5ED92D9C-AD77-4E60-AC70-5E95CC61DFBB}"/>
    <cellStyle name="Normal 8 3 3 6 2 3" xfId="12884" xr:uid="{616FA6F2-8D98-4B81-AC6B-BB13D88C7143}"/>
    <cellStyle name="Normal 8 3 3 6 3" xfId="6518" xr:uid="{00000000-0005-0000-0000-0000A51D0000}"/>
    <cellStyle name="Normal 8 3 3 6 3 2" xfId="14957" xr:uid="{D3CB4E19-648B-4FBB-95C6-9C0D4D217C99}"/>
    <cellStyle name="Normal 8 3 3 6 4" xfId="10739" xr:uid="{B1018F49-E27D-4AF9-990A-E8ECA653F515}"/>
    <cellStyle name="Normal 8 3 3 7" xfId="2647" xr:uid="{00000000-0005-0000-0000-0000A61D0000}"/>
    <cellStyle name="Normal 8 3 3 7 2" xfId="6931" xr:uid="{00000000-0005-0000-0000-0000A71D0000}"/>
    <cellStyle name="Normal 8 3 3 7 2 2" xfId="15370" xr:uid="{8B8C2EBE-F701-4AA9-A35F-86D2A8086ABA}"/>
    <cellStyle name="Normal 8 3 3 7 3" xfId="11152" xr:uid="{44E4A786-5346-4E6B-8834-AFA9E3AD8405}"/>
    <cellStyle name="Normal 8 3 3 8" xfId="4866" xr:uid="{00000000-0005-0000-0000-0000A81D0000}"/>
    <cellStyle name="Normal 8 3 3 8 2" xfId="13305" xr:uid="{6F8058C6-D1C4-4E9F-95D7-5D32574A310D}"/>
    <cellStyle name="Normal 8 3 3 9" xfId="9087" xr:uid="{D7453514-7B33-45D7-B09F-29EFFD97EE52}"/>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55BD3E4E-892B-4C3E-898A-05BA1AE6B655}"/>
    <cellStyle name="Normal 8 3 4 2 2 3" xfId="11647" xr:uid="{316939DE-12E7-47A7-BE86-348BAEA70276}"/>
    <cellStyle name="Normal 8 3 4 2 3" xfId="5281" xr:uid="{00000000-0005-0000-0000-0000AD1D0000}"/>
    <cellStyle name="Normal 8 3 4 2 3 2" xfId="13720" xr:uid="{FCCD649F-07AD-4573-A460-38867B581A92}"/>
    <cellStyle name="Normal 8 3 4 2 4" xfId="9502" xr:uid="{8C80433A-7883-4E1F-B061-5F9CC5385540}"/>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64FA27EC-CC33-49E1-8FCA-959DC2BB585B}"/>
    <cellStyle name="Normal 8 3 4 3 2 3" xfId="12060" xr:uid="{0D5B02FA-2FAE-4B3C-BA4E-EDD24322A7FD}"/>
    <cellStyle name="Normal 8 3 4 3 3" xfId="5694" xr:uid="{00000000-0005-0000-0000-0000B11D0000}"/>
    <cellStyle name="Normal 8 3 4 3 3 2" xfId="14133" xr:uid="{810BA118-5B2F-4DF1-9457-8C682E3C280D}"/>
    <cellStyle name="Normal 8 3 4 3 4" xfId="9915" xr:uid="{B9D2D823-4A8C-435D-890A-E664459F71C3}"/>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29AD9B06-6533-43F3-9CDD-8BACA14E3937}"/>
    <cellStyle name="Normal 8 3 4 4 2 3" xfId="12473" xr:uid="{98C5A16A-F341-42DE-A240-2936CAA1644C}"/>
    <cellStyle name="Normal 8 3 4 4 3" xfId="6107" xr:uid="{00000000-0005-0000-0000-0000B51D0000}"/>
    <cellStyle name="Normal 8 3 4 4 3 2" xfId="14546" xr:uid="{CF7285D5-624E-4A6F-ABCC-60376212AEFB}"/>
    <cellStyle name="Normal 8 3 4 4 4" xfId="10328" xr:uid="{11D00528-E85E-4A92-A6DB-4A898B438B19}"/>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0F49D9C2-7832-41D7-8B87-3E96670D92CE}"/>
    <cellStyle name="Normal 8 3 4 5 2 3" xfId="12886" xr:uid="{BF1EC4F3-49EB-4BE3-BB50-5F9126C217CD}"/>
    <cellStyle name="Normal 8 3 4 5 3" xfId="6520" xr:uid="{00000000-0005-0000-0000-0000B91D0000}"/>
    <cellStyle name="Normal 8 3 4 5 3 2" xfId="14959" xr:uid="{266640E5-4A1D-4720-A87D-FD00B88E63F8}"/>
    <cellStyle name="Normal 8 3 4 5 4" xfId="10741" xr:uid="{D7E93A20-73A6-44F7-9336-27BDC9FBD85D}"/>
    <cellStyle name="Normal 8 3 4 6" xfId="2649" xr:uid="{00000000-0005-0000-0000-0000BA1D0000}"/>
    <cellStyle name="Normal 8 3 4 6 2" xfId="6933" xr:uid="{00000000-0005-0000-0000-0000BB1D0000}"/>
    <cellStyle name="Normal 8 3 4 6 2 2" xfId="15372" xr:uid="{E9222C1A-7132-4EEC-9C8F-17DCB17A507E}"/>
    <cellStyle name="Normal 8 3 4 6 3" xfId="11154" xr:uid="{89F260FA-AC17-4707-9816-93BEA1BECE92}"/>
    <cellStyle name="Normal 8 3 4 7" xfId="4868" xr:uid="{00000000-0005-0000-0000-0000BC1D0000}"/>
    <cellStyle name="Normal 8 3 4 7 2" xfId="13307" xr:uid="{14381C6C-E21A-4447-B0C8-BBCA19BD262E}"/>
    <cellStyle name="Normal 8 3 4 8" xfId="9089" xr:uid="{12F50D98-DE72-4B80-BA29-D4AC3BE38A02}"/>
    <cellStyle name="Normal 8 3 5" xfId="962" xr:uid="{00000000-0005-0000-0000-0000BD1D0000}"/>
    <cellStyle name="Normal 8 3 5 2" xfId="3196" xr:uid="{00000000-0005-0000-0000-0000BE1D0000}"/>
    <cellStyle name="Normal 8 3 5 2 2" xfId="7419" xr:uid="{00000000-0005-0000-0000-0000BF1D0000}"/>
    <cellStyle name="Normal 8 3 5 2 2 2" xfId="15858" xr:uid="{9A454B99-57AE-4A07-9B93-64B490796A02}"/>
    <cellStyle name="Normal 8 3 5 2 3" xfId="11640" xr:uid="{E83989F6-3E0E-4FC7-B260-7205A7F6C8DA}"/>
    <cellStyle name="Normal 8 3 5 3" xfId="5274" xr:uid="{00000000-0005-0000-0000-0000C01D0000}"/>
    <cellStyle name="Normal 8 3 5 3 2" xfId="13713" xr:uid="{0F9F563A-1CFE-4D34-98D5-14130999BAE0}"/>
    <cellStyle name="Normal 8 3 5 4" xfId="9495" xr:uid="{D0313B37-CF1D-4BA5-973E-E4F72ED4B420}"/>
    <cellStyle name="Normal 8 3 6" xfId="1379" xr:uid="{00000000-0005-0000-0000-0000C11D0000}"/>
    <cellStyle name="Normal 8 3 6 2" xfId="3609" xr:uid="{00000000-0005-0000-0000-0000C21D0000}"/>
    <cellStyle name="Normal 8 3 6 2 2" xfId="7832" xr:uid="{00000000-0005-0000-0000-0000C31D0000}"/>
    <cellStyle name="Normal 8 3 6 2 2 2" xfId="16271" xr:uid="{CE91016B-5A34-40DB-BEB2-E1879A073365}"/>
    <cellStyle name="Normal 8 3 6 2 3" xfId="12053" xr:uid="{F4BB706D-8E83-4E81-B3BF-2BEA7B142F1B}"/>
    <cellStyle name="Normal 8 3 6 3" xfId="5687" xr:uid="{00000000-0005-0000-0000-0000C41D0000}"/>
    <cellStyle name="Normal 8 3 6 3 2" xfId="14126" xr:uid="{4893700E-B37C-43C3-B58D-FD45F935A3D9}"/>
    <cellStyle name="Normal 8 3 6 4" xfId="9908" xr:uid="{D318EA39-D145-4BB5-BC75-BC6EF82F59BA}"/>
    <cellStyle name="Normal 8 3 7" xfId="1792" xr:uid="{00000000-0005-0000-0000-0000C51D0000}"/>
    <cellStyle name="Normal 8 3 7 2" xfId="4022" xr:uid="{00000000-0005-0000-0000-0000C61D0000}"/>
    <cellStyle name="Normal 8 3 7 2 2" xfId="8245" xr:uid="{00000000-0005-0000-0000-0000C71D0000}"/>
    <cellStyle name="Normal 8 3 7 2 2 2" xfId="16684" xr:uid="{9476A7C7-4640-49FF-856E-57773177D5B4}"/>
    <cellStyle name="Normal 8 3 7 2 3" xfId="12466" xr:uid="{E94ADD32-CA07-4A2A-8F1A-A82BE7700CD0}"/>
    <cellStyle name="Normal 8 3 7 3" xfId="6100" xr:uid="{00000000-0005-0000-0000-0000C81D0000}"/>
    <cellStyle name="Normal 8 3 7 3 2" xfId="14539" xr:uid="{27595564-2D10-4541-B4F2-4D258CED25DD}"/>
    <cellStyle name="Normal 8 3 7 4" xfId="10321" xr:uid="{1BE82539-6CFA-4726-922C-45328F03EF72}"/>
    <cellStyle name="Normal 8 3 8" xfId="2206" xr:uid="{00000000-0005-0000-0000-0000C91D0000}"/>
    <cellStyle name="Normal 8 3 8 2" xfId="4435" xr:uid="{00000000-0005-0000-0000-0000CA1D0000}"/>
    <cellStyle name="Normal 8 3 8 2 2" xfId="8658" xr:uid="{00000000-0005-0000-0000-0000CB1D0000}"/>
    <cellStyle name="Normal 8 3 8 2 2 2" xfId="17097" xr:uid="{ABE6B7FF-76A0-4C24-B951-825A2C8A76E9}"/>
    <cellStyle name="Normal 8 3 8 2 3" xfId="12879" xr:uid="{1C30788D-2E8D-4C70-83AD-786DE0B86D9A}"/>
    <cellStyle name="Normal 8 3 8 3" xfId="6513" xr:uid="{00000000-0005-0000-0000-0000CC1D0000}"/>
    <cellStyle name="Normal 8 3 8 3 2" xfId="14952" xr:uid="{FA073F85-1462-4114-894F-B63FD25157ED}"/>
    <cellStyle name="Normal 8 3 8 4" xfId="10734" xr:uid="{25067E2C-6DBD-44D9-9F90-6A239E88057C}"/>
    <cellStyle name="Normal 8 3 9" xfId="2642" xr:uid="{00000000-0005-0000-0000-0000CD1D0000}"/>
    <cellStyle name="Normal 8 3 9 2" xfId="6926" xr:uid="{00000000-0005-0000-0000-0000CE1D0000}"/>
    <cellStyle name="Normal 8 3 9 2 2" xfId="15365" xr:uid="{F4BCF17D-3DDF-4F6D-9028-51A0BF883B7F}"/>
    <cellStyle name="Normal 8 3 9 3" xfId="11147" xr:uid="{0366ACD8-7924-4E34-8AA6-697761D971CF}"/>
    <cellStyle name="Normal 8 4" xfId="503" xr:uid="{00000000-0005-0000-0000-0000CF1D0000}"/>
    <cellStyle name="Normal 8 4 10" xfId="9090" xr:uid="{A78D8262-3DDB-4128-B0CE-D495EB6F8B0D}"/>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5306D3AC-1ADF-4849-8A76-58E1306F2C4E}"/>
    <cellStyle name="Normal 8 4 2 2 2 2 3" xfId="11650" xr:uid="{B6075B2F-B7FB-466A-8CFD-4B70CA7DD721}"/>
    <cellStyle name="Normal 8 4 2 2 2 3" xfId="5284" xr:uid="{00000000-0005-0000-0000-0000D51D0000}"/>
    <cellStyle name="Normal 8 4 2 2 2 3 2" xfId="13723" xr:uid="{66C7D6BB-D0B1-41EF-895D-F0B1187CF952}"/>
    <cellStyle name="Normal 8 4 2 2 2 4" xfId="9505" xr:uid="{ABD90919-5B6C-437A-913B-E155CDBADFA2}"/>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59DB6399-500D-4E2B-9F99-7BE7C7A4812C}"/>
    <cellStyle name="Normal 8 4 2 2 3 2 3" xfId="12063" xr:uid="{3A808FE7-25AD-4026-B175-A7C2071E076C}"/>
    <cellStyle name="Normal 8 4 2 2 3 3" xfId="5697" xr:uid="{00000000-0005-0000-0000-0000D91D0000}"/>
    <cellStyle name="Normal 8 4 2 2 3 3 2" xfId="14136" xr:uid="{D477A695-F6DC-42B6-8514-D2BD06251312}"/>
    <cellStyle name="Normal 8 4 2 2 3 4" xfId="9918" xr:uid="{2D86A748-2F39-451F-B6D8-C6EEB1E3ED3C}"/>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AB7206AD-F265-4C4E-85FD-07DA0EBCFAB3}"/>
    <cellStyle name="Normal 8 4 2 2 4 2 3" xfId="12476" xr:uid="{F61A8B20-4AC4-4703-9320-60E33B02FCC8}"/>
    <cellStyle name="Normal 8 4 2 2 4 3" xfId="6110" xr:uid="{00000000-0005-0000-0000-0000DD1D0000}"/>
    <cellStyle name="Normal 8 4 2 2 4 3 2" xfId="14549" xr:uid="{7E609BF1-FB73-401B-B2EC-4D1B16C20AD3}"/>
    <cellStyle name="Normal 8 4 2 2 4 4" xfId="10331" xr:uid="{9CF6A8AB-32E9-4EE7-9728-5A6C0AED5D2D}"/>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97D4676D-BB5B-4A3F-8635-419B31616FBA}"/>
    <cellStyle name="Normal 8 4 2 2 5 2 3" xfId="12889" xr:uid="{32312933-2C5B-40A7-B8FC-0376808B1078}"/>
    <cellStyle name="Normal 8 4 2 2 5 3" xfId="6523" xr:uid="{00000000-0005-0000-0000-0000E11D0000}"/>
    <cellStyle name="Normal 8 4 2 2 5 3 2" xfId="14962" xr:uid="{564A261A-2E95-4DCE-885F-BAC1DF59D436}"/>
    <cellStyle name="Normal 8 4 2 2 5 4" xfId="10744" xr:uid="{401A2455-EE5F-48B6-A60B-3C20559D7862}"/>
    <cellStyle name="Normal 8 4 2 2 6" xfId="2652" xr:uid="{00000000-0005-0000-0000-0000E21D0000}"/>
    <cellStyle name="Normal 8 4 2 2 6 2" xfId="6936" xr:uid="{00000000-0005-0000-0000-0000E31D0000}"/>
    <cellStyle name="Normal 8 4 2 2 6 2 2" xfId="15375" xr:uid="{7B5B9F89-CE0E-4308-A915-C6D68B1BCDFF}"/>
    <cellStyle name="Normal 8 4 2 2 6 3" xfId="11157" xr:uid="{E4CB6272-8A28-4DDB-AB04-2520A0A71796}"/>
    <cellStyle name="Normal 8 4 2 2 7" xfId="4871" xr:uid="{00000000-0005-0000-0000-0000E41D0000}"/>
    <cellStyle name="Normal 8 4 2 2 7 2" xfId="13310" xr:uid="{29DDB2B3-FE69-4860-9A63-78E4F9C36E54}"/>
    <cellStyle name="Normal 8 4 2 2 8" xfId="9092" xr:uid="{7914AC45-EA19-4B5B-89DC-30247F51B8B9}"/>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EA4E0C42-B3E6-4BAC-95AF-FD875861CDEC}"/>
    <cellStyle name="Normal 8 4 2 3 2 3" xfId="11649" xr:uid="{D9F22C3B-14FB-4B56-8B94-E35FDF4B659D}"/>
    <cellStyle name="Normal 8 4 2 3 3" xfId="5283" xr:uid="{00000000-0005-0000-0000-0000E81D0000}"/>
    <cellStyle name="Normal 8 4 2 3 3 2" xfId="13722" xr:uid="{C4ACE607-3491-4575-9BBB-3EDA192342B1}"/>
    <cellStyle name="Normal 8 4 2 3 4" xfId="9504" xr:uid="{6C097F3B-DCDF-46FB-AAFD-FA8DEF14208C}"/>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92ED2000-F94E-434F-94CE-9D8F108974AD}"/>
    <cellStyle name="Normal 8 4 2 4 2 3" xfId="12062" xr:uid="{FAF5054D-2779-4C66-AFDC-D94B17A97F6A}"/>
    <cellStyle name="Normal 8 4 2 4 3" xfId="5696" xr:uid="{00000000-0005-0000-0000-0000EC1D0000}"/>
    <cellStyle name="Normal 8 4 2 4 3 2" xfId="14135" xr:uid="{2841063D-ED55-43D0-A15E-06C75612BA5F}"/>
    <cellStyle name="Normal 8 4 2 4 4" xfId="9917" xr:uid="{0D47C6A5-6A94-4A39-B3C6-17BE556E33F3}"/>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7CF6BA27-81C6-44D9-9A4B-0704898A9D54}"/>
    <cellStyle name="Normal 8 4 2 5 2 3" xfId="12475" xr:uid="{65D6CF39-5C94-49AF-BB80-624B4532DC60}"/>
    <cellStyle name="Normal 8 4 2 5 3" xfId="6109" xr:uid="{00000000-0005-0000-0000-0000F01D0000}"/>
    <cellStyle name="Normal 8 4 2 5 3 2" xfId="14548" xr:uid="{158170EF-4747-40AE-92FD-524D9EA53F30}"/>
    <cellStyle name="Normal 8 4 2 5 4" xfId="10330" xr:uid="{CA621CF3-0408-4EF1-B875-582BC712AE85}"/>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DE1DD5BD-B274-4319-A53D-4AD26C3B0D07}"/>
    <cellStyle name="Normal 8 4 2 6 2 3" xfId="12888" xr:uid="{AAB90C4B-71DC-498C-9BCB-A00E461308A2}"/>
    <cellStyle name="Normal 8 4 2 6 3" xfId="6522" xr:uid="{00000000-0005-0000-0000-0000F41D0000}"/>
    <cellStyle name="Normal 8 4 2 6 3 2" xfId="14961" xr:uid="{611B7043-743F-4880-A20E-79F5FF21364B}"/>
    <cellStyle name="Normal 8 4 2 6 4" xfId="10743" xr:uid="{7E68B12A-BA4F-46A6-93AF-36BA6F6FB2C1}"/>
    <cellStyle name="Normal 8 4 2 7" xfId="2651" xr:uid="{00000000-0005-0000-0000-0000F51D0000}"/>
    <cellStyle name="Normal 8 4 2 7 2" xfId="6935" xr:uid="{00000000-0005-0000-0000-0000F61D0000}"/>
    <cellStyle name="Normal 8 4 2 7 2 2" xfId="15374" xr:uid="{625C710D-AED0-47AC-9D32-287F420BAAA8}"/>
    <cellStyle name="Normal 8 4 2 7 3" xfId="11156" xr:uid="{D52F44CA-32EB-496C-BF42-DCCECFBB32A5}"/>
    <cellStyle name="Normal 8 4 2 8" xfId="4870" xr:uid="{00000000-0005-0000-0000-0000F71D0000}"/>
    <cellStyle name="Normal 8 4 2 8 2" xfId="13309" xr:uid="{7703D978-6747-41B3-9BA7-88360DE684E0}"/>
    <cellStyle name="Normal 8 4 2 9" xfId="9091" xr:uid="{965AB385-1DAB-44BC-B4B0-D948EB59023F}"/>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5D1DC8AC-3472-4579-9680-E87F27DF9FAB}"/>
    <cellStyle name="Normal 8 4 3 2 2 3" xfId="11651" xr:uid="{7EAE50DE-2DCF-4BA5-ADBC-19DA966323D6}"/>
    <cellStyle name="Normal 8 4 3 2 3" xfId="5285" xr:uid="{00000000-0005-0000-0000-0000FC1D0000}"/>
    <cellStyle name="Normal 8 4 3 2 3 2" xfId="13724" xr:uid="{87D30B13-CE70-4BFB-BDCE-1D892497291A}"/>
    <cellStyle name="Normal 8 4 3 2 4" xfId="9506" xr:uid="{4268CC8F-C781-4D63-BFB8-E34E49B497E3}"/>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3DE32AA7-4020-4BF2-ABBE-DE0B6AEEB18C}"/>
    <cellStyle name="Normal 8 4 3 3 2 3" xfId="12064" xr:uid="{E8450A8B-10F7-4A9B-983D-7C65AA2B0A24}"/>
    <cellStyle name="Normal 8 4 3 3 3" xfId="5698" xr:uid="{00000000-0005-0000-0000-0000001E0000}"/>
    <cellStyle name="Normal 8 4 3 3 3 2" xfId="14137" xr:uid="{D3134623-32AF-4CDE-8D5F-D4CCCF92F07E}"/>
    <cellStyle name="Normal 8 4 3 3 4" xfId="9919" xr:uid="{4A6DEF40-F5FE-4EE1-B43E-173359F18A66}"/>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9C65B0C6-6D59-4F0C-B37B-E3D08DAF10B0}"/>
    <cellStyle name="Normal 8 4 3 4 2 3" xfId="12477" xr:uid="{200A443F-5D34-40B0-A058-B461CF6B622C}"/>
    <cellStyle name="Normal 8 4 3 4 3" xfId="6111" xr:uid="{00000000-0005-0000-0000-0000041E0000}"/>
    <cellStyle name="Normal 8 4 3 4 3 2" xfId="14550" xr:uid="{B17982EF-9CEE-429E-A2A3-17662BECC9C0}"/>
    <cellStyle name="Normal 8 4 3 4 4" xfId="10332" xr:uid="{14736C5B-B9EC-4E36-8884-29C87C9D6164}"/>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2C80D256-BBA5-4AED-8F32-47C2C5A619E8}"/>
    <cellStyle name="Normal 8 4 3 5 2 3" xfId="12890" xr:uid="{BB8A5B5D-1DD0-4551-9C16-E6E7E56865E1}"/>
    <cellStyle name="Normal 8 4 3 5 3" xfId="6524" xr:uid="{00000000-0005-0000-0000-0000081E0000}"/>
    <cellStyle name="Normal 8 4 3 5 3 2" xfId="14963" xr:uid="{A4137916-D525-443A-BD25-4E41AA6A64A3}"/>
    <cellStyle name="Normal 8 4 3 5 4" xfId="10745" xr:uid="{E773245C-6A1D-427A-BCDC-D67BE54594AD}"/>
    <cellStyle name="Normal 8 4 3 6" xfId="2653" xr:uid="{00000000-0005-0000-0000-0000091E0000}"/>
    <cellStyle name="Normal 8 4 3 6 2" xfId="6937" xr:uid="{00000000-0005-0000-0000-00000A1E0000}"/>
    <cellStyle name="Normal 8 4 3 6 2 2" xfId="15376" xr:uid="{52030DA6-D407-421F-9482-8BA55D401D45}"/>
    <cellStyle name="Normal 8 4 3 6 3" xfId="11158" xr:uid="{F3DD0012-34C6-440C-BC62-25C50DB915B6}"/>
    <cellStyle name="Normal 8 4 3 7" xfId="4872" xr:uid="{00000000-0005-0000-0000-00000B1E0000}"/>
    <cellStyle name="Normal 8 4 3 7 2" xfId="13311" xr:uid="{54179270-A710-41F0-B54C-30040032029E}"/>
    <cellStyle name="Normal 8 4 3 8" xfId="9093" xr:uid="{4CCBE2D0-5C0F-47DC-9E35-9CF0DF73426A}"/>
    <cellStyle name="Normal 8 4 4" xfId="970" xr:uid="{00000000-0005-0000-0000-00000C1E0000}"/>
    <cellStyle name="Normal 8 4 4 2" xfId="3204" xr:uid="{00000000-0005-0000-0000-00000D1E0000}"/>
    <cellStyle name="Normal 8 4 4 2 2" xfId="7427" xr:uid="{00000000-0005-0000-0000-00000E1E0000}"/>
    <cellStyle name="Normal 8 4 4 2 2 2" xfId="15866" xr:uid="{9202107B-7BEE-4F1E-B6B7-3ABD5EB0C60D}"/>
    <cellStyle name="Normal 8 4 4 2 3" xfId="11648" xr:uid="{FF4747CA-7A56-49F3-BD88-1541BC71CF4A}"/>
    <cellStyle name="Normal 8 4 4 3" xfId="5282" xr:uid="{00000000-0005-0000-0000-00000F1E0000}"/>
    <cellStyle name="Normal 8 4 4 3 2" xfId="13721" xr:uid="{A72D311B-4D39-4C09-BAAE-34EC1B39D2CF}"/>
    <cellStyle name="Normal 8 4 4 4" xfId="9503" xr:uid="{BF1E4435-77F5-4AE3-8E04-50E7E5912612}"/>
    <cellStyle name="Normal 8 4 5" xfId="1387" xr:uid="{00000000-0005-0000-0000-0000101E0000}"/>
    <cellStyle name="Normal 8 4 5 2" xfId="3617" xr:uid="{00000000-0005-0000-0000-0000111E0000}"/>
    <cellStyle name="Normal 8 4 5 2 2" xfId="7840" xr:uid="{00000000-0005-0000-0000-0000121E0000}"/>
    <cellStyle name="Normal 8 4 5 2 2 2" xfId="16279" xr:uid="{E649ED1A-2313-4001-B7CF-245452B608AB}"/>
    <cellStyle name="Normal 8 4 5 2 3" xfId="12061" xr:uid="{AA781A5A-1EFB-436B-AD45-646AC1BA3657}"/>
    <cellStyle name="Normal 8 4 5 3" xfId="5695" xr:uid="{00000000-0005-0000-0000-0000131E0000}"/>
    <cellStyle name="Normal 8 4 5 3 2" xfId="14134" xr:uid="{FF07ADF7-34E5-4B8E-95D1-5228EAC500B3}"/>
    <cellStyle name="Normal 8 4 5 4" xfId="9916" xr:uid="{27CB1817-0DE4-46D9-B84E-23BDEBB2950E}"/>
    <cellStyle name="Normal 8 4 6" xfId="1800" xr:uid="{00000000-0005-0000-0000-0000141E0000}"/>
    <cellStyle name="Normal 8 4 6 2" xfId="4030" xr:uid="{00000000-0005-0000-0000-0000151E0000}"/>
    <cellStyle name="Normal 8 4 6 2 2" xfId="8253" xr:uid="{00000000-0005-0000-0000-0000161E0000}"/>
    <cellStyle name="Normal 8 4 6 2 2 2" xfId="16692" xr:uid="{E69AC4E7-5866-43BF-AF6D-1DA10E611A4C}"/>
    <cellStyle name="Normal 8 4 6 2 3" xfId="12474" xr:uid="{59F8403B-647A-42C6-BBDF-232E5310287A}"/>
    <cellStyle name="Normal 8 4 6 3" xfId="6108" xr:uid="{00000000-0005-0000-0000-0000171E0000}"/>
    <cellStyle name="Normal 8 4 6 3 2" xfId="14547" xr:uid="{9DFCB66B-7FE1-4B96-9965-6CA15A0EAA4C}"/>
    <cellStyle name="Normal 8 4 6 4" xfId="10329" xr:uid="{A3191A8B-FE66-4EAC-8A6E-BC0B225C7DB4}"/>
    <cellStyle name="Normal 8 4 7" xfId="2214" xr:uid="{00000000-0005-0000-0000-0000181E0000}"/>
    <cellStyle name="Normal 8 4 7 2" xfId="4443" xr:uid="{00000000-0005-0000-0000-0000191E0000}"/>
    <cellStyle name="Normal 8 4 7 2 2" xfId="8666" xr:uid="{00000000-0005-0000-0000-00001A1E0000}"/>
    <cellStyle name="Normal 8 4 7 2 2 2" xfId="17105" xr:uid="{05023C4A-8B62-4C72-B0CF-D278E0C62B11}"/>
    <cellStyle name="Normal 8 4 7 2 3" xfId="12887" xr:uid="{400B8933-927B-4E1E-8D82-D930999D86DF}"/>
    <cellStyle name="Normal 8 4 7 3" xfId="6521" xr:uid="{00000000-0005-0000-0000-00001B1E0000}"/>
    <cellStyle name="Normal 8 4 7 3 2" xfId="14960" xr:uid="{57322A12-B033-4F76-986F-A5E97CFA57AA}"/>
    <cellStyle name="Normal 8 4 7 4" xfId="10742" xr:uid="{4BE407DE-6C6E-42DA-8F47-2040A5C67605}"/>
    <cellStyle name="Normal 8 4 8" xfId="2650" xr:uid="{00000000-0005-0000-0000-00001C1E0000}"/>
    <cellStyle name="Normal 8 4 8 2" xfId="6934" xr:uid="{00000000-0005-0000-0000-00001D1E0000}"/>
    <cellStyle name="Normal 8 4 8 2 2" xfId="15373" xr:uid="{A6CCA139-5406-41F0-A30C-687AD69ED8FC}"/>
    <cellStyle name="Normal 8 4 8 3" xfId="11155" xr:uid="{4B64D773-9316-4E79-A14F-393D8602981E}"/>
    <cellStyle name="Normal 8 4 9" xfId="4869" xr:uid="{00000000-0005-0000-0000-00001E1E0000}"/>
    <cellStyle name="Normal 8 4 9 2" xfId="13308" xr:uid="{29F8ACD6-3C4E-42F1-B8A8-13DA9A59A7C1}"/>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9C87B7D5-EA10-4555-A714-E8D9BBE7DED4}"/>
    <cellStyle name="Normal 8 5 2 2 2 3" xfId="11653" xr:uid="{263183FF-E6CE-49D2-B419-129C4DAAC2E9}"/>
    <cellStyle name="Normal 8 5 2 2 3" xfId="5287" xr:uid="{00000000-0005-0000-0000-0000241E0000}"/>
    <cellStyle name="Normal 8 5 2 2 3 2" xfId="13726" xr:uid="{AC31F7FA-76D4-42B9-869D-6B1AE0997932}"/>
    <cellStyle name="Normal 8 5 2 2 4" xfId="9508" xr:uid="{194F3E1B-15B4-4603-86F8-EC49064E4612}"/>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460E2657-0B8F-45E3-B971-4901D9741AA7}"/>
    <cellStyle name="Normal 8 5 2 3 2 3" xfId="12066" xr:uid="{F244489D-A63C-425B-9E86-D01902E9910C}"/>
    <cellStyle name="Normal 8 5 2 3 3" xfId="5700" xr:uid="{00000000-0005-0000-0000-0000281E0000}"/>
    <cellStyle name="Normal 8 5 2 3 3 2" xfId="14139" xr:uid="{8ACF8E53-7D6C-4795-B7A0-9B7A9D847FBC}"/>
    <cellStyle name="Normal 8 5 2 3 4" xfId="9921" xr:uid="{A090021D-8625-4788-9F13-73A0D23CF722}"/>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AC6E69BC-7E1E-4754-9644-E59A13FA5D75}"/>
    <cellStyle name="Normal 8 5 2 4 2 3" xfId="12479" xr:uid="{E25B77EE-5777-4ADC-B009-08C48E234DE8}"/>
    <cellStyle name="Normal 8 5 2 4 3" xfId="6113" xr:uid="{00000000-0005-0000-0000-00002C1E0000}"/>
    <cellStyle name="Normal 8 5 2 4 3 2" xfId="14552" xr:uid="{BC98FAA3-15E7-440E-98FB-0A2D90ECB161}"/>
    <cellStyle name="Normal 8 5 2 4 4" xfId="10334" xr:uid="{FA0AD4C4-97D8-4C88-884E-93486EBD2785}"/>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4C3427BF-4F9A-45A5-9878-15AFCE528703}"/>
    <cellStyle name="Normal 8 5 2 5 2 3" xfId="12892" xr:uid="{8A3D2923-1F09-4F7D-9420-2E927E609EE1}"/>
    <cellStyle name="Normal 8 5 2 5 3" xfId="6526" xr:uid="{00000000-0005-0000-0000-0000301E0000}"/>
    <cellStyle name="Normal 8 5 2 5 3 2" xfId="14965" xr:uid="{DF5D681B-6A71-42D1-9326-4788C6CA6074}"/>
    <cellStyle name="Normal 8 5 2 5 4" xfId="10747" xr:uid="{0083D216-CE46-44A0-963A-0CA1288183EF}"/>
    <cellStyle name="Normal 8 5 2 6" xfId="2655" xr:uid="{00000000-0005-0000-0000-0000311E0000}"/>
    <cellStyle name="Normal 8 5 2 6 2" xfId="6939" xr:uid="{00000000-0005-0000-0000-0000321E0000}"/>
    <cellStyle name="Normal 8 5 2 6 2 2" xfId="15378" xr:uid="{4034572C-E726-45C8-908E-3D5B6405071A}"/>
    <cellStyle name="Normal 8 5 2 6 3" xfId="11160" xr:uid="{B7D19C39-5460-4DD3-8078-6FC10D454FFC}"/>
    <cellStyle name="Normal 8 5 2 7" xfId="4874" xr:uid="{00000000-0005-0000-0000-0000331E0000}"/>
    <cellStyle name="Normal 8 5 2 7 2" xfId="13313" xr:uid="{4344E96A-28C8-4ED3-8B7B-2B1F646A3959}"/>
    <cellStyle name="Normal 8 5 2 8" xfId="9095" xr:uid="{FF609E88-F898-4133-9169-4904356717E9}"/>
    <cellStyle name="Normal 8 5 3" xfId="974" xr:uid="{00000000-0005-0000-0000-0000341E0000}"/>
    <cellStyle name="Normal 8 5 3 2" xfId="3208" xr:uid="{00000000-0005-0000-0000-0000351E0000}"/>
    <cellStyle name="Normal 8 5 3 2 2" xfId="7431" xr:uid="{00000000-0005-0000-0000-0000361E0000}"/>
    <cellStyle name="Normal 8 5 3 2 2 2" xfId="15870" xr:uid="{88FA7E12-E2A9-4818-9C2B-2DF8D2166CE2}"/>
    <cellStyle name="Normal 8 5 3 2 3" xfId="11652" xr:uid="{62321C0F-6959-4C4F-A873-0C2B7F4B8523}"/>
    <cellStyle name="Normal 8 5 3 3" xfId="5286" xr:uid="{00000000-0005-0000-0000-0000371E0000}"/>
    <cellStyle name="Normal 8 5 3 3 2" xfId="13725" xr:uid="{EDA1240D-8488-4F37-A190-1F6F5BA6F939}"/>
    <cellStyle name="Normal 8 5 3 4" xfId="9507" xr:uid="{1E355370-075F-44B1-92F2-3E007EDEA7ED}"/>
    <cellStyle name="Normal 8 5 4" xfId="1391" xr:uid="{00000000-0005-0000-0000-0000381E0000}"/>
    <cellStyle name="Normal 8 5 4 2" xfId="3621" xr:uid="{00000000-0005-0000-0000-0000391E0000}"/>
    <cellStyle name="Normal 8 5 4 2 2" xfId="7844" xr:uid="{00000000-0005-0000-0000-00003A1E0000}"/>
    <cellStyle name="Normal 8 5 4 2 2 2" xfId="16283" xr:uid="{50929B64-5BF4-4443-AF4A-49C1234F8BDD}"/>
    <cellStyle name="Normal 8 5 4 2 3" xfId="12065" xr:uid="{97622A60-6744-4CA7-8622-67C3B9A04AC7}"/>
    <cellStyle name="Normal 8 5 4 3" xfId="5699" xr:uid="{00000000-0005-0000-0000-00003B1E0000}"/>
    <cellStyle name="Normal 8 5 4 3 2" xfId="14138" xr:uid="{80A0A9D4-FDD9-46EF-93A3-6B4836ECC2B4}"/>
    <cellStyle name="Normal 8 5 4 4" xfId="9920" xr:uid="{713A2873-1CEF-492C-B6B4-FA84DA86E927}"/>
    <cellStyle name="Normal 8 5 5" xfId="1804" xr:uid="{00000000-0005-0000-0000-00003C1E0000}"/>
    <cellStyle name="Normal 8 5 5 2" xfId="4034" xr:uid="{00000000-0005-0000-0000-00003D1E0000}"/>
    <cellStyle name="Normal 8 5 5 2 2" xfId="8257" xr:uid="{00000000-0005-0000-0000-00003E1E0000}"/>
    <cellStyle name="Normal 8 5 5 2 2 2" xfId="16696" xr:uid="{F768F8F6-390D-4025-95D7-DFE1EEABDFB3}"/>
    <cellStyle name="Normal 8 5 5 2 3" xfId="12478" xr:uid="{158C7E50-4947-42E1-B8C1-E57C3D8094B7}"/>
    <cellStyle name="Normal 8 5 5 3" xfId="6112" xr:uid="{00000000-0005-0000-0000-00003F1E0000}"/>
    <cellStyle name="Normal 8 5 5 3 2" xfId="14551" xr:uid="{D7D5EB3B-5B0C-44D9-B2A4-9609C0165CE1}"/>
    <cellStyle name="Normal 8 5 5 4" xfId="10333" xr:uid="{647F8C8B-4CC5-464A-8C59-4B70031A1D44}"/>
    <cellStyle name="Normal 8 5 6" xfId="2218" xr:uid="{00000000-0005-0000-0000-0000401E0000}"/>
    <cellStyle name="Normal 8 5 6 2" xfId="4447" xr:uid="{00000000-0005-0000-0000-0000411E0000}"/>
    <cellStyle name="Normal 8 5 6 2 2" xfId="8670" xr:uid="{00000000-0005-0000-0000-0000421E0000}"/>
    <cellStyle name="Normal 8 5 6 2 2 2" xfId="17109" xr:uid="{B2C7BE28-CF47-4641-9163-32351601B50D}"/>
    <cellStyle name="Normal 8 5 6 2 3" xfId="12891" xr:uid="{DE46C6A7-98E9-472C-A1E3-CFB8758B76C5}"/>
    <cellStyle name="Normal 8 5 6 3" xfId="6525" xr:uid="{00000000-0005-0000-0000-0000431E0000}"/>
    <cellStyle name="Normal 8 5 6 3 2" xfId="14964" xr:uid="{4469BB23-1C9B-4E14-993D-28D9AE09A411}"/>
    <cellStyle name="Normal 8 5 6 4" xfId="10746" xr:uid="{DE57349D-7F99-4D70-966E-B593FA34F411}"/>
    <cellStyle name="Normal 8 5 7" xfId="2654" xr:uid="{00000000-0005-0000-0000-0000441E0000}"/>
    <cellStyle name="Normal 8 5 7 2" xfId="6938" xr:uid="{00000000-0005-0000-0000-0000451E0000}"/>
    <cellStyle name="Normal 8 5 7 2 2" xfId="15377" xr:uid="{78B75F8B-7136-4FC4-862F-1C72DEC19F43}"/>
    <cellStyle name="Normal 8 5 7 3" xfId="11159" xr:uid="{F25E0D03-97E2-42CD-97BE-EA7DC7736AAB}"/>
    <cellStyle name="Normal 8 5 8" xfId="4873" xr:uid="{00000000-0005-0000-0000-0000461E0000}"/>
    <cellStyle name="Normal 8 5 8 2" xfId="13312" xr:uid="{B33F1B4C-4003-418E-AF10-88C7E11B4439}"/>
    <cellStyle name="Normal 8 5 9" xfId="9094" xr:uid="{5CA6BAF1-09B0-4B3B-AB30-88C0791CB7D9}"/>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6DA57EEE-23C2-41F8-A012-DDF47CD62139}"/>
    <cellStyle name="Normal 8 6 2 2 3" xfId="11654" xr:uid="{0CD4AC2D-A383-408F-A65C-AB415D60DC12}"/>
    <cellStyle name="Normal 8 6 2 3" xfId="5288" xr:uid="{00000000-0005-0000-0000-00004B1E0000}"/>
    <cellStyle name="Normal 8 6 2 3 2" xfId="13727" xr:uid="{BF4728A2-3D18-48ED-BB22-DD69207281B2}"/>
    <cellStyle name="Normal 8 6 2 4" xfId="9509" xr:uid="{1D91A23F-C3D0-4452-8D83-08995FE88C90}"/>
    <cellStyle name="Normal 8 6 3" xfId="1393" xr:uid="{00000000-0005-0000-0000-00004C1E0000}"/>
    <cellStyle name="Normal 8 6 3 2" xfId="3623" xr:uid="{00000000-0005-0000-0000-00004D1E0000}"/>
    <cellStyle name="Normal 8 6 3 2 2" xfId="7846" xr:uid="{00000000-0005-0000-0000-00004E1E0000}"/>
    <cellStyle name="Normal 8 6 3 2 2 2" xfId="16285" xr:uid="{A99D6F07-4EB8-435E-9476-F6425A84528F}"/>
    <cellStyle name="Normal 8 6 3 2 3" xfId="12067" xr:uid="{E0050AF6-4C16-41A0-91E4-295AA943A137}"/>
    <cellStyle name="Normal 8 6 3 3" xfId="5701" xr:uid="{00000000-0005-0000-0000-00004F1E0000}"/>
    <cellStyle name="Normal 8 6 3 3 2" xfId="14140" xr:uid="{FD521076-4201-4B42-B0F2-2ED85B4FE260}"/>
    <cellStyle name="Normal 8 6 3 4" xfId="9922" xr:uid="{6DA1478F-3CD8-4DC0-9C51-786F0C0D5E40}"/>
    <cellStyle name="Normal 8 6 4" xfId="1806" xr:uid="{00000000-0005-0000-0000-0000501E0000}"/>
    <cellStyle name="Normal 8 6 4 2" xfId="4036" xr:uid="{00000000-0005-0000-0000-0000511E0000}"/>
    <cellStyle name="Normal 8 6 4 2 2" xfId="8259" xr:uid="{00000000-0005-0000-0000-0000521E0000}"/>
    <cellStyle name="Normal 8 6 4 2 2 2" xfId="16698" xr:uid="{1882C5F5-84AC-4715-B007-08BFB50B2444}"/>
    <cellStyle name="Normal 8 6 4 2 3" xfId="12480" xr:uid="{193B6EF1-9867-4471-A05E-866CDC0FDD05}"/>
    <cellStyle name="Normal 8 6 4 3" xfId="6114" xr:uid="{00000000-0005-0000-0000-0000531E0000}"/>
    <cellStyle name="Normal 8 6 4 3 2" xfId="14553" xr:uid="{BE861C74-8E22-4879-8BCD-57622014AAA3}"/>
    <cellStyle name="Normal 8 6 4 4" xfId="10335" xr:uid="{401FDFC0-EC9A-4408-8B03-57CE0AA6E983}"/>
    <cellStyle name="Normal 8 6 5" xfId="2220" xr:uid="{00000000-0005-0000-0000-0000541E0000}"/>
    <cellStyle name="Normal 8 6 5 2" xfId="4449" xr:uid="{00000000-0005-0000-0000-0000551E0000}"/>
    <cellStyle name="Normal 8 6 5 2 2" xfId="8672" xr:uid="{00000000-0005-0000-0000-0000561E0000}"/>
    <cellStyle name="Normal 8 6 5 2 2 2" xfId="17111" xr:uid="{5FCA8777-F925-4AB2-A288-FFFDC508178C}"/>
    <cellStyle name="Normal 8 6 5 2 3" xfId="12893" xr:uid="{4C0388B6-D473-4A28-87F5-3285DA9CCD23}"/>
    <cellStyle name="Normal 8 6 5 3" xfId="6527" xr:uid="{00000000-0005-0000-0000-0000571E0000}"/>
    <cellStyle name="Normal 8 6 5 3 2" xfId="14966" xr:uid="{98C30C4A-4839-4866-9602-289DD60267A3}"/>
    <cellStyle name="Normal 8 6 5 4" xfId="10748" xr:uid="{D8FDE15B-7C1A-4DC5-9AD3-5851194FE39E}"/>
    <cellStyle name="Normal 8 6 6" xfId="2656" xr:uid="{00000000-0005-0000-0000-0000581E0000}"/>
    <cellStyle name="Normal 8 6 6 2" xfId="6940" xr:uid="{00000000-0005-0000-0000-0000591E0000}"/>
    <cellStyle name="Normal 8 6 6 2 2" xfId="15379" xr:uid="{AF68AB2E-0A67-45B0-B932-236FBB36470E}"/>
    <cellStyle name="Normal 8 6 6 3" xfId="11161" xr:uid="{FD3D884C-B4FC-43B0-8115-9F51ED16F172}"/>
    <cellStyle name="Normal 8 6 7" xfId="4875" xr:uid="{00000000-0005-0000-0000-00005A1E0000}"/>
    <cellStyle name="Normal 8 6 7 2" xfId="13314" xr:uid="{C8F0F32B-6AC6-43D9-91D4-BE25EC458BA9}"/>
    <cellStyle name="Normal 8 6 8" xfId="9096" xr:uid="{A7CF2725-58BD-4633-837B-12FF13324D2B}"/>
    <cellStyle name="Normal 8 7" xfId="945" xr:uid="{00000000-0005-0000-0000-00005B1E0000}"/>
    <cellStyle name="Normal 8 7 2" xfId="3179" xr:uid="{00000000-0005-0000-0000-00005C1E0000}"/>
    <cellStyle name="Normal 8 7 2 2" xfId="7402" xr:uid="{00000000-0005-0000-0000-00005D1E0000}"/>
    <cellStyle name="Normal 8 7 2 2 2" xfId="15841" xr:uid="{5753A906-5F00-4968-A963-D3DAEAEDA477}"/>
    <cellStyle name="Normal 8 7 2 3" xfId="11623" xr:uid="{1FEA67D3-6F62-4B97-A3AD-074E2334EECE}"/>
    <cellStyle name="Normal 8 7 3" xfId="5257" xr:uid="{00000000-0005-0000-0000-00005E1E0000}"/>
    <cellStyle name="Normal 8 7 3 2" xfId="13696" xr:uid="{91248574-987A-440C-8FEF-F6449E29D5D5}"/>
    <cellStyle name="Normal 8 7 4" xfId="9478" xr:uid="{8180BE77-7E97-4024-AC46-3D314B40964C}"/>
    <cellStyle name="Normal 8 8" xfId="1362" xr:uid="{00000000-0005-0000-0000-00005F1E0000}"/>
    <cellStyle name="Normal 8 8 2" xfId="3592" xr:uid="{00000000-0005-0000-0000-0000601E0000}"/>
    <cellStyle name="Normal 8 8 2 2" xfId="7815" xr:uid="{00000000-0005-0000-0000-0000611E0000}"/>
    <cellStyle name="Normal 8 8 2 2 2" xfId="16254" xr:uid="{AAE0A1B9-9B1E-43A6-9037-BB7E6E6D69BC}"/>
    <cellStyle name="Normal 8 8 2 3" xfId="12036" xr:uid="{ED47604B-9496-4022-B1CF-1AFD0FD98494}"/>
    <cellStyle name="Normal 8 8 3" xfId="5670" xr:uid="{00000000-0005-0000-0000-0000621E0000}"/>
    <cellStyle name="Normal 8 8 3 2" xfId="14109" xr:uid="{5855926E-A825-4D62-863C-B72CD338BB62}"/>
    <cellStyle name="Normal 8 8 4" xfId="9891" xr:uid="{2C250F81-CD76-4208-AEBE-0E905853BFDD}"/>
    <cellStyle name="Normal 8 9" xfId="1775" xr:uid="{00000000-0005-0000-0000-0000631E0000}"/>
    <cellStyle name="Normal 8 9 2" xfId="4005" xr:uid="{00000000-0005-0000-0000-0000641E0000}"/>
    <cellStyle name="Normal 8 9 2 2" xfId="8228" xr:uid="{00000000-0005-0000-0000-0000651E0000}"/>
    <cellStyle name="Normal 8 9 2 2 2" xfId="16667" xr:uid="{FC2EA5FD-B738-42DC-B30B-EE6DAAAD6161}"/>
    <cellStyle name="Normal 8 9 2 3" xfId="12449" xr:uid="{F7093737-FED7-4C67-A09F-9E0C434F6A8A}"/>
    <cellStyle name="Normal 8 9 3" xfId="6083" xr:uid="{00000000-0005-0000-0000-0000661E0000}"/>
    <cellStyle name="Normal 8 9 3 2" xfId="14522" xr:uid="{EE26C142-6750-4BAB-AFF5-5C9752EDAA59}"/>
    <cellStyle name="Normal 8 9 4" xfId="10304" xr:uid="{E0EBE978-388C-4B9D-B597-B9471BE435E2}"/>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EF42AA82-8470-43DC-B1CD-97EFF40AA46F}"/>
    <cellStyle name="Normal 9 2 10 3" xfId="11162" xr:uid="{EBADB0C9-2F79-465B-AFA0-3000FAC7E9B1}"/>
    <cellStyle name="Normal 9 2 11" xfId="4876" xr:uid="{00000000-0005-0000-0000-00006B1E0000}"/>
    <cellStyle name="Normal 9 2 11 2" xfId="13315" xr:uid="{DEA8058B-285D-4100-AEE4-F6F4A7B828B2}"/>
    <cellStyle name="Normal 9 2 12" xfId="9097" xr:uid="{49A77A73-FEC5-4123-9E09-F7E1C2F14C21}"/>
    <cellStyle name="Normal 9 2 2" xfId="512" xr:uid="{00000000-0005-0000-0000-00006C1E0000}"/>
    <cellStyle name="Normal 9 2 2 10" xfId="4877" xr:uid="{00000000-0005-0000-0000-00006D1E0000}"/>
    <cellStyle name="Normal 9 2 2 10 2" xfId="13316" xr:uid="{3A3F4F90-C526-4E87-B281-54713298E3D6}"/>
    <cellStyle name="Normal 9 2 2 11" xfId="9098" xr:uid="{E37A79C4-C674-4D65-ADED-65DF9675788C}"/>
    <cellStyle name="Normal 9 2 2 2" xfId="513" xr:uid="{00000000-0005-0000-0000-00006E1E0000}"/>
    <cellStyle name="Normal 9 2 2 2 10" xfId="9099" xr:uid="{4A7ED97A-994E-4C49-97DD-22FDAC8E8E02}"/>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66288CC8-13AF-4F9F-AFF9-7CDB24202CA9}"/>
    <cellStyle name="Normal 9 2 2 2 2 2 2 2 3" xfId="11659" xr:uid="{8DCBD98B-5154-43BE-98B4-F73B6CB11016}"/>
    <cellStyle name="Normal 9 2 2 2 2 2 2 3" xfId="5293" xr:uid="{00000000-0005-0000-0000-0000741E0000}"/>
    <cellStyle name="Normal 9 2 2 2 2 2 2 3 2" xfId="13732" xr:uid="{8C01C019-676F-423A-B25A-CCC170525562}"/>
    <cellStyle name="Normal 9 2 2 2 2 2 2 4" xfId="9514" xr:uid="{59DC8FF7-7829-453E-95B6-B671B4D176C7}"/>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CBB89C99-ABED-4512-914E-4D72A2FEF005}"/>
    <cellStyle name="Normal 9 2 2 2 2 2 3 2 3" xfId="12072" xr:uid="{709DB81B-1643-4FCA-8736-423B0DC4953B}"/>
    <cellStyle name="Normal 9 2 2 2 2 2 3 3" xfId="5706" xr:uid="{00000000-0005-0000-0000-0000781E0000}"/>
    <cellStyle name="Normal 9 2 2 2 2 2 3 3 2" xfId="14145" xr:uid="{B9554711-3078-494C-9C67-EDBBD1739BEA}"/>
    <cellStyle name="Normal 9 2 2 2 2 2 3 4" xfId="9927" xr:uid="{1186EF3C-644A-444B-9986-4044B0FD3AE9}"/>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378DC711-117B-4BAA-93A7-94D11E123B7F}"/>
    <cellStyle name="Normal 9 2 2 2 2 2 4 2 3" xfId="12485" xr:uid="{1ADD3CDC-6F1D-4A61-9EE3-E2A117B1A930}"/>
    <cellStyle name="Normal 9 2 2 2 2 2 4 3" xfId="6119" xr:uid="{00000000-0005-0000-0000-00007C1E0000}"/>
    <cellStyle name="Normal 9 2 2 2 2 2 4 3 2" xfId="14558" xr:uid="{B8556150-1DD5-4FD2-AF8F-34B5C083B795}"/>
    <cellStyle name="Normal 9 2 2 2 2 2 4 4" xfId="10340" xr:uid="{C9E7E4FA-DBB8-4409-9A2E-E94A947011A4}"/>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4A7F0946-9356-454C-AD74-E1285ABC2DCD}"/>
    <cellStyle name="Normal 9 2 2 2 2 2 5 2 3" xfId="12898" xr:uid="{F753BBAB-6D6E-463B-B641-29E518EB5FC5}"/>
    <cellStyle name="Normal 9 2 2 2 2 2 5 3" xfId="6532" xr:uid="{00000000-0005-0000-0000-0000801E0000}"/>
    <cellStyle name="Normal 9 2 2 2 2 2 5 3 2" xfId="14971" xr:uid="{B591E655-BDC9-48C1-B1F3-F4C81D5EF4FC}"/>
    <cellStyle name="Normal 9 2 2 2 2 2 5 4" xfId="10753" xr:uid="{55AA001B-D621-45F9-82FE-A45F4272F1F7}"/>
    <cellStyle name="Normal 9 2 2 2 2 2 6" xfId="2661" xr:uid="{00000000-0005-0000-0000-0000811E0000}"/>
    <cellStyle name="Normal 9 2 2 2 2 2 6 2" xfId="6945" xr:uid="{00000000-0005-0000-0000-0000821E0000}"/>
    <cellStyle name="Normal 9 2 2 2 2 2 6 2 2" xfId="15384" xr:uid="{ECE5CC49-8414-464B-80A9-B41D3DEC5377}"/>
    <cellStyle name="Normal 9 2 2 2 2 2 6 3" xfId="11166" xr:uid="{9B0DE5AC-CCA0-4A52-8DE3-56F1BD82945B}"/>
    <cellStyle name="Normal 9 2 2 2 2 2 7" xfId="4880" xr:uid="{00000000-0005-0000-0000-0000831E0000}"/>
    <cellStyle name="Normal 9 2 2 2 2 2 7 2" xfId="13319" xr:uid="{B9D6D754-E208-46F2-8776-9930952DC5EE}"/>
    <cellStyle name="Normal 9 2 2 2 2 2 8" xfId="9101" xr:uid="{B15356F0-5031-4883-B290-6A40940F5A3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23A67D77-9D85-48F4-89AD-2BD1736AE73E}"/>
    <cellStyle name="Normal 9 2 2 2 2 3 2 3" xfId="11658" xr:uid="{61EC0186-FBEA-4256-9EED-AAD61F3F1E08}"/>
    <cellStyle name="Normal 9 2 2 2 2 3 3" xfId="5292" xr:uid="{00000000-0005-0000-0000-0000871E0000}"/>
    <cellStyle name="Normal 9 2 2 2 2 3 3 2" xfId="13731" xr:uid="{305BDBCE-0B22-47B1-B482-B0039A21E5DA}"/>
    <cellStyle name="Normal 9 2 2 2 2 3 4" xfId="9513" xr:uid="{4AED29B7-2662-4BB9-8FA4-C0534EDCC4E4}"/>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CFA2DB94-2F1D-437B-9D2C-3913E4E43814}"/>
    <cellStyle name="Normal 9 2 2 2 2 4 2 3" xfId="12071" xr:uid="{133E127A-BEA2-4D68-AB1A-1352ECBBBAE3}"/>
    <cellStyle name="Normal 9 2 2 2 2 4 3" xfId="5705" xr:uid="{00000000-0005-0000-0000-00008B1E0000}"/>
    <cellStyle name="Normal 9 2 2 2 2 4 3 2" xfId="14144" xr:uid="{BB9AB4BF-EC12-4AB3-8A70-3791E8882DBD}"/>
    <cellStyle name="Normal 9 2 2 2 2 4 4" xfId="9926" xr:uid="{4418231C-6523-4BBC-82C1-F7B8149CF2AC}"/>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368ADA87-0D7C-4B7C-A55E-3122D5B5621C}"/>
    <cellStyle name="Normal 9 2 2 2 2 5 2 3" xfId="12484" xr:uid="{64AD5A86-561B-41BC-A703-5BDBFE9300D5}"/>
    <cellStyle name="Normal 9 2 2 2 2 5 3" xfId="6118" xr:uid="{00000000-0005-0000-0000-00008F1E0000}"/>
    <cellStyle name="Normal 9 2 2 2 2 5 3 2" xfId="14557" xr:uid="{13873D0F-4DEF-42AF-8327-889C83FC682F}"/>
    <cellStyle name="Normal 9 2 2 2 2 5 4" xfId="10339" xr:uid="{3E2A41B6-6DE7-43A5-B10F-F245F8DA181E}"/>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745E991F-12E4-421C-BBB1-B6C44131DCED}"/>
    <cellStyle name="Normal 9 2 2 2 2 6 2 3" xfId="12897" xr:uid="{4A971120-1680-48EC-A564-2E0E8F8D167A}"/>
    <cellStyle name="Normal 9 2 2 2 2 6 3" xfId="6531" xr:uid="{00000000-0005-0000-0000-0000931E0000}"/>
    <cellStyle name="Normal 9 2 2 2 2 6 3 2" xfId="14970" xr:uid="{D372E7D5-0FA9-4DC8-BA82-6F9B360BCC1E}"/>
    <cellStyle name="Normal 9 2 2 2 2 6 4" xfId="10752" xr:uid="{2AEE9EB7-9172-4E10-B0A0-D35EB54FA886}"/>
    <cellStyle name="Normal 9 2 2 2 2 7" xfId="2660" xr:uid="{00000000-0005-0000-0000-0000941E0000}"/>
    <cellStyle name="Normal 9 2 2 2 2 7 2" xfId="6944" xr:uid="{00000000-0005-0000-0000-0000951E0000}"/>
    <cellStyle name="Normal 9 2 2 2 2 7 2 2" xfId="15383" xr:uid="{C051164D-1C2F-41A9-A14F-5BD76A2D2601}"/>
    <cellStyle name="Normal 9 2 2 2 2 7 3" xfId="11165" xr:uid="{E4A2811A-A898-44CB-B176-5F4D440F1503}"/>
    <cellStyle name="Normal 9 2 2 2 2 8" xfId="4879" xr:uid="{00000000-0005-0000-0000-0000961E0000}"/>
    <cellStyle name="Normal 9 2 2 2 2 8 2" xfId="13318" xr:uid="{D8E73496-4AF3-4FDE-9C0F-77723FF2572A}"/>
    <cellStyle name="Normal 9 2 2 2 2 9" xfId="9100" xr:uid="{290F06C3-7037-4842-84E0-24F84B09FFEB}"/>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EE8FD8B0-CF17-4FE9-9130-BB85BF726701}"/>
    <cellStyle name="Normal 9 2 2 2 3 2 2 3" xfId="11660" xr:uid="{529561D9-6798-4DAE-9E46-3FC40B24096B}"/>
    <cellStyle name="Normal 9 2 2 2 3 2 3" xfId="5294" xr:uid="{00000000-0005-0000-0000-00009B1E0000}"/>
    <cellStyle name="Normal 9 2 2 2 3 2 3 2" xfId="13733" xr:uid="{1CADF666-4018-4079-B349-F96F1F7910CE}"/>
    <cellStyle name="Normal 9 2 2 2 3 2 4" xfId="9515" xr:uid="{444CD6A6-6E6E-4E14-B4EE-D615313F6AD2}"/>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F779E296-70B6-4285-88A9-DB926D3A044D}"/>
    <cellStyle name="Normal 9 2 2 2 3 3 2 3" xfId="12073" xr:uid="{53FD0C23-A344-49C6-AB15-C68D26E14D52}"/>
    <cellStyle name="Normal 9 2 2 2 3 3 3" xfId="5707" xr:uid="{00000000-0005-0000-0000-00009F1E0000}"/>
    <cellStyle name="Normal 9 2 2 2 3 3 3 2" xfId="14146" xr:uid="{CB254591-A607-4661-8E48-469A65BD43A5}"/>
    <cellStyle name="Normal 9 2 2 2 3 3 4" xfId="9928" xr:uid="{6C97B5E8-87A5-4C90-99CF-B3DA7A6EBDEF}"/>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B4EDE5DD-5CD2-4582-BC7D-AA7143CA0441}"/>
    <cellStyle name="Normal 9 2 2 2 3 4 2 3" xfId="12486" xr:uid="{293BD379-C032-4AE2-9416-BD9A7CB32ECA}"/>
    <cellStyle name="Normal 9 2 2 2 3 4 3" xfId="6120" xr:uid="{00000000-0005-0000-0000-0000A31E0000}"/>
    <cellStyle name="Normal 9 2 2 2 3 4 3 2" xfId="14559" xr:uid="{558E0A4B-E567-4476-8CD5-502E33EE22FB}"/>
    <cellStyle name="Normal 9 2 2 2 3 4 4" xfId="10341" xr:uid="{B01F25CB-6EEB-4B69-AC4A-AC0F31BB194E}"/>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ED1B7F3A-7220-46CA-AB21-887B5E8CB7C6}"/>
    <cellStyle name="Normal 9 2 2 2 3 5 2 3" xfId="12899" xr:uid="{D9BB0855-AA1A-4D2D-A482-6E83713E769B}"/>
    <cellStyle name="Normal 9 2 2 2 3 5 3" xfId="6533" xr:uid="{00000000-0005-0000-0000-0000A71E0000}"/>
    <cellStyle name="Normal 9 2 2 2 3 5 3 2" xfId="14972" xr:uid="{5CE29F86-AB51-40B9-99C3-BF5F8BC80A21}"/>
    <cellStyle name="Normal 9 2 2 2 3 5 4" xfId="10754" xr:uid="{6B0569F6-D535-4D00-A7BB-B5CA1053FB7C}"/>
    <cellStyle name="Normal 9 2 2 2 3 6" xfId="2662" xr:uid="{00000000-0005-0000-0000-0000A81E0000}"/>
    <cellStyle name="Normal 9 2 2 2 3 6 2" xfId="6946" xr:uid="{00000000-0005-0000-0000-0000A91E0000}"/>
    <cellStyle name="Normal 9 2 2 2 3 6 2 2" xfId="15385" xr:uid="{D9D1B575-E4AD-47A9-B04E-C912D12D301D}"/>
    <cellStyle name="Normal 9 2 2 2 3 6 3" xfId="11167" xr:uid="{DCEFA07B-B145-4E13-AB26-E1CFEA8A915F}"/>
    <cellStyle name="Normal 9 2 2 2 3 7" xfId="4881" xr:uid="{00000000-0005-0000-0000-0000AA1E0000}"/>
    <cellStyle name="Normal 9 2 2 2 3 7 2" xfId="13320" xr:uid="{3D633735-CA52-4D51-97C5-40F7A6603254}"/>
    <cellStyle name="Normal 9 2 2 2 3 8" xfId="9102" xr:uid="{68F18455-AF8E-4127-A649-C2AD33204F92}"/>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8CEA6346-EB24-4C3F-A120-584A34E19270}"/>
    <cellStyle name="Normal 9 2 2 2 4 2 3" xfId="11657" xr:uid="{7D85791B-C274-4298-835E-0DFC5A2FC71D}"/>
    <cellStyle name="Normal 9 2 2 2 4 3" xfId="5291" xr:uid="{00000000-0005-0000-0000-0000AE1E0000}"/>
    <cellStyle name="Normal 9 2 2 2 4 3 2" xfId="13730" xr:uid="{899F4CE0-309B-4353-9811-EBF38FB7B339}"/>
    <cellStyle name="Normal 9 2 2 2 4 4" xfId="9512" xr:uid="{1FF3651C-CDE8-4713-91DB-33CE8383621D}"/>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9BDE3590-4184-43F4-BF89-6AAA83418A66}"/>
    <cellStyle name="Normal 9 2 2 2 5 2 3" xfId="12070" xr:uid="{51951960-F929-4D31-B59B-F2BDE65DF77D}"/>
    <cellStyle name="Normal 9 2 2 2 5 3" xfId="5704" xr:uid="{00000000-0005-0000-0000-0000B21E0000}"/>
    <cellStyle name="Normal 9 2 2 2 5 3 2" xfId="14143" xr:uid="{6C5A9B40-A4C6-4A8D-9743-65EF1ECD7297}"/>
    <cellStyle name="Normal 9 2 2 2 5 4" xfId="9925" xr:uid="{7DC116E8-2F54-4589-9FEE-C0D333289D64}"/>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1A0370C6-39B7-4C0A-B7FD-55A0CA7B7DB4}"/>
    <cellStyle name="Normal 9 2 2 2 6 2 3" xfId="12483" xr:uid="{D68A3A48-05D0-4EFF-9D1F-9DFC54751EA6}"/>
    <cellStyle name="Normal 9 2 2 2 6 3" xfId="6117" xr:uid="{00000000-0005-0000-0000-0000B61E0000}"/>
    <cellStyle name="Normal 9 2 2 2 6 3 2" xfId="14556" xr:uid="{31AF8C38-B553-4B61-8A9B-5DD256C99107}"/>
    <cellStyle name="Normal 9 2 2 2 6 4" xfId="10338" xr:uid="{F106A4B2-C8A1-4733-9EED-302781E50CE6}"/>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6B6ACB55-9137-4F4D-B890-572D43012DE0}"/>
    <cellStyle name="Normal 9 2 2 2 7 2 3" xfId="12896" xr:uid="{5412C2E2-74D7-4C15-940D-EF0E0F3C0D49}"/>
    <cellStyle name="Normal 9 2 2 2 7 3" xfId="6530" xr:uid="{00000000-0005-0000-0000-0000BA1E0000}"/>
    <cellStyle name="Normal 9 2 2 2 7 3 2" xfId="14969" xr:uid="{3C9ECAFC-9E81-4C2F-B78F-5689FA437FA1}"/>
    <cellStyle name="Normal 9 2 2 2 7 4" xfId="10751" xr:uid="{61BD6AA3-8FAA-48E3-AA1C-DF1DCDE9CA18}"/>
    <cellStyle name="Normal 9 2 2 2 8" xfId="2659" xr:uid="{00000000-0005-0000-0000-0000BB1E0000}"/>
    <cellStyle name="Normal 9 2 2 2 8 2" xfId="6943" xr:uid="{00000000-0005-0000-0000-0000BC1E0000}"/>
    <cellStyle name="Normal 9 2 2 2 8 2 2" xfId="15382" xr:uid="{833527E1-547A-4D6C-BF70-3EA291EBD5EE}"/>
    <cellStyle name="Normal 9 2 2 2 8 3" xfId="11164" xr:uid="{2B8FEAF8-D63E-4583-9191-5DF128F0198E}"/>
    <cellStyle name="Normal 9 2 2 2 9" xfId="4878" xr:uid="{00000000-0005-0000-0000-0000BD1E0000}"/>
    <cellStyle name="Normal 9 2 2 2 9 2" xfId="13317" xr:uid="{1FF657C2-E8B9-482E-B9B5-4D705F00BF81}"/>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5DEDDCB3-AF5D-4ED7-ABFE-48C31523E46F}"/>
    <cellStyle name="Normal 9 2 2 3 2 2 2 3" xfId="11662" xr:uid="{B9A2DF86-A0C6-4E5B-8CF0-09B9EF5249AC}"/>
    <cellStyle name="Normal 9 2 2 3 2 2 3" xfId="5296" xr:uid="{00000000-0005-0000-0000-0000C31E0000}"/>
    <cellStyle name="Normal 9 2 2 3 2 2 3 2" xfId="13735" xr:uid="{8DC14F06-AE2F-4D05-93BE-A37751AA1EAC}"/>
    <cellStyle name="Normal 9 2 2 3 2 2 4" xfId="9517" xr:uid="{1FB096EA-4422-4179-B7F6-4123F42E5046}"/>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380CE67F-E877-4D03-BE91-1A88E757C52C}"/>
    <cellStyle name="Normal 9 2 2 3 2 3 2 3" xfId="12075" xr:uid="{80263731-813B-41F3-BDD4-071A04AE8DAB}"/>
    <cellStyle name="Normal 9 2 2 3 2 3 3" xfId="5709" xr:uid="{00000000-0005-0000-0000-0000C71E0000}"/>
    <cellStyle name="Normal 9 2 2 3 2 3 3 2" xfId="14148" xr:uid="{83462D90-90EF-4430-A052-09B75B863A95}"/>
    <cellStyle name="Normal 9 2 2 3 2 3 4" xfId="9930" xr:uid="{8EF3CB30-396C-41B4-808E-9BA1147E09B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CA1A11B9-2A05-4FEE-A372-496BA90C1DD9}"/>
    <cellStyle name="Normal 9 2 2 3 2 4 2 3" xfId="12488" xr:uid="{56A9F90D-EFBE-4E38-9533-0313F37921DC}"/>
    <cellStyle name="Normal 9 2 2 3 2 4 3" xfId="6122" xr:uid="{00000000-0005-0000-0000-0000CB1E0000}"/>
    <cellStyle name="Normal 9 2 2 3 2 4 3 2" xfId="14561" xr:uid="{3E771AA0-3A2D-4019-942A-EA246495570F}"/>
    <cellStyle name="Normal 9 2 2 3 2 4 4" xfId="10343" xr:uid="{0E536EF1-DE85-4DD4-81E1-D16AAD819834}"/>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EBD2E15F-C916-4389-84ED-1F57FD477B70}"/>
    <cellStyle name="Normal 9 2 2 3 2 5 2 3" xfId="12901" xr:uid="{6D95F967-FA88-4D54-94F6-EA24FF8DD261}"/>
    <cellStyle name="Normal 9 2 2 3 2 5 3" xfId="6535" xr:uid="{00000000-0005-0000-0000-0000CF1E0000}"/>
    <cellStyle name="Normal 9 2 2 3 2 5 3 2" xfId="14974" xr:uid="{F2E04D60-C4AB-460B-9292-02B9ACD1C489}"/>
    <cellStyle name="Normal 9 2 2 3 2 5 4" xfId="10756" xr:uid="{9C890247-FF9C-4351-B7EE-26BA6E27712B}"/>
    <cellStyle name="Normal 9 2 2 3 2 6" xfId="2664" xr:uid="{00000000-0005-0000-0000-0000D01E0000}"/>
    <cellStyle name="Normal 9 2 2 3 2 6 2" xfId="6948" xr:uid="{00000000-0005-0000-0000-0000D11E0000}"/>
    <cellStyle name="Normal 9 2 2 3 2 6 2 2" xfId="15387" xr:uid="{ECA7F188-9541-4123-B673-0A3E3A09AFC4}"/>
    <cellStyle name="Normal 9 2 2 3 2 6 3" xfId="11169" xr:uid="{977AA2DC-EF79-46BA-AD7D-BB1C73618123}"/>
    <cellStyle name="Normal 9 2 2 3 2 7" xfId="4883" xr:uid="{00000000-0005-0000-0000-0000D21E0000}"/>
    <cellStyle name="Normal 9 2 2 3 2 7 2" xfId="13322" xr:uid="{AC9FA637-54EC-40E5-8D61-600826878D33}"/>
    <cellStyle name="Normal 9 2 2 3 2 8" xfId="9104" xr:uid="{7FAA2052-834C-486A-8E93-B20439551068}"/>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73224CA0-146A-41BE-93C3-B6CF25682666}"/>
    <cellStyle name="Normal 9 2 2 3 3 2 3" xfId="11661" xr:uid="{75BFA57F-B84A-4EFF-BA7A-CC6A45D4169A}"/>
    <cellStyle name="Normal 9 2 2 3 3 3" xfId="5295" xr:uid="{00000000-0005-0000-0000-0000D61E0000}"/>
    <cellStyle name="Normal 9 2 2 3 3 3 2" xfId="13734" xr:uid="{5195ABE1-F393-4932-9DED-25DA15839C83}"/>
    <cellStyle name="Normal 9 2 2 3 3 4" xfId="9516" xr:uid="{ECBAD28C-0914-4D1B-A532-F08DBF2F5E98}"/>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E5AA9131-15ED-4C5E-A865-5E23F8B12E5F}"/>
    <cellStyle name="Normal 9 2 2 3 4 2 3" xfId="12074" xr:uid="{5DC3EE8B-9BE0-4569-AA44-562CC8E1CCDA}"/>
    <cellStyle name="Normal 9 2 2 3 4 3" xfId="5708" xr:uid="{00000000-0005-0000-0000-0000DA1E0000}"/>
    <cellStyle name="Normal 9 2 2 3 4 3 2" xfId="14147" xr:uid="{1FEB6572-63C3-4001-80A6-D0FDCA307FD3}"/>
    <cellStyle name="Normal 9 2 2 3 4 4" xfId="9929" xr:uid="{BDCB1C5C-26DC-4855-805F-F6F50412A06F}"/>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2F8D8FF8-1D7D-4C80-B4F8-AFF40A3ED635}"/>
    <cellStyle name="Normal 9 2 2 3 5 2 3" xfId="12487" xr:uid="{41BC700B-30A4-4551-81C1-9162386A1962}"/>
    <cellStyle name="Normal 9 2 2 3 5 3" xfId="6121" xr:uid="{00000000-0005-0000-0000-0000DE1E0000}"/>
    <cellStyle name="Normal 9 2 2 3 5 3 2" xfId="14560" xr:uid="{AFC4C711-418A-4090-AA4A-7340AEF1C751}"/>
    <cellStyle name="Normal 9 2 2 3 5 4" xfId="10342" xr:uid="{7587986F-936A-40B0-BD42-5A26571052DC}"/>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2DD478D2-D049-43B5-9D66-174299429D0E}"/>
    <cellStyle name="Normal 9 2 2 3 6 2 3" xfId="12900" xr:uid="{E6B516E0-95DC-4710-80D6-45678CEEA442}"/>
    <cellStyle name="Normal 9 2 2 3 6 3" xfId="6534" xr:uid="{00000000-0005-0000-0000-0000E21E0000}"/>
    <cellStyle name="Normal 9 2 2 3 6 3 2" xfId="14973" xr:uid="{AE2BD51E-8183-4F51-A72D-C08384C31258}"/>
    <cellStyle name="Normal 9 2 2 3 6 4" xfId="10755" xr:uid="{B1098E6C-6364-48C3-A2F3-A0622D3419DE}"/>
    <cellStyle name="Normal 9 2 2 3 7" xfId="2663" xr:uid="{00000000-0005-0000-0000-0000E31E0000}"/>
    <cellStyle name="Normal 9 2 2 3 7 2" xfId="6947" xr:uid="{00000000-0005-0000-0000-0000E41E0000}"/>
    <cellStyle name="Normal 9 2 2 3 7 2 2" xfId="15386" xr:uid="{6E86277F-683B-467F-B34C-DCAD3B398EC5}"/>
    <cellStyle name="Normal 9 2 2 3 7 3" xfId="11168" xr:uid="{E33E1EE5-6FAC-47A0-BB23-FB3EEE30E9A5}"/>
    <cellStyle name="Normal 9 2 2 3 8" xfId="4882" xr:uid="{00000000-0005-0000-0000-0000E51E0000}"/>
    <cellStyle name="Normal 9 2 2 3 8 2" xfId="13321" xr:uid="{42A0AE64-C3F1-4B18-9A5E-C44B2CA334D4}"/>
    <cellStyle name="Normal 9 2 2 3 9" xfId="9103" xr:uid="{8FAF4CAF-8498-460B-B5E0-1B27A1BFA4D6}"/>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E59E221A-86FF-4637-AA8B-E3151D71C931}"/>
    <cellStyle name="Normal 9 2 2 4 2 2 3" xfId="11663" xr:uid="{185758C1-5496-4760-B796-E97051388C81}"/>
    <cellStyle name="Normal 9 2 2 4 2 3" xfId="5297" xr:uid="{00000000-0005-0000-0000-0000EA1E0000}"/>
    <cellStyle name="Normal 9 2 2 4 2 3 2" xfId="13736" xr:uid="{696EECFE-8F48-4134-91E9-EDB0BDF0E553}"/>
    <cellStyle name="Normal 9 2 2 4 2 4" xfId="9518" xr:uid="{A320B0C4-D6B1-48E8-9AA5-F3FA47953B1B}"/>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A2CD32E7-8C9F-4FD0-9E9C-256CABD6DCD5}"/>
    <cellStyle name="Normal 9 2 2 4 3 2 3" xfId="12076" xr:uid="{162398EB-C256-4899-A713-8291468402E8}"/>
    <cellStyle name="Normal 9 2 2 4 3 3" xfId="5710" xr:uid="{00000000-0005-0000-0000-0000EE1E0000}"/>
    <cellStyle name="Normal 9 2 2 4 3 3 2" xfId="14149" xr:uid="{4377244B-9B39-4EAF-8D36-C2A47E5013BA}"/>
    <cellStyle name="Normal 9 2 2 4 3 4" xfId="9931" xr:uid="{1030B276-53D0-445D-86E7-00312B4012F6}"/>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4E2168BF-3512-4BDD-AFC0-49ACB55EC4DB}"/>
    <cellStyle name="Normal 9 2 2 4 4 2 3" xfId="12489" xr:uid="{435EAED7-98B7-4947-8DD8-8985765A1E0E}"/>
    <cellStyle name="Normal 9 2 2 4 4 3" xfId="6123" xr:uid="{00000000-0005-0000-0000-0000F21E0000}"/>
    <cellStyle name="Normal 9 2 2 4 4 3 2" xfId="14562" xr:uid="{EE3EF3FB-D374-456C-ADB3-2FBA3ECAE828}"/>
    <cellStyle name="Normal 9 2 2 4 4 4" xfId="10344" xr:uid="{7361DD41-F5A9-4DC9-BFFC-76B5849B6241}"/>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258A9DD2-B560-4A2E-A4F6-93CFF6E2A94E}"/>
    <cellStyle name="Normal 9 2 2 4 5 2 3" xfId="12902" xr:uid="{108378E0-136B-4E80-B462-91737C2B100A}"/>
    <cellStyle name="Normal 9 2 2 4 5 3" xfId="6536" xr:uid="{00000000-0005-0000-0000-0000F61E0000}"/>
    <cellStyle name="Normal 9 2 2 4 5 3 2" xfId="14975" xr:uid="{95541205-669D-402E-BB81-1B256D743F37}"/>
    <cellStyle name="Normal 9 2 2 4 5 4" xfId="10757" xr:uid="{AB0EAD56-F13D-444F-9A9C-0877D688AB6F}"/>
    <cellStyle name="Normal 9 2 2 4 6" xfId="2665" xr:uid="{00000000-0005-0000-0000-0000F71E0000}"/>
    <cellStyle name="Normal 9 2 2 4 6 2" xfId="6949" xr:uid="{00000000-0005-0000-0000-0000F81E0000}"/>
    <cellStyle name="Normal 9 2 2 4 6 2 2" xfId="15388" xr:uid="{AE89B895-74FA-40EF-942A-F65842E51822}"/>
    <cellStyle name="Normal 9 2 2 4 6 3" xfId="11170" xr:uid="{F16D8226-DE24-4423-B80A-B417B31653B6}"/>
    <cellStyle name="Normal 9 2 2 4 7" xfId="4884" xr:uid="{00000000-0005-0000-0000-0000F91E0000}"/>
    <cellStyle name="Normal 9 2 2 4 7 2" xfId="13323" xr:uid="{D2F073E1-EEF9-4B2E-B7AF-FBC98F6F08FD}"/>
    <cellStyle name="Normal 9 2 2 4 8" xfId="9105" xr:uid="{66AB95E9-5546-4AAF-BA49-28AC4BE6D3FB}"/>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FAE470B8-3BB2-44D9-AFAD-7655EEFBF355}"/>
    <cellStyle name="Normal 9 2 2 5 2 3" xfId="11656" xr:uid="{32C849AF-0277-4D75-83D7-7A8718B8B7D8}"/>
    <cellStyle name="Normal 9 2 2 5 3" xfId="5290" xr:uid="{00000000-0005-0000-0000-0000FD1E0000}"/>
    <cellStyle name="Normal 9 2 2 5 3 2" xfId="13729" xr:uid="{93B14BB5-1E7E-4AF1-99C2-3CFA3FED3F07}"/>
    <cellStyle name="Normal 9 2 2 5 4" xfId="9511" xr:uid="{BE3007AC-0C09-4B8E-BD68-D373B1E9F861}"/>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F66188FB-0781-4A78-9A5D-4E45F6DEF7F5}"/>
    <cellStyle name="Normal 9 2 2 6 2 3" xfId="12069" xr:uid="{D0EAA5E4-37AC-4946-98C5-B11E7A767CC0}"/>
    <cellStyle name="Normal 9 2 2 6 3" xfId="5703" xr:uid="{00000000-0005-0000-0000-0000011F0000}"/>
    <cellStyle name="Normal 9 2 2 6 3 2" xfId="14142" xr:uid="{991DEBD2-FC89-481F-9D0E-F2E357E703DA}"/>
    <cellStyle name="Normal 9 2 2 6 4" xfId="9924" xr:uid="{0E5ED04D-346A-467E-AD85-D0002D6105BB}"/>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472E89F0-58AB-4E80-B306-17B8BCC49A6E}"/>
    <cellStyle name="Normal 9 2 2 7 2 3" xfId="12482" xr:uid="{85EE49D6-DC4E-4E82-9194-56698B786435}"/>
    <cellStyle name="Normal 9 2 2 7 3" xfId="6116" xr:uid="{00000000-0005-0000-0000-0000051F0000}"/>
    <cellStyle name="Normal 9 2 2 7 3 2" xfId="14555" xr:uid="{481B739A-C15E-4240-9988-CF3AE97ED063}"/>
    <cellStyle name="Normal 9 2 2 7 4" xfId="10337" xr:uid="{9B115C7D-C4EB-4BA6-B61B-FE5DE9F454C7}"/>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67B773CA-7425-43BF-B094-C6CFB449FF70}"/>
    <cellStyle name="Normal 9 2 2 8 2 3" xfId="12895" xr:uid="{6B355F71-5DD6-4D0D-9C3D-5DBE25FBC244}"/>
    <cellStyle name="Normal 9 2 2 8 3" xfId="6529" xr:uid="{00000000-0005-0000-0000-0000091F0000}"/>
    <cellStyle name="Normal 9 2 2 8 3 2" xfId="14968" xr:uid="{E14ECFFA-DC82-41E4-B55C-F970A03B7A4B}"/>
    <cellStyle name="Normal 9 2 2 8 4" xfId="10750" xr:uid="{D6E50271-15FC-4533-8D2D-FD7C79ECEB97}"/>
    <cellStyle name="Normal 9 2 2 9" xfId="2658" xr:uid="{00000000-0005-0000-0000-00000A1F0000}"/>
    <cellStyle name="Normal 9 2 2 9 2" xfId="6942" xr:uid="{00000000-0005-0000-0000-00000B1F0000}"/>
    <cellStyle name="Normal 9 2 2 9 2 2" xfId="15381" xr:uid="{0DFE683A-F9BD-400F-B7EB-12745F42609D}"/>
    <cellStyle name="Normal 9 2 2 9 3" xfId="11163" xr:uid="{06CD0F2F-076F-42E5-A7D1-FB0CEA22A1C5}"/>
    <cellStyle name="Normal 9 2 3" xfId="520" xr:uid="{00000000-0005-0000-0000-00000C1F0000}"/>
    <cellStyle name="Normal 9 2 3 10" xfId="9106" xr:uid="{90E4D0A8-ACA4-4C57-9AAA-571E027D7A45}"/>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259788B2-76B2-4E0A-A076-47628D4331AE}"/>
    <cellStyle name="Normal 9 2 3 2 2 2 2 3" xfId="11666" xr:uid="{3A09A982-8FBC-47CB-862E-AC204E354671}"/>
    <cellStyle name="Normal 9 2 3 2 2 2 3" xfId="5300" xr:uid="{00000000-0005-0000-0000-0000121F0000}"/>
    <cellStyle name="Normal 9 2 3 2 2 2 3 2" xfId="13739" xr:uid="{9B671E3C-E57E-41AE-8D38-D5BA400C23F4}"/>
    <cellStyle name="Normal 9 2 3 2 2 2 4" xfId="9521" xr:uid="{EAAE40F2-3A77-46A3-99E5-373C6A19F0AA}"/>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92AAA456-7738-4E8E-9034-2AE067754D29}"/>
    <cellStyle name="Normal 9 2 3 2 2 3 2 3" xfId="12079" xr:uid="{F0365776-64CD-4D84-83DE-F50902228910}"/>
    <cellStyle name="Normal 9 2 3 2 2 3 3" xfId="5713" xr:uid="{00000000-0005-0000-0000-0000161F0000}"/>
    <cellStyle name="Normal 9 2 3 2 2 3 3 2" xfId="14152" xr:uid="{104E63BF-8B68-4147-B13F-32F423AF888B}"/>
    <cellStyle name="Normal 9 2 3 2 2 3 4" xfId="9934" xr:uid="{2FD63D6F-C824-441D-887E-0335D434BB16}"/>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2455ADC0-DF17-4A55-A846-E3B12B3A036E}"/>
    <cellStyle name="Normal 9 2 3 2 2 4 2 3" xfId="12492" xr:uid="{2BA48014-409D-4058-A7D2-03A6A3BEAC8C}"/>
    <cellStyle name="Normal 9 2 3 2 2 4 3" xfId="6126" xr:uid="{00000000-0005-0000-0000-00001A1F0000}"/>
    <cellStyle name="Normal 9 2 3 2 2 4 3 2" xfId="14565" xr:uid="{8C00B09E-046D-44E0-927B-DE0174E49F86}"/>
    <cellStyle name="Normal 9 2 3 2 2 4 4" xfId="10347" xr:uid="{3C2A3993-645D-4FDE-BF0B-594B98EF5BFA}"/>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24D6F9FB-0CB6-44D8-9B9F-BD01314E1049}"/>
    <cellStyle name="Normal 9 2 3 2 2 5 2 3" xfId="12905" xr:uid="{BA45FE98-022C-4659-BD8A-DABB56F82372}"/>
    <cellStyle name="Normal 9 2 3 2 2 5 3" xfId="6539" xr:uid="{00000000-0005-0000-0000-00001E1F0000}"/>
    <cellStyle name="Normal 9 2 3 2 2 5 3 2" xfId="14978" xr:uid="{B00880F8-4FE3-46D2-BB2B-5406C7B52DE5}"/>
    <cellStyle name="Normal 9 2 3 2 2 5 4" xfId="10760" xr:uid="{EED1938D-BAE9-4DEB-82D2-5E0ECF99D0A3}"/>
    <cellStyle name="Normal 9 2 3 2 2 6" xfId="2668" xr:uid="{00000000-0005-0000-0000-00001F1F0000}"/>
    <cellStyle name="Normal 9 2 3 2 2 6 2" xfId="6952" xr:uid="{00000000-0005-0000-0000-0000201F0000}"/>
    <cellStyle name="Normal 9 2 3 2 2 6 2 2" xfId="15391" xr:uid="{370F291B-5954-4744-A605-96301546E576}"/>
    <cellStyle name="Normal 9 2 3 2 2 6 3" xfId="11173" xr:uid="{F79D7A80-B89E-4D6F-A474-F068435A7B5A}"/>
    <cellStyle name="Normal 9 2 3 2 2 7" xfId="4887" xr:uid="{00000000-0005-0000-0000-0000211F0000}"/>
    <cellStyle name="Normal 9 2 3 2 2 7 2" xfId="13326" xr:uid="{ABE40158-6A37-4667-A1FD-418D83AD7F24}"/>
    <cellStyle name="Normal 9 2 3 2 2 8" xfId="9108" xr:uid="{E5646665-FFAC-476E-9194-BD8A9C99E94A}"/>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EDB561B1-1171-48EF-87C3-5D591F07EE11}"/>
    <cellStyle name="Normal 9 2 3 2 3 2 3" xfId="11665" xr:uid="{CE09A3C6-B2D0-4EF6-A90D-EA129AD7D1E1}"/>
    <cellStyle name="Normal 9 2 3 2 3 3" xfId="5299" xr:uid="{00000000-0005-0000-0000-0000251F0000}"/>
    <cellStyle name="Normal 9 2 3 2 3 3 2" xfId="13738" xr:uid="{71BCB420-ED54-4628-9A46-84B4BBD963D1}"/>
    <cellStyle name="Normal 9 2 3 2 3 4" xfId="9520" xr:uid="{530F00E9-E07E-49EF-B799-8BB1B6B315FD}"/>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AD588851-DE4E-4963-829B-343E3BCD8C5F}"/>
    <cellStyle name="Normal 9 2 3 2 4 2 3" xfId="12078" xr:uid="{F70B66FC-F5C3-4B20-BFD1-E4E67C0BBDC6}"/>
    <cellStyle name="Normal 9 2 3 2 4 3" xfId="5712" xr:uid="{00000000-0005-0000-0000-0000291F0000}"/>
    <cellStyle name="Normal 9 2 3 2 4 3 2" xfId="14151" xr:uid="{1DCF2C07-0EE4-46E2-AF9A-F75BAEBADCC5}"/>
    <cellStyle name="Normal 9 2 3 2 4 4" xfId="9933" xr:uid="{235111A7-FD29-4C80-BA84-343430E0DDED}"/>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C650A4ED-24EF-4AC2-A80E-E55AFEE1E367}"/>
    <cellStyle name="Normal 9 2 3 2 5 2 3" xfId="12491" xr:uid="{71839CDF-3593-4601-AA12-13E7967051DB}"/>
    <cellStyle name="Normal 9 2 3 2 5 3" xfId="6125" xr:uid="{00000000-0005-0000-0000-00002D1F0000}"/>
    <cellStyle name="Normal 9 2 3 2 5 3 2" xfId="14564" xr:uid="{D495C6C6-E67D-4D2E-8B3E-045A239119F1}"/>
    <cellStyle name="Normal 9 2 3 2 5 4" xfId="10346" xr:uid="{64EB7913-3A5B-45ED-9944-C789397BD477}"/>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EC9C8095-1D30-4FEA-81B7-F1000FC0CE11}"/>
    <cellStyle name="Normal 9 2 3 2 6 2 3" xfId="12904" xr:uid="{D4DDB598-AB32-463F-9403-AE0465FD35A9}"/>
    <cellStyle name="Normal 9 2 3 2 6 3" xfId="6538" xr:uid="{00000000-0005-0000-0000-0000311F0000}"/>
    <cellStyle name="Normal 9 2 3 2 6 3 2" xfId="14977" xr:uid="{78CEB8F6-FEAA-40F9-933C-26FB460F0A40}"/>
    <cellStyle name="Normal 9 2 3 2 6 4" xfId="10759" xr:uid="{97324769-6616-45AA-91B4-51992A837EB3}"/>
    <cellStyle name="Normal 9 2 3 2 7" xfId="2667" xr:uid="{00000000-0005-0000-0000-0000321F0000}"/>
    <cellStyle name="Normal 9 2 3 2 7 2" xfId="6951" xr:uid="{00000000-0005-0000-0000-0000331F0000}"/>
    <cellStyle name="Normal 9 2 3 2 7 2 2" xfId="15390" xr:uid="{7FCCAC24-8930-4899-8FC2-DCACFC87753B}"/>
    <cellStyle name="Normal 9 2 3 2 7 3" xfId="11172" xr:uid="{440D4D46-1AC1-4BA7-B15B-23706EB0B74D}"/>
    <cellStyle name="Normal 9 2 3 2 8" xfId="4886" xr:uid="{00000000-0005-0000-0000-0000341F0000}"/>
    <cellStyle name="Normal 9 2 3 2 8 2" xfId="13325" xr:uid="{0F55ED31-0900-40C6-B827-7EA24E0E00F6}"/>
    <cellStyle name="Normal 9 2 3 2 9" xfId="9107" xr:uid="{18ADB32F-B366-4897-B880-99ACFB229137}"/>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626B4813-EE2E-4B15-A070-57706F4DD669}"/>
    <cellStyle name="Normal 9 2 3 3 2 2 3" xfId="11667" xr:uid="{0218F2EA-21CA-4807-AF53-E21451A0CC42}"/>
    <cellStyle name="Normal 9 2 3 3 2 3" xfId="5301" xr:uid="{00000000-0005-0000-0000-0000391F0000}"/>
    <cellStyle name="Normal 9 2 3 3 2 3 2" xfId="13740" xr:uid="{3EEADCD1-A2F3-46BA-BC23-329DB5FC392C}"/>
    <cellStyle name="Normal 9 2 3 3 2 4" xfId="9522" xr:uid="{87EFACAD-4207-44CF-86B0-7F88FC698F20}"/>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9F9DA6C3-0746-444C-A845-ED7B7530C413}"/>
    <cellStyle name="Normal 9 2 3 3 3 2 3" xfId="12080" xr:uid="{F8007957-7DCA-4DF7-B6B9-0B2499A18CE4}"/>
    <cellStyle name="Normal 9 2 3 3 3 3" xfId="5714" xr:uid="{00000000-0005-0000-0000-00003D1F0000}"/>
    <cellStyle name="Normal 9 2 3 3 3 3 2" xfId="14153" xr:uid="{DEEB2B6E-897C-455B-B16A-B6AFD09A509A}"/>
    <cellStyle name="Normal 9 2 3 3 3 4" xfId="9935" xr:uid="{47FCBF5D-0909-45E4-8BD0-3C070B256624}"/>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FAF21C95-02AC-4A7A-8215-36A557380037}"/>
    <cellStyle name="Normal 9 2 3 3 4 2 3" xfId="12493" xr:uid="{A6364A98-AC2C-4DE7-B301-C80D87AED749}"/>
    <cellStyle name="Normal 9 2 3 3 4 3" xfId="6127" xr:uid="{00000000-0005-0000-0000-0000411F0000}"/>
    <cellStyle name="Normal 9 2 3 3 4 3 2" xfId="14566" xr:uid="{7A8C9B2F-DBEE-4267-AC31-DDD8C6705B55}"/>
    <cellStyle name="Normal 9 2 3 3 4 4" xfId="10348" xr:uid="{26831F19-811A-41C5-856E-2E7E2EF6A9F3}"/>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81A10895-65B1-43F0-8AD1-2A695883FA1B}"/>
    <cellStyle name="Normal 9 2 3 3 5 2 3" xfId="12906" xr:uid="{A74FB840-05BF-4A8A-A686-3B1CCB72FB77}"/>
    <cellStyle name="Normal 9 2 3 3 5 3" xfId="6540" xr:uid="{00000000-0005-0000-0000-0000451F0000}"/>
    <cellStyle name="Normal 9 2 3 3 5 3 2" xfId="14979" xr:uid="{D00155AF-68B7-4C3F-9E59-61DDF9DE828C}"/>
    <cellStyle name="Normal 9 2 3 3 5 4" xfId="10761" xr:uid="{09B96A74-EF02-48DB-813F-9BF34DBD49B5}"/>
    <cellStyle name="Normal 9 2 3 3 6" xfId="2669" xr:uid="{00000000-0005-0000-0000-0000461F0000}"/>
    <cellStyle name="Normal 9 2 3 3 6 2" xfId="6953" xr:uid="{00000000-0005-0000-0000-0000471F0000}"/>
    <cellStyle name="Normal 9 2 3 3 6 2 2" xfId="15392" xr:uid="{6E57F381-A8A9-42BF-BCFE-85FBFB432350}"/>
    <cellStyle name="Normal 9 2 3 3 6 3" xfId="11174" xr:uid="{7E0D9CA2-4E99-4380-9D19-A618246C55C9}"/>
    <cellStyle name="Normal 9 2 3 3 7" xfId="4888" xr:uid="{00000000-0005-0000-0000-0000481F0000}"/>
    <cellStyle name="Normal 9 2 3 3 7 2" xfId="13327" xr:uid="{8334034D-AB4A-42C9-98A7-363280384355}"/>
    <cellStyle name="Normal 9 2 3 3 8" xfId="9109" xr:uid="{BA5E42C5-EFA0-402C-A5E1-27A428CB7930}"/>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FEAF5AC8-BF6D-4CB6-B5B4-AFB4A33491F2}"/>
    <cellStyle name="Normal 9 2 3 4 2 3" xfId="11664" xr:uid="{3F6F0BDA-6258-427A-B12D-E2DBD4AAACB2}"/>
    <cellStyle name="Normal 9 2 3 4 3" xfId="5298" xr:uid="{00000000-0005-0000-0000-00004C1F0000}"/>
    <cellStyle name="Normal 9 2 3 4 3 2" xfId="13737" xr:uid="{1E77D4AC-6B5F-46E5-B621-ACFDDEA7B09D}"/>
    <cellStyle name="Normal 9 2 3 4 4" xfId="9519" xr:uid="{DF2236E4-75C6-47FA-88A2-803046E460D3}"/>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108BF66F-500C-4429-BD8E-F621D448DD18}"/>
    <cellStyle name="Normal 9 2 3 5 2 3" xfId="12077" xr:uid="{19AE05FA-780C-4C05-BA7B-E67AC3F2D20C}"/>
    <cellStyle name="Normal 9 2 3 5 3" xfId="5711" xr:uid="{00000000-0005-0000-0000-0000501F0000}"/>
    <cellStyle name="Normal 9 2 3 5 3 2" xfId="14150" xr:uid="{4CEC88BC-E0F0-4DF0-9B3C-5B6B064BBB97}"/>
    <cellStyle name="Normal 9 2 3 5 4" xfId="9932" xr:uid="{E5043373-F18B-4ABB-B584-ED7834354B9F}"/>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16CEFF03-5FA5-4AD1-A1AB-73C3AEAD6933}"/>
    <cellStyle name="Normal 9 2 3 6 2 3" xfId="12490" xr:uid="{7883FF4E-B011-44B7-9A64-A0B5B95EF650}"/>
    <cellStyle name="Normal 9 2 3 6 3" xfId="6124" xr:uid="{00000000-0005-0000-0000-0000541F0000}"/>
    <cellStyle name="Normal 9 2 3 6 3 2" xfId="14563" xr:uid="{5BF9BF77-9E16-46C6-A561-AA7E24519878}"/>
    <cellStyle name="Normal 9 2 3 6 4" xfId="10345" xr:uid="{CB55C752-E2EF-41C6-88B0-7E9B08161DAC}"/>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7FF5F538-A52A-483E-BCF2-BFDB5B67AADB}"/>
    <cellStyle name="Normal 9 2 3 7 2 3" xfId="12903" xr:uid="{DA408F16-E2FD-4BFB-B6E3-5BF0E0EB259B}"/>
    <cellStyle name="Normal 9 2 3 7 3" xfId="6537" xr:uid="{00000000-0005-0000-0000-0000581F0000}"/>
    <cellStyle name="Normal 9 2 3 7 3 2" xfId="14976" xr:uid="{30DA6120-B81F-4F7D-AEC4-CF50125FD637}"/>
    <cellStyle name="Normal 9 2 3 7 4" xfId="10758" xr:uid="{8969DA85-AFAB-4EAE-89B3-2197A3D04759}"/>
    <cellStyle name="Normal 9 2 3 8" xfId="2666" xr:uid="{00000000-0005-0000-0000-0000591F0000}"/>
    <cellStyle name="Normal 9 2 3 8 2" xfId="6950" xr:uid="{00000000-0005-0000-0000-00005A1F0000}"/>
    <cellStyle name="Normal 9 2 3 8 2 2" xfId="15389" xr:uid="{B54BC085-0F56-4F08-81BC-AB9DB681314A}"/>
    <cellStyle name="Normal 9 2 3 8 3" xfId="11171" xr:uid="{1B8D7AF4-FF46-4C10-A2C9-326E55002C6A}"/>
    <cellStyle name="Normal 9 2 3 9" xfId="4885" xr:uid="{00000000-0005-0000-0000-00005B1F0000}"/>
    <cellStyle name="Normal 9 2 3 9 2" xfId="13324" xr:uid="{046CF95E-755B-45E5-B4AF-DB2D854544B5}"/>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73652ADD-7D64-4500-8195-A0BB2485E5D2}"/>
    <cellStyle name="Normal 9 2 4 2 2 2 3" xfId="11669" xr:uid="{8A43D782-FF9B-49F9-834D-732530E30A91}"/>
    <cellStyle name="Normal 9 2 4 2 2 3" xfId="5303" xr:uid="{00000000-0005-0000-0000-0000611F0000}"/>
    <cellStyle name="Normal 9 2 4 2 2 3 2" xfId="13742" xr:uid="{3ECEF38A-6862-4188-8830-3BC843D2D0CE}"/>
    <cellStyle name="Normal 9 2 4 2 2 4" xfId="9524" xr:uid="{4194EC95-96BD-45E2-981E-7D4A4ABFB84D}"/>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AA96DDCD-4B96-41B1-ADCA-32EBA9AC92D7}"/>
    <cellStyle name="Normal 9 2 4 2 3 2 3" xfId="12082" xr:uid="{CB06AE46-CB3B-4D9B-B343-50A1618A441C}"/>
    <cellStyle name="Normal 9 2 4 2 3 3" xfId="5716" xr:uid="{00000000-0005-0000-0000-0000651F0000}"/>
    <cellStyle name="Normal 9 2 4 2 3 3 2" xfId="14155" xr:uid="{BA480B61-E2EF-48B9-A00A-918AD32989BD}"/>
    <cellStyle name="Normal 9 2 4 2 3 4" xfId="9937" xr:uid="{F40078DE-8CE2-4169-BBCA-B9C7AC529308}"/>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3E2EE5FB-4FBA-4F8F-8A3F-8D7A9956314A}"/>
    <cellStyle name="Normal 9 2 4 2 4 2 3" xfId="12495" xr:uid="{CFDB9302-04D8-48E4-B8B0-B9B2B2532D62}"/>
    <cellStyle name="Normal 9 2 4 2 4 3" xfId="6129" xr:uid="{00000000-0005-0000-0000-0000691F0000}"/>
    <cellStyle name="Normal 9 2 4 2 4 3 2" xfId="14568" xr:uid="{578972CF-F465-4EEE-8DCA-626EBDF4C9F2}"/>
    <cellStyle name="Normal 9 2 4 2 4 4" xfId="10350" xr:uid="{C01DECB5-BF39-42FC-ABB8-E0557C91D5AE}"/>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EA60F4E1-2443-44D6-B500-8A4AD99FCD7C}"/>
    <cellStyle name="Normal 9 2 4 2 5 2 3" xfId="12908" xr:uid="{11C3AA27-26EB-49F4-ACA3-D4512D3015A1}"/>
    <cellStyle name="Normal 9 2 4 2 5 3" xfId="6542" xr:uid="{00000000-0005-0000-0000-00006D1F0000}"/>
    <cellStyle name="Normal 9 2 4 2 5 3 2" xfId="14981" xr:uid="{9E0EB60C-663C-4235-A72B-469A59167EFB}"/>
    <cellStyle name="Normal 9 2 4 2 5 4" xfId="10763" xr:uid="{4DC61CF8-6FB9-44C7-BC2F-639158B24F3B}"/>
    <cellStyle name="Normal 9 2 4 2 6" xfId="2671" xr:uid="{00000000-0005-0000-0000-00006E1F0000}"/>
    <cellStyle name="Normal 9 2 4 2 6 2" xfId="6955" xr:uid="{00000000-0005-0000-0000-00006F1F0000}"/>
    <cellStyle name="Normal 9 2 4 2 6 2 2" xfId="15394" xr:uid="{05AA045A-D2FB-4276-9AD8-3EAEFCA084D9}"/>
    <cellStyle name="Normal 9 2 4 2 6 3" xfId="11176" xr:uid="{EB57EBDC-D41E-47D3-9B56-6966BF0AD65C}"/>
    <cellStyle name="Normal 9 2 4 2 7" xfId="4890" xr:uid="{00000000-0005-0000-0000-0000701F0000}"/>
    <cellStyle name="Normal 9 2 4 2 7 2" xfId="13329" xr:uid="{A4545704-98C9-41F7-93BF-E0E14FBADEB1}"/>
    <cellStyle name="Normal 9 2 4 2 8" xfId="9111" xr:uid="{8F131A6F-F683-4C07-B59A-9D14BA9C0C0B}"/>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9633B739-6293-44B9-8F78-0F65911973FE}"/>
    <cellStyle name="Normal 9 2 4 3 2 3" xfId="11668" xr:uid="{BFBEE36F-2D05-462B-94F3-376DB8B6DFC2}"/>
    <cellStyle name="Normal 9 2 4 3 3" xfId="5302" xr:uid="{00000000-0005-0000-0000-0000741F0000}"/>
    <cellStyle name="Normal 9 2 4 3 3 2" xfId="13741" xr:uid="{E893F9ED-9D07-43BD-80A2-429AAF4F099A}"/>
    <cellStyle name="Normal 9 2 4 3 4" xfId="9523" xr:uid="{EE335B57-C541-4830-BC3A-D287541F0DFD}"/>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11ACF0F2-8DC3-4A8A-8FFA-F7BD5DCBAE99}"/>
    <cellStyle name="Normal 9 2 4 4 2 3" xfId="12081" xr:uid="{36289F7D-FA57-4248-9065-42CBEB60F7E0}"/>
    <cellStyle name="Normal 9 2 4 4 3" xfId="5715" xr:uid="{00000000-0005-0000-0000-0000781F0000}"/>
    <cellStyle name="Normal 9 2 4 4 3 2" xfId="14154" xr:uid="{B4B084BB-5DB5-48B6-9726-8455151D1EBD}"/>
    <cellStyle name="Normal 9 2 4 4 4" xfId="9936" xr:uid="{61A1C188-9E77-4DB2-BBDA-09595A120B86}"/>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B2FFD961-B537-4BFB-8687-BF1FD04D489D}"/>
    <cellStyle name="Normal 9 2 4 5 2 3" xfId="12494" xr:uid="{32B34AA3-FB19-46C0-92EB-61FB84F00B1A}"/>
    <cellStyle name="Normal 9 2 4 5 3" xfId="6128" xr:uid="{00000000-0005-0000-0000-00007C1F0000}"/>
    <cellStyle name="Normal 9 2 4 5 3 2" xfId="14567" xr:uid="{906F725F-25BA-4815-B7C8-D49F89D6E2D1}"/>
    <cellStyle name="Normal 9 2 4 5 4" xfId="10349" xr:uid="{63FBBB55-17CA-4B5C-AEEC-5CA4123CFF63}"/>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3A0AE8AB-9589-4B8B-B402-4F3984C653D2}"/>
    <cellStyle name="Normal 9 2 4 6 2 3" xfId="12907" xr:uid="{547FAE96-EAB2-42A0-A7C1-EC4EE759AB33}"/>
    <cellStyle name="Normal 9 2 4 6 3" xfId="6541" xr:uid="{00000000-0005-0000-0000-0000801F0000}"/>
    <cellStyle name="Normal 9 2 4 6 3 2" xfId="14980" xr:uid="{BAAD3681-01B8-45A3-B7FB-2EC6FDEF58A7}"/>
    <cellStyle name="Normal 9 2 4 6 4" xfId="10762" xr:uid="{4C3E87D7-954E-4EF2-8309-4A36628AA243}"/>
    <cellStyle name="Normal 9 2 4 7" xfId="2670" xr:uid="{00000000-0005-0000-0000-0000811F0000}"/>
    <cellStyle name="Normal 9 2 4 7 2" xfId="6954" xr:uid="{00000000-0005-0000-0000-0000821F0000}"/>
    <cellStyle name="Normal 9 2 4 7 2 2" xfId="15393" xr:uid="{4B221114-6CB8-4A4E-AD87-FA522FA6A35E}"/>
    <cellStyle name="Normal 9 2 4 7 3" xfId="11175" xr:uid="{F7D8F2D1-5C87-4097-A377-51834A7A2809}"/>
    <cellStyle name="Normal 9 2 4 8" xfId="4889" xr:uid="{00000000-0005-0000-0000-0000831F0000}"/>
    <cellStyle name="Normal 9 2 4 8 2" xfId="13328" xr:uid="{2E1A4524-9321-467E-8A3F-3E2CB4B22557}"/>
    <cellStyle name="Normal 9 2 4 9" xfId="9110" xr:uid="{33B76253-F27C-4E67-B99F-46AB90B92221}"/>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8ECA29BE-8165-4C10-9EDA-D7A840F55793}"/>
    <cellStyle name="Normal 9 2 5 2 2 3" xfId="11670" xr:uid="{0DBECB29-C96F-4062-BA8F-151B8F66E487}"/>
    <cellStyle name="Normal 9 2 5 2 3" xfId="5304" xr:uid="{00000000-0005-0000-0000-0000881F0000}"/>
    <cellStyle name="Normal 9 2 5 2 3 2" xfId="13743" xr:uid="{50148CDF-E1BB-4150-BB56-E702AA83A03C}"/>
    <cellStyle name="Normal 9 2 5 2 4" xfId="9525" xr:uid="{CE941B75-74A9-408A-AC25-17695243555C}"/>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80A5536D-2861-4951-8AB9-8C3BC3E4E6CE}"/>
    <cellStyle name="Normal 9 2 5 3 2 3" xfId="12083" xr:uid="{E68C2FCB-95C4-4678-A7AE-D05BDE42CDE3}"/>
    <cellStyle name="Normal 9 2 5 3 3" xfId="5717" xr:uid="{00000000-0005-0000-0000-00008C1F0000}"/>
    <cellStyle name="Normal 9 2 5 3 3 2" xfId="14156" xr:uid="{4F91FB8A-805C-405C-B14D-9B66CB8115BF}"/>
    <cellStyle name="Normal 9 2 5 3 4" xfId="9938" xr:uid="{1FB2DC11-D478-4D56-9F29-8D193896B197}"/>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FC464801-75E3-493B-BCF4-6D765AD084E7}"/>
    <cellStyle name="Normal 9 2 5 4 2 3" xfId="12496" xr:uid="{9985DF6B-A0B8-46B0-89D4-F20ABA5CF09A}"/>
    <cellStyle name="Normal 9 2 5 4 3" xfId="6130" xr:uid="{00000000-0005-0000-0000-0000901F0000}"/>
    <cellStyle name="Normal 9 2 5 4 3 2" xfId="14569" xr:uid="{76C7502B-E8B2-45FF-A1A1-336FAB190005}"/>
    <cellStyle name="Normal 9 2 5 4 4" xfId="10351" xr:uid="{005271BA-E0A9-44CF-BF2A-9ACF1E20EC37}"/>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77C0CB2C-BE09-4331-B804-DFC87FA5C0C5}"/>
    <cellStyle name="Normal 9 2 5 5 2 3" xfId="12909" xr:uid="{CA3065DE-2667-4FED-B0A1-B64E96659751}"/>
    <cellStyle name="Normal 9 2 5 5 3" xfId="6543" xr:uid="{00000000-0005-0000-0000-0000941F0000}"/>
    <cellStyle name="Normal 9 2 5 5 3 2" xfId="14982" xr:uid="{E58FDFB4-1D50-403D-A8EB-4F5FD19A5DB3}"/>
    <cellStyle name="Normal 9 2 5 5 4" xfId="10764" xr:uid="{DC0A2577-C826-44C9-BF49-752CA073070C}"/>
    <cellStyle name="Normal 9 2 5 6" xfId="2672" xr:uid="{00000000-0005-0000-0000-0000951F0000}"/>
    <cellStyle name="Normal 9 2 5 6 2" xfId="6956" xr:uid="{00000000-0005-0000-0000-0000961F0000}"/>
    <cellStyle name="Normal 9 2 5 6 2 2" xfId="15395" xr:uid="{296DFE9A-B884-497C-887F-A00E1634BAF5}"/>
    <cellStyle name="Normal 9 2 5 6 3" xfId="11177" xr:uid="{576662FB-BD40-4A98-83AF-6067410091FC}"/>
    <cellStyle name="Normal 9 2 5 7" xfId="4891" xr:uid="{00000000-0005-0000-0000-0000971F0000}"/>
    <cellStyle name="Normal 9 2 5 7 2" xfId="13330" xr:uid="{7B74EB41-C081-432F-83C6-15C5B6C634E7}"/>
    <cellStyle name="Normal 9 2 5 8" xfId="9112" xr:uid="{F5BF24FE-7440-4A52-8A13-9DDDF6929B04}"/>
    <cellStyle name="Normal 9 2 6" xfId="978" xr:uid="{00000000-0005-0000-0000-0000981F0000}"/>
    <cellStyle name="Normal 9 2 6 2" xfId="3211" xr:uid="{00000000-0005-0000-0000-0000991F0000}"/>
    <cellStyle name="Normal 9 2 6 2 2" xfId="7434" xr:uid="{00000000-0005-0000-0000-00009A1F0000}"/>
    <cellStyle name="Normal 9 2 6 2 2 2" xfId="15873" xr:uid="{391F803A-07FD-43C5-B65F-3B901BD0F092}"/>
    <cellStyle name="Normal 9 2 6 2 3" xfId="11655" xr:uid="{16E41B27-35B5-4DEF-AA7B-FB5DEF643FF3}"/>
    <cellStyle name="Normal 9 2 6 3" xfId="5289" xr:uid="{00000000-0005-0000-0000-00009B1F0000}"/>
    <cellStyle name="Normal 9 2 6 3 2" xfId="13728" xr:uid="{24EE88EE-249E-4142-B21B-5889B33C7514}"/>
    <cellStyle name="Normal 9 2 6 4" xfId="9510" xr:uid="{E1D78BC7-9837-47F5-BAD6-A5966DA85687}"/>
    <cellStyle name="Normal 9 2 7" xfId="1394" xr:uid="{00000000-0005-0000-0000-00009C1F0000}"/>
    <cellStyle name="Normal 9 2 7 2" xfId="3624" xr:uid="{00000000-0005-0000-0000-00009D1F0000}"/>
    <cellStyle name="Normal 9 2 7 2 2" xfId="7847" xr:uid="{00000000-0005-0000-0000-00009E1F0000}"/>
    <cellStyle name="Normal 9 2 7 2 2 2" xfId="16286" xr:uid="{9A6B345C-8B8E-4E86-8D73-2E5ACD9BCA66}"/>
    <cellStyle name="Normal 9 2 7 2 3" xfId="12068" xr:uid="{21B4B8F1-CE51-47C6-B66E-6FF9CECD904C}"/>
    <cellStyle name="Normal 9 2 7 3" xfId="5702" xr:uid="{00000000-0005-0000-0000-00009F1F0000}"/>
    <cellStyle name="Normal 9 2 7 3 2" xfId="14141" xr:uid="{F3A4CD81-152B-4824-8DD2-804812874C21}"/>
    <cellStyle name="Normal 9 2 7 4" xfId="9923" xr:uid="{D273786E-D80A-4131-81BF-1F9F1FDD984B}"/>
    <cellStyle name="Normal 9 2 8" xfId="1807" xr:uid="{00000000-0005-0000-0000-0000A01F0000}"/>
    <cellStyle name="Normal 9 2 8 2" xfId="4037" xr:uid="{00000000-0005-0000-0000-0000A11F0000}"/>
    <cellStyle name="Normal 9 2 8 2 2" xfId="8260" xr:uid="{00000000-0005-0000-0000-0000A21F0000}"/>
    <cellStyle name="Normal 9 2 8 2 2 2" xfId="16699" xr:uid="{2C6FC854-08BC-4216-9966-041D08BDEDC5}"/>
    <cellStyle name="Normal 9 2 8 2 3" xfId="12481" xr:uid="{AA67B68E-BC6D-4236-9075-320F1F355D88}"/>
    <cellStyle name="Normal 9 2 8 3" xfId="6115" xr:uid="{00000000-0005-0000-0000-0000A31F0000}"/>
    <cellStyle name="Normal 9 2 8 3 2" xfId="14554" xr:uid="{5698D052-4517-4810-AA9C-730ADC6F1EE1}"/>
    <cellStyle name="Normal 9 2 8 4" xfId="10336" xr:uid="{F15B5093-41D1-448F-9D06-E9247241A07C}"/>
    <cellStyle name="Normal 9 2 9" xfId="2221" xr:uid="{00000000-0005-0000-0000-0000A41F0000}"/>
    <cellStyle name="Normal 9 2 9 2" xfId="4450" xr:uid="{00000000-0005-0000-0000-0000A51F0000}"/>
    <cellStyle name="Normal 9 2 9 2 2" xfId="8673" xr:uid="{00000000-0005-0000-0000-0000A61F0000}"/>
    <cellStyle name="Normal 9 2 9 2 2 2" xfId="17112" xr:uid="{6562983B-202A-418C-8504-ED62CF00F644}"/>
    <cellStyle name="Normal 9 2 9 2 3" xfId="12894" xr:uid="{5EFE3091-8B7E-4F13-B942-0596A8B97765}"/>
    <cellStyle name="Normal 9 2 9 3" xfId="6528" xr:uid="{00000000-0005-0000-0000-0000A71F0000}"/>
    <cellStyle name="Normal 9 2 9 3 2" xfId="14967" xr:uid="{70729B84-3EBB-4767-8643-EC2C3C63A10F}"/>
    <cellStyle name="Normal 9 2 9 4" xfId="10749" xr:uid="{DD4595B8-4ED7-434B-8921-A43F6055977E}"/>
    <cellStyle name="Normal 9 3" xfId="527" xr:uid="{00000000-0005-0000-0000-0000A81F0000}"/>
    <cellStyle name="Normal 9 3 10" xfId="4892" xr:uid="{00000000-0005-0000-0000-0000A91F0000}"/>
    <cellStyle name="Normal 9 3 10 2" xfId="13331" xr:uid="{CBB14054-FA3C-4E4B-A296-EC292156B514}"/>
    <cellStyle name="Normal 9 3 11" xfId="9113" xr:uid="{5FE5FCAB-0D3F-446D-8A69-97FC509533AC}"/>
    <cellStyle name="Normal 9 3 2" xfId="528" xr:uid="{00000000-0005-0000-0000-0000AA1F0000}"/>
    <cellStyle name="Normal 9 3 2 10" xfId="9114" xr:uid="{4D997467-5566-4577-AC53-985A5632588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2F9FFE14-42E7-48C0-A7B0-E9F65298DD4E}"/>
    <cellStyle name="Normal 9 3 2 2 2 2 2 3" xfId="11674" xr:uid="{C9AFB043-EB00-4228-AD72-C7608DF825F7}"/>
    <cellStyle name="Normal 9 3 2 2 2 2 3" xfId="5308" xr:uid="{00000000-0005-0000-0000-0000B01F0000}"/>
    <cellStyle name="Normal 9 3 2 2 2 2 3 2" xfId="13747" xr:uid="{80D59261-5E8B-4BA2-AF04-75EA8314E03C}"/>
    <cellStyle name="Normal 9 3 2 2 2 2 4" xfId="9529" xr:uid="{BBF4C241-4560-4159-918B-1F9D3F439C8E}"/>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7DD24FC0-06F5-462A-B0A5-2BB5F9FF7A74}"/>
    <cellStyle name="Normal 9 3 2 2 2 3 2 3" xfId="12087" xr:uid="{7109305E-7F77-4B27-AD1A-EEAC7B3C8BD1}"/>
    <cellStyle name="Normal 9 3 2 2 2 3 3" xfId="5721" xr:uid="{00000000-0005-0000-0000-0000B41F0000}"/>
    <cellStyle name="Normal 9 3 2 2 2 3 3 2" xfId="14160" xr:uid="{85A6B568-8E3F-4BF8-9321-F3F10B968C67}"/>
    <cellStyle name="Normal 9 3 2 2 2 3 4" xfId="9942" xr:uid="{08678286-20BD-49E6-B539-06B037C951AC}"/>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B1FC7B75-B9A6-4E97-AEFB-97737DBAE311}"/>
    <cellStyle name="Normal 9 3 2 2 2 4 2 3" xfId="12500" xr:uid="{58CC3F36-23FC-4D3B-A5F5-5643FB272C2C}"/>
    <cellStyle name="Normal 9 3 2 2 2 4 3" xfId="6134" xr:uid="{00000000-0005-0000-0000-0000B81F0000}"/>
    <cellStyle name="Normal 9 3 2 2 2 4 3 2" xfId="14573" xr:uid="{0E68CCC4-795D-4971-B670-157BA48D2C0B}"/>
    <cellStyle name="Normal 9 3 2 2 2 4 4" xfId="10355" xr:uid="{51D4B338-51EF-4A74-A69E-8E2D559DF155}"/>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B6C164F0-5966-448E-AEF7-023017759568}"/>
    <cellStyle name="Normal 9 3 2 2 2 5 2 3" xfId="12913" xr:uid="{91162180-95E4-45EE-B0F7-FCEAE5F34B58}"/>
    <cellStyle name="Normal 9 3 2 2 2 5 3" xfId="6547" xr:uid="{00000000-0005-0000-0000-0000BC1F0000}"/>
    <cellStyle name="Normal 9 3 2 2 2 5 3 2" xfId="14986" xr:uid="{4548C790-D4FC-4B5B-A8A5-8780BCE28EDD}"/>
    <cellStyle name="Normal 9 3 2 2 2 5 4" xfId="10768" xr:uid="{1540219C-EFF8-4780-82FA-7E251EE7932C}"/>
    <cellStyle name="Normal 9 3 2 2 2 6" xfId="2676" xr:uid="{00000000-0005-0000-0000-0000BD1F0000}"/>
    <cellStyle name="Normal 9 3 2 2 2 6 2" xfId="6960" xr:uid="{00000000-0005-0000-0000-0000BE1F0000}"/>
    <cellStyle name="Normal 9 3 2 2 2 6 2 2" xfId="15399" xr:uid="{133B6578-2F3D-49AE-9E9B-3434303F09D0}"/>
    <cellStyle name="Normal 9 3 2 2 2 6 3" xfId="11181" xr:uid="{1CB3E881-AB19-40E6-A794-91FFFC935A6A}"/>
    <cellStyle name="Normal 9 3 2 2 2 7" xfId="4895" xr:uid="{00000000-0005-0000-0000-0000BF1F0000}"/>
    <cellStyle name="Normal 9 3 2 2 2 7 2" xfId="13334" xr:uid="{CD0C5BA5-0608-4A2D-9DED-9EA04A35F410}"/>
    <cellStyle name="Normal 9 3 2 2 2 8" xfId="9116" xr:uid="{912A62DE-1DA8-4882-B5A1-25581C95DCDD}"/>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DB472C6B-012B-4E3D-8803-998E4985D158}"/>
    <cellStyle name="Normal 9 3 2 2 3 2 3" xfId="11673" xr:uid="{80677D63-9816-48EC-B1F7-B21B451853C2}"/>
    <cellStyle name="Normal 9 3 2 2 3 3" xfId="5307" xr:uid="{00000000-0005-0000-0000-0000C31F0000}"/>
    <cellStyle name="Normal 9 3 2 2 3 3 2" xfId="13746" xr:uid="{39D0081E-76B5-4701-AC33-12C3F2227874}"/>
    <cellStyle name="Normal 9 3 2 2 3 4" xfId="9528" xr:uid="{8E8A7AB7-0432-4901-98CD-9E670A4CE7EE}"/>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7610A703-A378-4B17-B1C3-1D47B83A9626}"/>
    <cellStyle name="Normal 9 3 2 2 4 2 3" xfId="12086" xr:uid="{9C5C19B4-15FC-4C8C-B04B-223F1B303269}"/>
    <cellStyle name="Normal 9 3 2 2 4 3" xfId="5720" xr:uid="{00000000-0005-0000-0000-0000C71F0000}"/>
    <cellStyle name="Normal 9 3 2 2 4 3 2" xfId="14159" xr:uid="{CAECBA97-33BA-4D0E-BC5C-8EEECE6EE1ED}"/>
    <cellStyle name="Normal 9 3 2 2 4 4" xfId="9941" xr:uid="{41F49AB5-CCE9-4384-8443-353BF2F0D004}"/>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54C79CCC-F0DE-4ED3-9F8A-F964F30F235F}"/>
    <cellStyle name="Normal 9 3 2 2 5 2 3" xfId="12499" xr:uid="{9A8C6C90-E537-4D1C-BEC6-33B1FAE2A908}"/>
    <cellStyle name="Normal 9 3 2 2 5 3" xfId="6133" xr:uid="{00000000-0005-0000-0000-0000CB1F0000}"/>
    <cellStyle name="Normal 9 3 2 2 5 3 2" xfId="14572" xr:uid="{A33EC4E7-36EB-4D04-A74A-AF76B8C2AF35}"/>
    <cellStyle name="Normal 9 3 2 2 5 4" xfId="10354" xr:uid="{B9958534-7B6C-4114-916C-4D3788EFC2AD}"/>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4A019444-FC8B-41D9-B706-1C8B086A0557}"/>
    <cellStyle name="Normal 9 3 2 2 6 2 3" xfId="12912" xr:uid="{6AC07220-8CFB-4833-AF1B-882526C1A9DB}"/>
    <cellStyle name="Normal 9 3 2 2 6 3" xfId="6546" xr:uid="{00000000-0005-0000-0000-0000CF1F0000}"/>
    <cellStyle name="Normal 9 3 2 2 6 3 2" xfId="14985" xr:uid="{D1DA6913-96DB-44BF-B634-64642A4B3532}"/>
    <cellStyle name="Normal 9 3 2 2 6 4" xfId="10767" xr:uid="{2EDA54D8-8BE8-4F33-AC78-C623751F07CB}"/>
    <cellStyle name="Normal 9 3 2 2 7" xfId="2675" xr:uid="{00000000-0005-0000-0000-0000D01F0000}"/>
    <cellStyle name="Normal 9 3 2 2 7 2" xfId="6959" xr:uid="{00000000-0005-0000-0000-0000D11F0000}"/>
    <cellStyle name="Normal 9 3 2 2 7 2 2" xfId="15398" xr:uid="{712F2E6A-788F-4B9C-975D-A981EBA433CC}"/>
    <cellStyle name="Normal 9 3 2 2 7 3" xfId="11180" xr:uid="{53476A0E-9207-47CE-A31A-4263EF851592}"/>
    <cellStyle name="Normal 9 3 2 2 8" xfId="4894" xr:uid="{00000000-0005-0000-0000-0000D21F0000}"/>
    <cellStyle name="Normal 9 3 2 2 8 2" xfId="13333" xr:uid="{8CA044EF-996A-4BE5-876B-105F7C67E925}"/>
    <cellStyle name="Normal 9 3 2 2 9" xfId="9115" xr:uid="{B227C7DF-83B5-46A1-91AD-1AD0111E96F5}"/>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FFF840E7-4520-45D2-AE3E-0B6DA2B03A44}"/>
    <cellStyle name="Normal 9 3 2 3 2 2 3" xfId="11675" xr:uid="{6BE42020-3CC5-40DC-9DC6-ACF7280057BC}"/>
    <cellStyle name="Normal 9 3 2 3 2 3" xfId="5309" xr:uid="{00000000-0005-0000-0000-0000D71F0000}"/>
    <cellStyle name="Normal 9 3 2 3 2 3 2" xfId="13748" xr:uid="{8B75F566-2B7A-4D36-B657-F24EA2EADC40}"/>
    <cellStyle name="Normal 9 3 2 3 2 4" xfId="9530" xr:uid="{D698ED4A-7D6B-4CDD-8529-83E487BAF4CD}"/>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A3C3CEC8-3D7C-44BA-951D-F7BD38F32F7C}"/>
    <cellStyle name="Normal 9 3 2 3 3 2 3" xfId="12088" xr:uid="{749A8A7B-1991-441A-985C-66F38D4CFFA9}"/>
    <cellStyle name="Normal 9 3 2 3 3 3" xfId="5722" xr:uid="{00000000-0005-0000-0000-0000DB1F0000}"/>
    <cellStyle name="Normal 9 3 2 3 3 3 2" xfId="14161" xr:uid="{55253916-216F-46DB-ABAF-A7CF3D531219}"/>
    <cellStyle name="Normal 9 3 2 3 3 4" xfId="9943" xr:uid="{8CD00144-76DA-4EB6-800F-F4EE304000F5}"/>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7C059C2C-7616-46EC-9EA0-74154388937C}"/>
    <cellStyle name="Normal 9 3 2 3 4 2 3" xfId="12501" xr:uid="{7AB86C8C-EB27-451E-A7AF-0358ABC3CEF9}"/>
    <cellStyle name="Normal 9 3 2 3 4 3" xfId="6135" xr:uid="{00000000-0005-0000-0000-0000DF1F0000}"/>
    <cellStyle name="Normal 9 3 2 3 4 3 2" xfId="14574" xr:uid="{3F489A3E-F98A-416A-8ADC-A3874C274F1C}"/>
    <cellStyle name="Normal 9 3 2 3 4 4" xfId="10356" xr:uid="{1E2B3D5E-21BA-48B1-A2BA-04A334EBAB6D}"/>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263E6DEB-99A2-4DE3-A894-C51E3DF16DC3}"/>
    <cellStyle name="Normal 9 3 2 3 5 2 3" xfId="12914" xr:uid="{935DE0B3-2EAF-4CE5-9DF9-E1906484EC36}"/>
    <cellStyle name="Normal 9 3 2 3 5 3" xfId="6548" xr:uid="{00000000-0005-0000-0000-0000E31F0000}"/>
    <cellStyle name="Normal 9 3 2 3 5 3 2" xfId="14987" xr:uid="{0E781C67-C787-4648-8854-8A146B04047A}"/>
    <cellStyle name="Normal 9 3 2 3 5 4" xfId="10769" xr:uid="{2FE696E3-4F44-4E86-BBF8-B3E7E97A11FA}"/>
    <cellStyle name="Normal 9 3 2 3 6" xfId="2677" xr:uid="{00000000-0005-0000-0000-0000E41F0000}"/>
    <cellStyle name="Normal 9 3 2 3 6 2" xfId="6961" xr:uid="{00000000-0005-0000-0000-0000E51F0000}"/>
    <cellStyle name="Normal 9 3 2 3 6 2 2" xfId="15400" xr:uid="{C3C2EEE7-413F-42F1-BAEC-D91866E4495E}"/>
    <cellStyle name="Normal 9 3 2 3 6 3" xfId="11182" xr:uid="{32972FC7-D1C3-4A16-B28E-0BC32EF2160F}"/>
    <cellStyle name="Normal 9 3 2 3 7" xfId="4896" xr:uid="{00000000-0005-0000-0000-0000E61F0000}"/>
    <cellStyle name="Normal 9 3 2 3 7 2" xfId="13335" xr:uid="{16E27242-2184-4B79-B28C-4169F08F4B8F}"/>
    <cellStyle name="Normal 9 3 2 3 8" xfId="9117" xr:uid="{5C23E7D9-9C3B-41AF-96F3-5C278D078829}"/>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81CD2BE5-430A-42E0-B835-6970C01A4DC9}"/>
    <cellStyle name="Normal 9 3 2 4 2 3" xfId="11672" xr:uid="{A0F416E7-AEE1-4CDC-B2E2-514D35DF7576}"/>
    <cellStyle name="Normal 9 3 2 4 3" xfId="5306" xr:uid="{00000000-0005-0000-0000-0000EA1F0000}"/>
    <cellStyle name="Normal 9 3 2 4 3 2" xfId="13745" xr:uid="{CBF4BE0A-AD7F-4D87-9EF4-1988F139716F}"/>
    <cellStyle name="Normal 9 3 2 4 4" xfId="9527" xr:uid="{0BF9D018-7DB7-4EE3-BABA-72C34F13E738}"/>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DBE2EF20-50C4-4B0E-BAFF-EB9BC8986676}"/>
    <cellStyle name="Normal 9 3 2 5 2 3" xfId="12085" xr:uid="{56EF26E2-E1D8-47C7-A298-CE30CE6E62B9}"/>
    <cellStyle name="Normal 9 3 2 5 3" xfId="5719" xr:uid="{00000000-0005-0000-0000-0000EE1F0000}"/>
    <cellStyle name="Normal 9 3 2 5 3 2" xfId="14158" xr:uid="{746640A3-D973-4D25-B0BC-EF0FBD830CA7}"/>
    <cellStyle name="Normal 9 3 2 5 4" xfId="9940" xr:uid="{E76FEAC4-3E06-421E-8C88-B117161691EC}"/>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E27145C1-E6F1-4D5F-A27B-AFF1CA54ADE5}"/>
    <cellStyle name="Normal 9 3 2 6 2 3" xfId="12498" xr:uid="{4F5164C0-3EE9-44BE-93B0-1F975893DF65}"/>
    <cellStyle name="Normal 9 3 2 6 3" xfId="6132" xr:uid="{00000000-0005-0000-0000-0000F21F0000}"/>
    <cellStyle name="Normal 9 3 2 6 3 2" xfId="14571" xr:uid="{1F182E9E-254A-4D04-944C-4A34507CC297}"/>
    <cellStyle name="Normal 9 3 2 6 4" xfId="10353" xr:uid="{6A208E90-1671-4460-9B32-6CF851F7A527}"/>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964122AB-47E0-4CE1-8C3D-5D2CE5D49EDD}"/>
    <cellStyle name="Normal 9 3 2 7 2 3" xfId="12911" xr:uid="{CDAE3877-0A2C-44D1-95A9-3ABEA63AEA16}"/>
    <cellStyle name="Normal 9 3 2 7 3" xfId="6545" xr:uid="{00000000-0005-0000-0000-0000F61F0000}"/>
    <cellStyle name="Normal 9 3 2 7 3 2" xfId="14984" xr:uid="{77955D31-4844-4D2F-9CE2-B549969124F9}"/>
    <cellStyle name="Normal 9 3 2 7 4" xfId="10766" xr:uid="{3A2A67F0-7393-4810-BC70-DE9F3735459E}"/>
    <cellStyle name="Normal 9 3 2 8" xfId="2674" xr:uid="{00000000-0005-0000-0000-0000F71F0000}"/>
    <cellStyle name="Normal 9 3 2 8 2" xfId="6958" xr:uid="{00000000-0005-0000-0000-0000F81F0000}"/>
    <cellStyle name="Normal 9 3 2 8 2 2" xfId="15397" xr:uid="{5D41AE7F-3151-4238-B7C1-4E75FE6C72A0}"/>
    <cellStyle name="Normal 9 3 2 8 3" xfId="11179" xr:uid="{5C51FC89-9195-4F83-8DEE-93D13E73EC47}"/>
    <cellStyle name="Normal 9 3 2 9" xfId="4893" xr:uid="{00000000-0005-0000-0000-0000F91F0000}"/>
    <cellStyle name="Normal 9 3 2 9 2" xfId="13332" xr:uid="{F162CF45-24BD-4E83-A439-DF49C3270C07}"/>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4A6673D2-07EA-4749-A55F-65FD62E457FA}"/>
    <cellStyle name="Normal 9 3 3 2 2 2 3" xfId="11677" xr:uid="{8597C8A3-3176-48B4-AFE8-5382CE9EBCB8}"/>
    <cellStyle name="Normal 9 3 3 2 2 3" xfId="5311" xr:uid="{00000000-0005-0000-0000-0000FF1F0000}"/>
    <cellStyle name="Normal 9 3 3 2 2 3 2" xfId="13750" xr:uid="{59501B5B-9BB0-41FD-9639-942E4C3AC0A6}"/>
    <cellStyle name="Normal 9 3 3 2 2 4" xfId="9532" xr:uid="{3DF04253-3675-444D-96F2-22F71F212A5D}"/>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AF0584DC-7D7D-4108-B1F6-EACD0B0DE3B6}"/>
    <cellStyle name="Normal 9 3 3 2 3 2 3" xfId="12090" xr:uid="{D9F38F35-FB1C-4DE5-9611-C087AE66C9F8}"/>
    <cellStyle name="Normal 9 3 3 2 3 3" xfId="5724" xr:uid="{00000000-0005-0000-0000-000003200000}"/>
    <cellStyle name="Normal 9 3 3 2 3 3 2" xfId="14163" xr:uid="{D234AF09-3843-43A2-80BB-74892478338F}"/>
    <cellStyle name="Normal 9 3 3 2 3 4" xfId="9945" xr:uid="{F22C038F-FE2E-4444-B4D7-F86DA0E02B7A}"/>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3F5C5D4F-BA7C-4911-8415-47C95B2A9CEF}"/>
    <cellStyle name="Normal 9 3 3 2 4 2 3" xfId="12503" xr:uid="{22D10A96-5598-47E4-B113-FF82B1F5698D}"/>
    <cellStyle name="Normal 9 3 3 2 4 3" xfId="6137" xr:uid="{00000000-0005-0000-0000-000007200000}"/>
    <cellStyle name="Normal 9 3 3 2 4 3 2" xfId="14576" xr:uid="{AFB19436-5C0A-4F84-AD46-48B1D2BDE4E2}"/>
    <cellStyle name="Normal 9 3 3 2 4 4" xfId="10358" xr:uid="{541CC3D6-B0F6-4AF0-8FD4-356F4CC8ED6B}"/>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859B398A-DF64-493B-8091-1DE94BEDD025}"/>
    <cellStyle name="Normal 9 3 3 2 5 2 3" xfId="12916" xr:uid="{38F331F2-A077-46A5-BABA-375801BC1179}"/>
    <cellStyle name="Normal 9 3 3 2 5 3" xfId="6550" xr:uid="{00000000-0005-0000-0000-00000B200000}"/>
    <cellStyle name="Normal 9 3 3 2 5 3 2" xfId="14989" xr:uid="{2E8E12A6-1148-42BF-BFE8-840570DEE8E8}"/>
    <cellStyle name="Normal 9 3 3 2 5 4" xfId="10771" xr:uid="{27B97275-2492-42C0-B780-39DC51EFC94D}"/>
    <cellStyle name="Normal 9 3 3 2 6" xfId="2679" xr:uid="{00000000-0005-0000-0000-00000C200000}"/>
    <cellStyle name="Normal 9 3 3 2 6 2" xfId="6963" xr:uid="{00000000-0005-0000-0000-00000D200000}"/>
    <cellStyle name="Normal 9 3 3 2 6 2 2" xfId="15402" xr:uid="{C866FE76-EC20-47E9-9A87-0556C0E43FC3}"/>
    <cellStyle name="Normal 9 3 3 2 6 3" xfId="11184" xr:uid="{89607EED-9264-4A94-8DFC-131C8C8F8800}"/>
    <cellStyle name="Normal 9 3 3 2 7" xfId="4898" xr:uid="{00000000-0005-0000-0000-00000E200000}"/>
    <cellStyle name="Normal 9 3 3 2 7 2" xfId="13337" xr:uid="{5D0E0DC8-507B-42EC-824A-A1993FB31D6D}"/>
    <cellStyle name="Normal 9 3 3 2 8" xfId="9119" xr:uid="{B124AB64-5584-455C-9ED5-D0707D015CEE}"/>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790F9A38-C5D5-445B-A955-128004D06C39}"/>
    <cellStyle name="Normal 9 3 3 3 2 3" xfId="11676" xr:uid="{E175D1AB-04D6-4D3D-BC24-BF53BD3A8107}"/>
    <cellStyle name="Normal 9 3 3 3 3" xfId="5310" xr:uid="{00000000-0005-0000-0000-000012200000}"/>
    <cellStyle name="Normal 9 3 3 3 3 2" xfId="13749" xr:uid="{7E6364A7-9661-476B-BB13-DA1EA333627D}"/>
    <cellStyle name="Normal 9 3 3 3 4" xfId="9531" xr:uid="{6DE48830-3532-4279-8A89-B5ED763E7464}"/>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E9D0E9A2-99E0-481C-8DFF-0B614FE2A6E6}"/>
    <cellStyle name="Normal 9 3 3 4 2 3" xfId="12089" xr:uid="{7E26261C-87CD-49CB-AC7C-A709A4B17E52}"/>
    <cellStyle name="Normal 9 3 3 4 3" xfId="5723" xr:uid="{00000000-0005-0000-0000-000016200000}"/>
    <cellStyle name="Normal 9 3 3 4 3 2" xfId="14162" xr:uid="{2EA1671B-B8AB-42D1-95FC-E9E1BC269A34}"/>
    <cellStyle name="Normal 9 3 3 4 4" xfId="9944" xr:uid="{A66F0385-B2F6-4773-A04E-F25A3C5D17D8}"/>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67CF080F-BD04-4C56-8E23-083FF96F54F8}"/>
    <cellStyle name="Normal 9 3 3 5 2 3" xfId="12502" xr:uid="{771FB74E-FDBD-4433-99EF-BDB7184BB70A}"/>
    <cellStyle name="Normal 9 3 3 5 3" xfId="6136" xr:uid="{00000000-0005-0000-0000-00001A200000}"/>
    <cellStyle name="Normal 9 3 3 5 3 2" xfId="14575" xr:uid="{35DDD6E1-EA20-4371-A15B-05853AFCE9DF}"/>
    <cellStyle name="Normal 9 3 3 5 4" xfId="10357" xr:uid="{8DB3FFA0-80E2-4E64-9542-51AB770D527D}"/>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50C642F8-FE69-4BBD-84EE-64442A2E4098}"/>
    <cellStyle name="Normal 9 3 3 6 2 3" xfId="12915" xr:uid="{953B4A6D-C4D0-4559-B085-D66C8A51F628}"/>
    <cellStyle name="Normal 9 3 3 6 3" xfId="6549" xr:uid="{00000000-0005-0000-0000-00001E200000}"/>
    <cellStyle name="Normal 9 3 3 6 3 2" xfId="14988" xr:uid="{C45AAE66-0370-4913-8DEE-6C28DDB900DD}"/>
    <cellStyle name="Normal 9 3 3 6 4" xfId="10770" xr:uid="{C23D0EE2-5D86-4BE0-9DE5-4594C45C7771}"/>
    <cellStyle name="Normal 9 3 3 7" xfId="2678" xr:uid="{00000000-0005-0000-0000-00001F200000}"/>
    <cellStyle name="Normal 9 3 3 7 2" xfId="6962" xr:uid="{00000000-0005-0000-0000-000020200000}"/>
    <cellStyle name="Normal 9 3 3 7 2 2" xfId="15401" xr:uid="{F8491008-69D9-450D-90DD-54BE8BC1F6BD}"/>
    <cellStyle name="Normal 9 3 3 7 3" xfId="11183" xr:uid="{85701054-058F-45C4-AF44-BF5A087B5313}"/>
    <cellStyle name="Normal 9 3 3 8" xfId="4897" xr:uid="{00000000-0005-0000-0000-000021200000}"/>
    <cellStyle name="Normal 9 3 3 8 2" xfId="13336" xr:uid="{71100CC3-5211-4C01-930C-90C6D598AAD7}"/>
    <cellStyle name="Normal 9 3 3 9" xfId="9118" xr:uid="{BBB72824-D5DE-4D49-BC6B-DB87A6687447}"/>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D8D36902-A08C-413E-9EDA-D4FB777F82DE}"/>
    <cellStyle name="Normal 9 3 4 2 2 3" xfId="11678" xr:uid="{92DEFB56-1191-441B-9AF7-30C76266A0EB}"/>
    <cellStyle name="Normal 9 3 4 2 3" xfId="5312" xr:uid="{00000000-0005-0000-0000-000026200000}"/>
    <cellStyle name="Normal 9 3 4 2 3 2" xfId="13751" xr:uid="{2C439C65-3019-4AAF-B739-5AC68A820C46}"/>
    <cellStyle name="Normal 9 3 4 2 4" xfId="9533" xr:uid="{8E7FBC68-3D8B-4C20-B266-82948BCA3017}"/>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AA1B4E14-18E3-49F8-9F78-612B37503259}"/>
    <cellStyle name="Normal 9 3 4 3 2 3" xfId="12091" xr:uid="{0059D24B-105E-4CA4-BF73-FA9DE3D91EC5}"/>
    <cellStyle name="Normal 9 3 4 3 3" xfId="5725" xr:uid="{00000000-0005-0000-0000-00002A200000}"/>
    <cellStyle name="Normal 9 3 4 3 3 2" xfId="14164" xr:uid="{14F0416E-BC08-400B-ADCC-86E34EE964C0}"/>
    <cellStyle name="Normal 9 3 4 3 4" xfId="9946" xr:uid="{CB278744-63D9-4830-8805-ECF06C6920F7}"/>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3FBBC057-647D-4412-832A-037FC38E929E}"/>
    <cellStyle name="Normal 9 3 4 4 2 3" xfId="12504" xr:uid="{12AC9042-6F32-4854-B1EE-0D9DF2CF67EE}"/>
    <cellStyle name="Normal 9 3 4 4 3" xfId="6138" xr:uid="{00000000-0005-0000-0000-00002E200000}"/>
    <cellStyle name="Normal 9 3 4 4 3 2" xfId="14577" xr:uid="{308EBFBB-67C7-46D8-9410-762A2D07022B}"/>
    <cellStyle name="Normal 9 3 4 4 4" xfId="10359" xr:uid="{6AC945D3-6229-4B18-AB01-798BF2EAEE0C}"/>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C4671A97-0EB2-4B55-A2ED-41569D1B58D2}"/>
    <cellStyle name="Normal 9 3 4 5 2 3" xfId="12917" xr:uid="{101F1927-3C30-4E6D-95C6-FEB4F58BBAC2}"/>
    <cellStyle name="Normal 9 3 4 5 3" xfId="6551" xr:uid="{00000000-0005-0000-0000-000032200000}"/>
    <cellStyle name="Normal 9 3 4 5 3 2" xfId="14990" xr:uid="{2B70705D-9017-4CD6-BBD4-FF343E11D7C3}"/>
    <cellStyle name="Normal 9 3 4 5 4" xfId="10772" xr:uid="{A45796A2-5AE1-457F-AE5C-5E772565F7BF}"/>
    <cellStyle name="Normal 9 3 4 6" xfId="2680" xr:uid="{00000000-0005-0000-0000-000033200000}"/>
    <cellStyle name="Normal 9 3 4 6 2" xfId="6964" xr:uid="{00000000-0005-0000-0000-000034200000}"/>
    <cellStyle name="Normal 9 3 4 6 2 2" xfId="15403" xr:uid="{9C51514C-142B-445D-AE07-27A9585CE99F}"/>
    <cellStyle name="Normal 9 3 4 6 3" xfId="11185" xr:uid="{2800BBDC-D143-4FE6-9E42-4999CBD96EDA}"/>
    <cellStyle name="Normal 9 3 4 7" xfId="4899" xr:uid="{00000000-0005-0000-0000-000035200000}"/>
    <cellStyle name="Normal 9 3 4 7 2" xfId="13338" xr:uid="{013B93FF-5573-4F84-9F02-CEC330FEB8DA}"/>
    <cellStyle name="Normal 9 3 4 8" xfId="9120" xr:uid="{F7E6BD20-81AF-4FAF-8F3C-047BDB14CC40}"/>
    <cellStyle name="Normal 9 3 5" xfId="994" xr:uid="{00000000-0005-0000-0000-000036200000}"/>
    <cellStyle name="Normal 9 3 5 2" xfId="3227" xr:uid="{00000000-0005-0000-0000-000037200000}"/>
    <cellStyle name="Normal 9 3 5 2 2" xfId="7450" xr:uid="{00000000-0005-0000-0000-000038200000}"/>
    <cellStyle name="Normal 9 3 5 2 2 2" xfId="15889" xr:uid="{538C456F-9BEC-41EE-8B2D-0FBFEB08A663}"/>
    <cellStyle name="Normal 9 3 5 2 3" xfId="11671" xr:uid="{E6BB019F-1DE7-43BE-8B35-D22F4DD37F03}"/>
    <cellStyle name="Normal 9 3 5 3" xfId="5305" xr:uid="{00000000-0005-0000-0000-000039200000}"/>
    <cellStyle name="Normal 9 3 5 3 2" xfId="13744" xr:uid="{B99A52DD-0B7E-4480-980E-FCE8A389E614}"/>
    <cellStyle name="Normal 9 3 5 4" xfId="9526" xr:uid="{3BF44C2F-97FB-4DB8-91BE-0521642FFB9C}"/>
    <cellStyle name="Normal 9 3 6" xfId="1410" xr:uid="{00000000-0005-0000-0000-00003A200000}"/>
    <cellStyle name="Normal 9 3 6 2" xfId="3640" xr:uid="{00000000-0005-0000-0000-00003B200000}"/>
    <cellStyle name="Normal 9 3 6 2 2" xfId="7863" xr:uid="{00000000-0005-0000-0000-00003C200000}"/>
    <cellStyle name="Normal 9 3 6 2 2 2" xfId="16302" xr:uid="{36B533A3-2D4C-4DD7-B28C-F47E02A2D6AC}"/>
    <cellStyle name="Normal 9 3 6 2 3" xfId="12084" xr:uid="{572998FC-297F-4F14-8D29-55443E70E6F9}"/>
    <cellStyle name="Normal 9 3 6 3" xfId="5718" xr:uid="{00000000-0005-0000-0000-00003D200000}"/>
    <cellStyle name="Normal 9 3 6 3 2" xfId="14157" xr:uid="{B1F61EC8-B294-47AC-9BBF-AC16D2BF6E62}"/>
    <cellStyle name="Normal 9 3 6 4" xfId="9939" xr:uid="{F5721BF2-8A67-4E90-8A08-014C58A8D5B0}"/>
    <cellStyle name="Normal 9 3 7" xfId="1823" xr:uid="{00000000-0005-0000-0000-00003E200000}"/>
    <cellStyle name="Normal 9 3 7 2" xfId="4053" xr:uid="{00000000-0005-0000-0000-00003F200000}"/>
    <cellStyle name="Normal 9 3 7 2 2" xfId="8276" xr:uid="{00000000-0005-0000-0000-000040200000}"/>
    <cellStyle name="Normal 9 3 7 2 2 2" xfId="16715" xr:uid="{AF209618-D3CB-4821-A640-0F09F73DCCF0}"/>
    <cellStyle name="Normal 9 3 7 2 3" xfId="12497" xr:uid="{B52C70EC-093C-499B-9633-265F4DB69948}"/>
    <cellStyle name="Normal 9 3 7 3" xfId="6131" xr:uid="{00000000-0005-0000-0000-000041200000}"/>
    <cellStyle name="Normal 9 3 7 3 2" xfId="14570" xr:uid="{EBAEA56B-1400-4935-A7FD-D8CDB1AA4F79}"/>
    <cellStyle name="Normal 9 3 7 4" xfId="10352" xr:uid="{EF12DDE6-AD97-4835-8D77-D8305AB4C124}"/>
    <cellStyle name="Normal 9 3 8" xfId="2237" xr:uid="{00000000-0005-0000-0000-000042200000}"/>
    <cellStyle name="Normal 9 3 8 2" xfId="4466" xr:uid="{00000000-0005-0000-0000-000043200000}"/>
    <cellStyle name="Normal 9 3 8 2 2" xfId="8689" xr:uid="{00000000-0005-0000-0000-000044200000}"/>
    <cellStyle name="Normal 9 3 8 2 2 2" xfId="17128" xr:uid="{6C2A10CC-7E01-4571-B5C5-6BC8A03406AE}"/>
    <cellStyle name="Normal 9 3 8 2 3" xfId="12910" xr:uid="{98928FFD-6319-472E-9CE7-B50D925CDB57}"/>
    <cellStyle name="Normal 9 3 8 3" xfId="6544" xr:uid="{00000000-0005-0000-0000-000045200000}"/>
    <cellStyle name="Normal 9 3 8 3 2" xfId="14983" xr:uid="{C9D19278-CD1E-4AB4-9CD0-D32B2A7CEEE0}"/>
    <cellStyle name="Normal 9 3 8 4" xfId="10765" xr:uid="{7FB3B1E9-E2FC-4150-B2DA-54242007E205}"/>
    <cellStyle name="Normal 9 3 9" xfId="2673" xr:uid="{00000000-0005-0000-0000-000046200000}"/>
    <cellStyle name="Normal 9 3 9 2" xfId="6957" xr:uid="{00000000-0005-0000-0000-000047200000}"/>
    <cellStyle name="Normal 9 3 9 2 2" xfId="15396" xr:uid="{3064DC0E-6A5B-488E-9AE3-2ACD67D4A77A}"/>
    <cellStyle name="Normal 9 3 9 3" xfId="11178" xr:uid="{0EA2B7F7-1455-4A70-B84A-2A8D9C7DAF17}"/>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97CF1F56-3B2C-4312-999C-0B8A5D0FE3A4}"/>
    <cellStyle name="Normal 9 5 2 2 2 3" xfId="11680" xr:uid="{FE36D677-756A-4D71-81A7-0067553281AB}"/>
    <cellStyle name="Normal 9 5 2 2 3" xfId="5314" xr:uid="{00000000-0005-0000-0000-00004F200000}"/>
    <cellStyle name="Normal 9 5 2 2 3 2" xfId="13753" xr:uid="{2585DEA7-9F98-484C-A8B6-7368986A9A63}"/>
    <cellStyle name="Normal 9 5 2 2 4" xfId="9535" xr:uid="{975AC6E1-E931-4258-9557-268D11240081}"/>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3704D994-AB07-474A-A6C8-346C0DC9C2B4}"/>
    <cellStyle name="Normal 9 5 2 3 2 3" xfId="12093" xr:uid="{AE17791E-5BAD-4DBC-8528-F80791AEECF6}"/>
    <cellStyle name="Normal 9 5 2 3 3" xfId="5727" xr:uid="{00000000-0005-0000-0000-000053200000}"/>
    <cellStyle name="Normal 9 5 2 3 3 2" xfId="14166" xr:uid="{30EB7FE7-2B03-4703-BA73-9BE3CDC0F1B1}"/>
    <cellStyle name="Normal 9 5 2 3 4" xfId="9948" xr:uid="{90310407-4B1D-476B-902E-37D89B11328E}"/>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636D08E9-F17F-4FB3-A446-7D17BCBEDDE9}"/>
    <cellStyle name="Normal 9 5 2 4 2 3" xfId="12506" xr:uid="{2D137064-7945-46EA-84B0-145091242730}"/>
    <cellStyle name="Normal 9 5 2 4 3" xfId="6140" xr:uid="{00000000-0005-0000-0000-000057200000}"/>
    <cellStyle name="Normal 9 5 2 4 3 2" xfId="14579" xr:uid="{552A4E26-5759-42B7-801A-E993844F2D34}"/>
    <cellStyle name="Normal 9 5 2 4 4" xfId="10361" xr:uid="{D49A9AA3-458E-429D-82FD-06BCCAF68958}"/>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29A35FC1-F35D-4F4F-B53F-306CDF4D4423}"/>
    <cellStyle name="Normal 9 5 2 5 2 3" xfId="12919" xr:uid="{A1B395A0-74F5-446C-917B-FC9EB8293497}"/>
    <cellStyle name="Normal 9 5 2 5 3" xfId="6553" xr:uid="{00000000-0005-0000-0000-00005B200000}"/>
    <cellStyle name="Normal 9 5 2 5 3 2" xfId="14992" xr:uid="{592A1D49-6A98-498C-A59B-E30FF7E4B644}"/>
    <cellStyle name="Normal 9 5 2 5 4" xfId="10774" xr:uid="{7165B040-D388-4A89-B645-7093096406C0}"/>
    <cellStyle name="Normal 9 5 2 6" xfId="2682" xr:uid="{00000000-0005-0000-0000-00005C200000}"/>
    <cellStyle name="Normal 9 5 2 6 2" xfId="6966" xr:uid="{00000000-0005-0000-0000-00005D200000}"/>
    <cellStyle name="Normal 9 5 2 6 2 2" xfId="15405" xr:uid="{17EBB880-49BC-48DC-BDD8-D74591EB2096}"/>
    <cellStyle name="Normal 9 5 2 6 3" xfId="11187" xr:uid="{AF5B8351-5D07-4461-947F-39493376F35E}"/>
    <cellStyle name="Normal 9 5 2 7" xfId="4901" xr:uid="{00000000-0005-0000-0000-00005E200000}"/>
    <cellStyle name="Normal 9 5 2 7 2" xfId="13340" xr:uid="{9F04E9D8-6007-4313-B2C3-93135ACEC8A5}"/>
    <cellStyle name="Normal 9 5 2 8" xfId="9122" xr:uid="{1E1085B6-EF05-47C2-9046-93088FD741EA}"/>
    <cellStyle name="Normal 9 5 3" xfId="1003" xr:uid="{00000000-0005-0000-0000-00005F200000}"/>
    <cellStyle name="Normal 9 5 3 2" xfId="3235" xr:uid="{00000000-0005-0000-0000-000060200000}"/>
    <cellStyle name="Normal 9 5 3 2 2" xfId="7458" xr:uid="{00000000-0005-0000-0000-000061200000}"/>
    <cellStyle name="Normal 9 5 3 2 2 2" xfId="15897" xr:uid="{9E191D28-02E7-4900-9EB8-65FEF13F09D3}"/>
    <cellStyle name="Normal 9 5 3 2 3" xfId="11679" xr:uid="{2C6792E7-FE73-45DF-821D-B0B29B832E38}"/>
    <cellStyle name="Normal 9 5 3 3" xfId="5313" xr:uid="{00000000-0005-0000-0000-000062200000}"/>
    <cellStyle name="Normal 9 5 3 3 2" xfId="13752" xr:uid="{F260D162-AAFC-4352-A571-316A43E2D041}"/>
    <cellStyle name="Normal 9 5 3 4" xfId="9534" xr:uid="{36BC48D1-70B4-4097-A795-38CA96DB3DDD}"/>
    <cellStyle name="Normal 9 5 4" xfId="1418" xr:uid="{00000000-0005-0000-0000-000063200000}"/>
    <cellStyle name="Normal 9 5 4 2" xfId="3648" xr:uid="{00000000-0005-0000-0000-000064200000}"/>
    <cellStyle name="Normal 9 5 4 2 2" xfId="7871" xr:uid="{00000000-0005-0000-0000-000065200000}"/>
    <cellStyle name="Normal 9 5 4 2 2 2" xfId="16310" xr:uid="{D364C4DB-6DE4-4714-AE82-AE4ACC3810DA}"/>
    <cellStyle name="Normal 9 5 4 2 3" xfId="12092" xr:uid="{35B24337-AE14-47B2-97E6-D88AFDF938D0}"/>
    <cellStyle name="Normal 9 5 4 3" xfId="5726" xr:uid="{00000000-0005-0000-0000-000066200000}"/>
    <cellStyle name="Normal 9 5 4 3 2" xfId="14165" xr:uid="{1CCA52A2-3533-4EE0-AE62-E774A6852149}"/>
    <cellStyle name="Normal 9 5 4 4" xfId="9947" xr:uid="{E09B7682-1344-497C-AB5E-64E092D3C070}"/>
    <cellStyle name="Normal 9 5 5" xfId="1831" xr:uid="{00000000-0005-0000-0000-000067200000}"/>
    <cellStyle name="Normal 9 5 5 2" xfId="4061" xr:uid="{00000000-0005-0000-0000-000068200000}"/>
    <cellStyle name="Normal 9 5 5 2 2" xfId="8284" xr:uid="{00000000-0005-0000-0000-000069200000}"/>
    <cellStyle name="Normal 9 5 5 2 2 2" xfId="16723" xr:uid="{A7989C8E-3D77-41E6-9F9A-B755B01BE9E6}"/>
    <cellStyle name="Normal 9 5 5 2 3" xfId="12505" xr:uid="{E76B974F-D81F-4F98-B3E0-E4534AB9F720}"/>
    <cellStyle name="Normal 9 5 5 3" xfId="6139" xr:uid="{00000000-0005-0000-0000-00006A200000}"/>
    <cellStyle name="Normal 9 5 5 3 2" xfId="14578" xr:uid="{23C5DC21-83B7-4846-B09F-44421275D8A1}"/>
    <cellStyle name="Normal 9 5 5 4" xfId="10360" xr:uid="{852DBB53-B0FF-4C0A-8EBE-6766386E2DBD}"/>
    <cellStyle name="Normal 9 5 6" xfId="2245" xr:uid="{00000000-0005-0000-0000-00006B200000}"/>
    <cellStyle name="Normal 9 5 6 2" xfId="4474" xr:uid="{00000000-0005-0000-0000-00006C200000}"/>
    <cellStyle name="Normal 9 5 6 2 2" xfId="8697" xr:uid="{00000000-0005-0000-0000-00006D200000}"/>
    <cellStyle name="Normal 9 5 6 2 2 2" xfId="17136" xr:uid="{C44E95E1-46BA-4744-8E26-F2073F10997F}"/>
    <cellStyle name="Normal 9 5 6 2 3" xfId="12918" xr:uid="{1F6ABA84-B161-43AC-BAD9-FC08022BC7D9}"/>
    <cellStyle name="Normal 9 5 6 3" xfId="6552" xr:uid="{00000000-0005-0000-0000-00006E200000}"/>
    <cellStyle name="Normal 9 5 6 3 2" xfId="14991" xr:uid="{C5136895-B5DD-430E-BA37-CFE2DACB60A5}"/>
    <cellStyle name="Normal 9 5 6 4" xfId="10773" xr:uid="{B41D771F-A8AD-44EB-9A0F-ECF6847D2AC1}"/>
    <cellStyle name="Normal 9 5 7" xfId="2681" xr:uid="{00000000-0005-0000-0000-00006F200000}"/>
    <cellStyle name="Normal 9 5 7 2" xfId="6965" xr:uid="{00000000-0005-0000-0000-000070200000}"/>
    <cellStyle name="Normal 9 5 7 2 2" xfId="15404" xr:uid="{51EA2BE6-3F60-4E32-A4C4-CDBF8B314CA9}"/>
    <cellStyle name="Normal 9 5 7 3" xfId="11186" xr:uid="{0981AE99-01E7-4DB4-8DF2-173EC5577355}"/>
    <cellStyle name="Normal 9 5 8" xfId="4900" xr:uid="{00000000-0005-0000-0000-000071200000}"/>
    <cellStyle name="Normal 9 5 8 2" xfId="13339" xr:uid="{8158FD32-5F77-4F77-8644-93F674072330}"/>
    <cellStyle name="Normal 9 5 9" xfId="9121" xr:uid="{29A0CE21-A309-4CDA-9C8E-F5BE77D0DFFD}"/>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91459514-DD80-41C7-9EDE-81B1E8022D09}"/>
    <cellStyle name="Normal 9 6 2 2 3" xfId="11681" xr:uid="{87E3F4C6-1A9A-4D9D-A1D0-60AF48651E93}"/>
    <cellStyle name="Normal 9 6 2 3" xfId="5315" xr:uid="{00000000-0005-0000-0000-000076200000}"/>
    <cellStyle name="Normal 9 6 2 3 2" xfId="13754" xr:uid="{60703B65-32DA-45DE-9567-D457869179D9}"/>
    <cellStyle name="Normal 9 6 2 4" xfId="9536" xr:uid="{4CD59077-ACDA-4947-BD88-87D7C692A5F1}"/>
    <cellStyle name="Normal 9 6 3" xfId="1420" xr:uid="{00000000-0005-0000-0000-000077200000}"/>
    <cellStyle name="Normal 9 6 3 2" xfId="3650" xr:uid="{00000000-0005-0000-0000-000078200000}"/>
    <cellStyle name="Normal 9 6 3 2 2" xfId="7873" xr:uid="{00000000-0005-0000-0000-000079200000}"/>
    <cellStyle name="Normal 9 6 3 2 2 2" xfId="16312" xr:uid="{6077D912-F407-4AD3-947C-3AF616B20859}"/>
    <cellStyle name="Normal 9 6 3 2 3" xfId="12094" xr:uid="{78049BE0-3BD4-4F5E-A75C-9F3B59069CFB}"/>
    <cellStyle name="Normal 9 6 3 3" xfId="5728" xr:uid="{00000000-0005-0000-0000-00007A200000}"/>
    <cellStyle name="Normal 9 6 3 3 2" xfId="14167" xr:uid="{B962A4D7-1420-4DA1-B0F5-8BB5FDE35AB3}"/>
    <cellStyle name="Normal 9 6 3 4" xfId="9949" xr:uid="{F3CCCDD1-D856-45F7-BFA1-9DEACA033C12}"/>
    <cellStyle name="Normal 9 6 4" xfId="1833" xr:uid="{00000000-0005-0000-0000-00007B200000}"/>
    <cellStyle name="Normal 9 6 4 2" xfId="4063" xr:uid="{00000000-0005-0000-0000-00007C200000}"/>
    <cellStyle name="Normal 9 6 4 2 2" xfId="8286" xr:uid="{00000000-0005-0000-0000-00007D200000}"/>
    <cellStyle name="Normal 9 6 4 2 2 2" xfId="16725" xr:uid="{0C704CA7-522E-4CA0-AE11-4C9977A217F6}"/>
    <cellStyle name="Normal 9 6 4 2 3" xfId="12507" xr:uid="{38BCB8F0-3219-4B93-AA76-0F488D7C1D1B}"/>
    <cellStyle name="Normal 9 6 4 3" xfId="6141" xr:uid="{00000000-0005-0000-0000-00007E200000}"/>
    <cellStyle name="Normal 9 6 4 3 2" xfId="14580" xr:uid="{76BEC0C1-FA73-42CB-906B-97BEF053E49C}"/>
    <cellStyle name="Normal 9 6 4 4" xfId="10362" xr:uid="{7EE5592D-995F-4216-8685-C9BB00F3B856}"/>
    <cellStyle name="Normal 9 6 5" xfId="2247" xr:uid="{00000000-0005-0000-0000-00007F200000}"/>
    <cellStyle name="Normal 9 6 5 2" xfId="4476" xr:uid="{00000000-0005-0000-0000-000080200000}"/>
    <cellStyle name="Normal 9 6 5 2 2" xfId="8699" xr:uid="{00000000-0005-0000-0000-000081200000}"/>
    <cellStyle name="Normal 9 6 5 2 2 2" xfId="17138" xr:uid="{58E36C4F-25DE-42DA-ACD5-B037A34C6CF7}"/>
    <cellStyle name="Normal 9 6 5 2 3" xfId="12920" xr:uid="{9648886E-14EF-41A9-9298-BAD1BEB96775}"/>
    <cellStyle name="Normal 9 6 5 3" xfId="6554" xr:uid="{00000000-0005-0000-0000-000082200000}"/>
    <cellStyle name="Normal 9 6 5 3 2" xfId="14993" xr:uid="{FDEC47D7-B3CA-412B-B7F4-811E0AD7E9B1}"/>
    <cellStyle name="Normal 9 6 5 4" xfId="10775" xr:uid="{468E25FC-3340-4CF6-AFD4-C6B9C6706BD6}"/>
    <cellStyle name="Normal 9 6 6" xfId="2683" xr:uid="{00000000-0005-0000-0000-000083200000}"/>
    <cellStyle name="Normal 9 6 6 2" xfId="6967" xr:uid="{00000000-0005-0000-0000-000084200000}"/>
    <cellStyle name="Normal 9 6 6 2 2" xfId="15406" xr:uid="{01B8F376-9954-4C4C-A479-16E851539BA1}"/>
    <cellStyle name="Normal 9 6 6 3" xfId="11188" xr:uid="{9B691A78-02EE-4A61-9943-BDE83A3D4CC9}"/>
    <cellStyle name="Normal 9 6 7" xfId="4902" xr:uid="{00000000-0005-0000-0000-000085200000}"/>
    <cellStyle name="Normal 9 6 7 2" xfId="13341" xr:uid="{E13844B2-5E6F-4838-887B-56DC709F95AB}"/>
    <cellStyle name="Normal 9 6 8" xfId="9123" xr:uid="{F5E8EDC5-1704-4F46-B28A-1A19AA486EAD}"/>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C80D860B-8B43-4FAA-A0B4-43A8F0FE5BC8}"/>
    <cellStyle name="Note 2 2 10 3" xfId="11269" xr:uid="{7658A20A-CCCF-4632-A353-41963BB623D9}"/>
    <cellStyle name="Note 2 2 11" xfId="4903" xr:uid="{00000000-0005-0000-0000-000094200000}"/>
    <cellStyle name="Note 2 2 11 2" xfId="13342" xr:uid="{C1589988-129D-45BE-8C87-0F3F03F4BF64}"/>
    <cellStyle name="Note 2 2 12" xfId="9124" xr:uid="{194D53A5-5C43-4863-9531-AE9DC2CA68D0}"/>
    <cellStyle name="Note 2 2 2" xfId="546" xr:uid="{00000000-0005-0000-0000-000095200000}"/>
    <cellStyle name="Note 2 2 2 10" xfId="4904" xr:uid="{00000000-0005-0000-0000-000096200000}"/>
    <cellStyle name="Note 2 2 2 10 2" xfId="13343" xr:uid="{A74E0801-2352-420D-88E4-713A17C5326F}"/>
    <cellStyle name="Note 2 2 2 11" xfId="9125" xr:uid="{296F8C84-6E38-4834-B7D2-67214209D2B5}"/>
    <cellStyle name="Note 2 2 2 2" xfId="547" xr:uid="{00000000-0005-0000-0000-000097200000}"/>
    <cellStyle name="Note 2 2 2 2 10" xfId="9126" xr:uid="{54A718F7-1485-4FEF-93BF-13E187AEA3CF}"/>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8EDA2D72-2DA4-4C42-B513-B505F269C70C}"/>
    <cellStyle name="Note 2 2 2 2 2 2 3" xfId="11684" xr:uid="{097ADAD5-0ADD-4D24-97CB-DEEEDBC6A417}"/>
    <cellStyle name="Note 2 2 2 2 2 3" xfId="5318" xr:uid="{00000000-0005-0000-0000-00009B200000}"/>
    <cellStyle name="Note 2 2 2 2 2 3 2" xfId="13757" xr:uid="{91DB8BEC-0EDC-4B8B-9512-778AE7DC8B47}"/>
    <cellStyle name="Note 2 2 2 2 2 4" xfId="9539" xr:uid="{53C7D02E-97B5-42D5-A100-0CEB299051CB}"/>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3A54202B-AE48-4A50-9A07-C1C5E118E9FA}"/>
    <cellStyle name="Note 2 2 2 2 3 2 3" xfId="12097" xr:uid="{ECC4045D-9D20-4FD7-824A-58A93B29B8D7}"/>
    <cellStyle name="Note 2 2 2 2 3 3" xfId="5731" xr:uid="{00000000-0005-0000-0000-00009F200000}"/>
    <cellStyle name="Note 2 2 2 2 3 3 2" xfId="14170" xr:uid="{1EA1315E-BDAC-439D-8CF9-7B007A720A90}"/>
    <cellStyle name="Note 2 2 2 2 3 4" xfId="9952" xr:uid="{12347773-3321-411C-8087-DAA6E292884B}"/>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C88F98EB-295F-43A2-B8AD-66DC40ED9FA1}"/>
    <cellStyle name="Note 2 2 2 2 4 2 3" xfId="12510" xr:uid="{81BEF473-48AE-4120-9F95-699075972F9E}"/>
    <cellStyle name="Note 2 2 2 2 4 3" xfId="6144" xr:uid="{00000000-0005-0000-0000-0000A3200000}"/>
    <cellStyle name="Note 2 2 2 2 4 3 2" xfId="14583" xr:uid="{F2DB0E5E-71CE-47EE-B373-EC67396802A5}"/>
    <cellStyle name="Note 2 2 2 2 4 4" xfId="10365" xr:uid="{235A3885-E33B-47F3-8EA1-41709A975FF9}"/>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619AD99F-4276-4139-BDCF-7391BBEEC48B}"/>
    <cellStyle name="Note 2 2 2 2 5 2 3" xfId="12923" xr:uid="{FF07F70A-0AC3-489F-BDC9-101A1F432227}"/>
    <cellStyle name="Note 2 2 2 2 5 3" xfId="6557" xr:uid="{00000000-0005-0000-0000-0000A7200000}"/>
    <cellStyle name="Note 2 2 2 2 5 3 2" xfId="14996" xr:uid="{29484EFF-5470-4797-873C-31793DC05B18}"/>
    <cellStyle name="Note 2 2 2 2 5 4" xfId="10778" xr:uid="{E1207C81-1367-4C4D-AFA2-C3711EF57AB2}"/>
    <cellStyle name="Note 2 2 2 2 6" xfId="2686" xr:uid="{00000000-0005-0000-0000-0000A8200000}"/>
    <cellStyle name="Note 2 2 2 2 6 2" xfId="6970" xr:uid="{00000000-0005-0000-0000-0000A9200000}"/>
    <cellStyle name="Note 2 2 2 2 6 2 2" xfId="15409" xr:uid="{A338B8F0-D0AC-48F9-9494-BC0B8A7F3276}"/>
    <cellStyle name="Note 2 2 2 2 6 3" xfId="11191" xr:uid="{300ABA34-736C-4526-8331-09C20061119D}"/>
    <cellStyle name="Note 2 2 2 2 7" xfId="2745" xr:uid="{00000000-0005-0000-0000-0000AA200000}"/>
    <cellStyle name="Note 2 2 2 2 8" xfId="2826" xr:uid="{00000000-0005-0000-0000-0000AB200000}"/>
    <cellStyle name="Note 2 2 2 2 8 2" xfId="7050" xr:uid="{00000000-0005-0000-0000-0000AC200000}"/>
    <cellStyle name="Note 2 2 2 2 8 2 2" xfId="15489" xr:uid="{F73D47D6-FA84-42E3-9946-25A7981CAB51}"/>
    <cellStyle name="Note 2 2 2 2 8 3" xfId="11271" xr:uid="{FA1BA196-553E-4087-B6AE-718E7DD26F7F}"/>
    <cellStyle name="Note 2 2 2 2 9" xfId="4905" xr:uid="{00000000-0005-0000-0000-0000AD200000}"/>
    <cellStyle name="Note 2 2 2 2 9 2" xfId="13344" xr:uid="{FEFF0F39-5268-4CE5-9C28-B742A6759769}"/>
    <cellStyle name="Note 2 2 2 3" xfId="1007" xr:uid="{00000000-0005-0000-0000-0000AE200000}"/>
    <cellStyle name="Note 2 2 2 3 2" xfId="3239" xr:uid="{00000000-0005-0000-0000-0000AF200000}"/>
    <cellStyle name="Note 2 2 2 3 2 2" xfId="7462" xr:uid="{00000000-0005-0000-0000-0000B0200000}"/>
    <cellStyle name="Note 2 2 2 3 2 2 2" xfId="15901" xr:uid="{2ABFB88A-344C-4175-91D7-02C8BE985D40}"/>
    <cellStyle name="Note 2 2 2 3 2 3" xfId="11683" xr:uid="{1A6CDC5D-9441-4ABC-B8D8-0BAF39D6AE44}"/>
    <cellStyle name="Note 2 2 2 3 3" xfId="5317" xr:uid="{00000000-0005-0000-0000-0000B1200000}"/>
    <cellStyle name="Note 2 2 2 3 3 2" xfId="13756" xr:uid="{7C6EDC5E-D976-4774-98AF-7448A9492961}"/>
    <cellStyle name="Note 2 2 2 3 4" xfId="9538" xr:uid="{69C1F82C-90DD-47FB-9A2A-7ED9FBC71D7B}"/>
    <cellStyle name="Note 2 2 2 4" xfId="1422" xr:uid="{00000000-0005-0000-0000-0000B2200000}"/>
    <cellStyle name="Note 2 2 2 4 2" xfId="3652" xr:uid="{00000000-0005-0000-0000-0000B3200000}"/>
    <cellStyle name="Note 2 2 2 4 2 2" xfId="7875" xr:uid="{00000000-0005-0000-0000-0000B4200000}"/>
    <cellStyle name="Note 2 2 2 4 2 2 2" xfId="16314" xr:uid="{26D07BBC-7BFF-400D-A3AF-C7B1FC6005EB}"/>
    <cellStyle name="Note 2 2 2 4 2 3" xfId="12096" xr:uid="{969E958F-1231-4FA9-B566-6AB80AFD74B4}"/>
    <cellStyle name="Note 2 2 2 4 3" xfId="5730" xr:uid="{00000000-0005-0000-0000-0000B5200000}"/>
    <cellStyle name="Note 2 2 2 4 3 2" xfId="14169" xr:uid="{22A15FAC-C843-4F67-AD2D-BE6CB9406584}"/>
    <cellStyle name="Note 2 2 2 4 4" xfId="9951" xr:uid="{9EF14658-027C-4795-823A-E342CD994E59}"/>
    <cellStyle name="Note 2 2 2 5" xfId="1836" xr:uid="{00000000-0005-0000-0000-0000B6200000}"/>
    <cellStyle name="Note 2 2 2 5 2" xfId="4065" xr:uid="{00000000-0005-0000-0000-0000B7200000}"/>
    <cellStyle name="Note 2 2 2 5 2 2" xfId="8288" xr:uid="{00000000-0005-0000-0000-0000B8200000}"/>
    <cellStyle name="Note 2 2 2 5 2 2 2" xfId="16727" xr:uid="{97CE68E6-9763-49C0-B2A8-FEDF946C6E75}"/>
    <cellStyle name="Note 2 2 2 5 2 3" xfId="12509" xr:uid="{E6A9C94C-1CCC-424C-9D32-6EB5E5DD9404}"/>
    <cellStyle name="Note 2 2 2 5 3" xfId="6143" xr:uid="{00000000-0005-0000-0000-0000B9200000}"/>
    <cellStyle name="Note 2 2 2 5 3 2" xfId="14582" xr:uid="{D785DC1A-7838-4207-82DF-DD54D123585E}"/>
    <cellStyle name="Note 2 2 2 5 4" xfId="10364" xr:uid="{8D12AC1E-45EA-4B54-A097-C5F8123FF883}"/>
    <cellStyle name="Note 2 2 2 6" xfId="2249" xr:uid="{00000000-0005-0000-0000-0000BA200000}"/>
    <cellStyle name="Note 2 2 2 6 2" xfId="4478" xr:uid="{00000000-0005-0000-0000-0000BB200000}"/>
    <cellStyle name="Note 2 2 2 6 2 2" xfId="8701" xr:uid="{00000000-0005-0000-0000-0000BC200000}"/>
    <cellStyle name="Note 2 2 2 6 2 2 2" xfId="17140" xr:uid="{71FB96FD-D6EC-496E-8D20-A8665F2F9348}"/>
    <cellStyle name="Note 2 2 2 6 2 3" xfId="12922" xr:uid="{D38AC1DF-50C4-4725-9BC2-C29CFD08F058}"/>
    <cellStyle name="Note 2 2 2 6 3" xfId="6556" xr:uid="{00000000-0005-0000-0000-0000BD200000}"/>
    <cellStyle name="Note 2 2 2 6 3 2" xfId="14995" xr:uid="{BD0DBF1A-51B5-44E0-AFF1-A48E562B9727}"/>
    <cellStyle name="Note 2 2 2 6 4" xfId="10777" xr:uid="{B311858D-D75A-4684-BB9D-F9EF703584E1}"/>
    <cellStyle name="Note 2 2 2 7" xfId="2685" xr:uid="{00000000-0005-0000-0000-0000BE200000}"/>
    <cellStyle name="Note 2 2 2 7 2" xfId="6969" xr:uid="{00000000-0005-0000-0000-0000BF200000}"/>
    <cellStyle name="Note 2 2 2 7 2 2" xfId="15408" xr:uid="{161436F7-850F-48DB-BB4F-8F2C00EE88C6}"/>
    <cellStyle name="Note 2 2 2 7 3" xfId="11190" xr:uid="{B9CBB973-8CD3-46BE-9997-8A3CEC9B9D89}"/>
    <cellStyle name="Note 2 2 2 8" xfId="2744" xr:uid="{00000000-0005-0000-0000-0000C0200000}"/>
    <cellStyle name="Note 2 2 2 9" xfId="2825" xr:uid="{00000000-0005-0000-0000-0000C1200000}"/>
    <cellStyle name="Note 2 2 2 9 2" xfId="7049" xr:uid="{00000000-0005-0000-0000-0000C2200000}"/>
    <cellStyle name="Note 2 2 2 9 2 2" xfId="15488" xr:uid="{67F9E446-7DE1-44FF-8F9D-89472DA93950}"/>
    <cellStyle name="Note 2 2 2 9 3" xfId="11270" xr:uid="{3C01BC0E-9B49-4ACE-9791-45ED0ECFA0C1}"/>
    <cellStyle name="Note 2 2 3" xfId="548" xr:uid="{00000000-0005-0000-0000-0000C3200000}"/>
    <cellStyle name="Note 2 2 3 10" xfId="9127" xr:uid="{CC18DCF0-5957-4C88-AA91-0FF8DF9098F9}"/>
    <cellStyle name="Note 2 2 3 2" xfId="1009" xr:uid="{00000000-0005-0000-0000-0000C4200000}"/>
    <cellStyle name="Note 2 2 3 2 2" xfId="3241" xr:uid="{00000000-0005-0000-0000-0000C5200000}"/>
    <cellStyle name="Note 2 2 3 2 2 2" xfId="7464" xr:uid="{00000000-0005-0000-0000-0000C6200000}"/>
    <cellStyle name="Note 2 2 3 2 2 2 2" xfId="15903" xr:uid="{81643F12-BA4C-4159-9557-503467C98DE9}"/>
    <cellStyle name="Note 2 2 3 2 2 3" xfId="11685" xr:uid="{1F137CC2-F8E2-45F1-A444-FF96EACF6CCA}"/>
    <cellStyle name="Note 2 2 3 2 3" xfId="5319" xr:uid="{00000000-0005-0000-0000-0000C7200000}"/>
    <cellStyle name="Note 2 2 3 2 3 2" xfId="13758" xr:uid="{D13AC48D-B923-4672-B2BC-49223DEC17B4}"/>
    <cellStyle name="Note 2 2 3 2 4" xfId="9540" xr:uid="{CB7371DB-307E-44AA-B222-7108B4C4E88F}"/>
    <cellStyle name="Note 2 2 3 3" xfId="1424" xr:uid="{00000000-0005-0000-0000-0000C8200000}"/>
    <cellStyle name="Note 2 2 3 3 2" xfId="3654" xr:uid="{00000000-0005-0000-0000-0000C9200000}"/>
    <cellStyle name="Note 2 2 3 3 2 2" xfId="7877" xr:uid="{00000000-0005-0000-0000-0000CA200000}"/>
    <cellStyle name="Note 2 2 3 3 2 2 2" xfId="16316" xr:uid="{C954B0D8-4D30-46DE-A0E1-3FF2C53468D0}"/>
    <cellStyle name="Note 2 2 3 3 2 3" xfId="12098" xr:uid="{28F866CF-D198-4F9D-93BC-8CDE6B18CE7E}"/>
    <cellStyle name="Note 2 2 3 3 3" xfId="5732" xr:uid="{00000000-0005-0000-0000-0000CB200000}"/>
    <cellStyle name="Note 2 2 3 3 3 2" xfId="14171" xr:uid="{10D03008-68F4-4DA0-8B1B-43E1E13F8AE5}"/>
    <cellStyle name="Note 2 2 3 3 4" xfId="9953" xr:uid="{45A41F7D-0DBF-4C4A-991E-5C473954ABD2}"/>
    <cellStyle name="Note 2 2 3 4" xfId="1838" xr:uid="{00000000-0005-0000-0000-0000CC200000}"/>
    <cellStyle name="Note 2 2 3 4 2" xfId="4067" xr:uid="{00000000-0005-0000-0000-0000CD200000}"/>
    <cellStyle name="Note 2 2 3 4 2 2" xfId="8290" xr:uid="{00000000-0005-0000-0000-0000CE200000}"/>
    <cellStyle name="Note 2 2 3 4 2 2 2" xfId="16729" xr:uid="{2D590B58-3C78-4654-9C97-870E634B94D6}"/>
    <cellStyle name="Note 2 2 3 4 2 3" xfId="12511" xr:uid="{41BE5889-7737-4116-848D-EB5DE2DD39E4}"/>
    <cellStyle name="Note 2 2 3 4 3" xfId="6145" xr:uid="{00000000-0005-0000-0000-0000CF200000}"/>
    <cellStyle name="Note 2 2 3 4 3 2" xfId="14584" xr:uid="{A296487F-7AB3-4805-9613-8091FD1BD143}"/>
    <cellStyle name="Note 2 2 3 4 4" xfId="10366" xr:uid="{E6740EE5-34C3-4479-985E-468D19680462}"/>
    <cellStyle name="Note 2 2 3 5" xfId="2251" xr:uid="{00000000-0005-0000-0000-0000D0200000}"/>
    <cellStyle name="Note 2 2 3 5 2" xfId="4480" xr:uid="{00000000-0005-0000-0000-0000D1200000}"/>
    <cellStyle name="Note 2 2 3 5 2 2" xfId="8703" xr:uid="{00000000-0005-0000-0000-0000D2200000}"/>
    <cellStyle name="Note 2 2 3 5 2 2 2" xfId="17142" xr:uid="{13487DFF-E29C-440D-A4F8-D4A57FA078EC}"/>
    <cellStyle name="Note 2 2 3 5 2 3" xfId="12924" xr:uid="{C9B17377-2401-495F-A3C3-586143DBC50B}"/>
    <cellStyle name="Note 2 2 3 5 3" xfId="6558" xr:uid="{00000000-0005-0000-0000-0000D3200000}"/>
    <cellStyle name="Note 2 2 3 5 3 2" xfId="14997" xr:uid="{51EAA032-7182-4D69-B0EB-1F495DE19D6D}"/>
    <cellStyle name="Note 2 2 3 5 4" xfId="10779" xr:uid="{7545514D-7FDF-49B0-B161-3E4C3F18803A}"/>
    <cellStyle name="Note 2 2 3 6" xfId="2687" xr:uid="{00000000-0005-0000-0000-0000D4200000}"/>
    <cellStyle name="Note 2 2 3 6 2" xfId="6971" xr:uid="{00000000-0005-0000-0000-0000D5200000}"/>
    <cellStyle name="Note 2 2 3 6 2 2" xfId="15410" xr:uid="{2DCFCFD2-2FFC-4161-BE28-48CDCA40E961}"/>
    <cellStyle name="Note 2 2 3 6 3" xfId="11192" xr:uid="{91719A36-533E-402F-A146-F3BAB6EB7441}"/>
    <cellStyle name="Note 2 2 3 7" xfId="2746" xr:uid="{00000000-0005-0000-0000-0000D6200000}"/>
    <cellStyle name="Note 2 2 3 8" xfId="2827" xr:uid="{00000000-0005-0000-0000-0000D7200000}"/>
    <cellStyle name="Note 2 2 3 8 2" xfId="7051" xr:uid="{00000000-0005-0000-0000-0000D8200000}"/>
    <cellStyle name="Note 2 2 3 8 2 2" xfId="15490" xr:uid="{830AD71F-D121-4813-A07B-A027EB2F78B9}"/>
    <cellStyle name="Note 2 2 3 8 3" xfId="11272" xr:uid="{E92D835F-4088-477A-BCF6-D1BF9BD8F236}"/>
    <cellStyle name="Note 2 2 3 9" xfId="4906" xr:uid="{00000000-0005-0000-0000-0000D9200000}"/>
    <cellStyle name="Note 2 2 3 9 2" xfId="13345" xr:uid="{F3F91585-E264-43D3-9C0D-36AA6ABDDDCF}"/>
    <cellStyle name="Note 2 2 4" xfId="1006" xr:uid="{00000000-0005-0000-0000-0000DA200000}"/>
    <cellStyle name="Note 2 2 4 2" xfId="3238" xr:uid="{00000000-0005-0000-0000-0000DB200000}"/>
    <cellStyle name="Note 2 2 4 2 2" xfId="7461" xr:uid="{00000000-0005-0000-0000-0000DC200000}"/>
    <cellStyle name="Note 2 2 4 2 2 2" xfId="15900" xr:uid="{645F8BA0-7495-4940-9EF2-9B205F98A200}"/>
    <cellStyle name="Note 2 2 4 2 3" xfId="11682" xr:uid="{4E2A825A-30B2-41AB-B5C3-C1D913568DCD}"/>
    <cellStyle name="Note 2 2 4 3" xfId="5316" xr:uid="{00000000-0005-0000-0000-0000DD200000}"/>
    <cellStyle name="Note 2 2 4 3 2" xfId="13755" xr:uid="{B126A2D2-C3D0-429F-A1C0-D1DDD578C003}"/>
    <cellStyle name="Note 2 2 4 4" xfId="9537" xr:uid="{645DB194-BD9F-43C0-B42D-BA6CB3B6B0F6}"/>
    <cellStyle name="Note 2 2 5" xfId="1421" xr:uid="{00000000-0005-0000-0000-0000DE200000}"/>
    <cellStyle name="Note 2 2 5 2" xfId="3651" xr:uid="{00000000-0005-0000-0000-0000DF200000}"/>
    <cellStyle name="Note 2 2 5 2 2" xfId="7874" xr:uid="{00000000-0005-0000-0000-0000E0200000}"/>
    <cellStyle name="Note 2 2 5 2 2 2" xfId="16313" xr:uid="{AC38C33E-02EF-460E-A923-5A041CF6A57A}"/>
    <cellStyle name="Note 2 2 5 2 3" xfId="12095" xr:uid="{E478B192-A279-4A63-B02A-343B717B57FC}"/>
    <cellStyle name="Note 2 2 5 3" xfId="5729" xr:uid="{00000000-0005-0000-0000-0000E1200000}"/>
    <cellStyle name="Note 2 2 5 3 2" xfId="14168" xr:uid="{427244D9-563F-4490-B9AC-0F6A747A7344}"/>
    <cellStyle name="Note 2 2 5 4" xfId="9950" xr:uid="{E5ED9CB1-1EB1-4239-9AF5-9E8C4D4A654E}"/>
    <cellStyle name="Note 2 2 6" xfId="1835" xr:uid="{00000000-0005-0000-0000-0000E2200000}"/>
    <cellStyle name="Note 2 2 6 2" xfId="4064" xr:uid="{00000000-0005-0000-0000-0000E3200000}"/>
    <cellStyle name="Note 2 2 6 2 2" xfId="8287" xr:uid="{00000000-0005-0000-0000-0000E4200000}"/>
    <cellStyle name="Note 2 2 6 2 2 2" xfId="16726" xr:uid="{3BF7FA62-9C0F-42B1-AACB-CAFA6FD503FA}"/>
    <cellStyle name="Note 2 2 6 2 3" xfId="12508" xr:uid="{2CEC66F8-309D-4D7B-9A93-87D6AC8D1F29}"/>
    <cellStyle name="Note 2 2 6 3" xfId="6142" xr:uid="{00000000-0005-0000-0000-0000E5200000}"/>
    <cellStyle name="Note 2 2 6 3 2" xfId="14581" xr:uid="{D95A1C74-3691-46A2-9B38-C6E232543EBD}"/>
    <cellStyle name="Note 2 2 6 4" xfId="10363" xr:uid="{859ED04B-CEB7-489E-9CD0-7B3325FC9A75}"/>
    <cellStyle name="Note 2 2 7" xfId="2248" xr:uid="{00000000-0005-0000-0000-0000E6200000}"/>
    <cellStyle name="Note 2 2 7 2" xfId="4477" xr:uid="{00000000-0005-0000-0000-0000E7200000}"/>
    <cellStyle name="Note 2 2 7 2 2" xfId="8700" xr:uid="{00000000-0005-0000-0000-0000E8200000}"/>
    <cellStyle name="Note 2 2 7 2 2 2" xfId="17139" xr:uid="{55D8C0DD-9CD6-4D8E-9269-EB4088782CE5}"/>
    <cellStyle name="Note 2 2 7 2 3" xfId="12921" xr:uid="{0A43B293-92D2-42A3-9182-04C449609DB2}"/>
    <cellStyle name="Note 2 2 7 3" xfId="6555" xr:uid="{00000000-0005-0000-0000-0000E9200000}"/>
    <cellStyle name="Note 2 2 7 3 2" xfId="14994" xr:uid="{995155C8-DEF1-4C00-9E5B-3D3DBE3D831D}"/>
    <cellStyle name="Note 2 2 7 4" xfId="10776" xr:uid="{EBBDF7CF-4375-4726-A0D5-1B5614F1375B}"/>
    <cellStyle name="Note 2 2 8" xfId="2684" xr:uid="{00000000-0005-0000-0000-0000EA200000}"/>
    <cellStyle name="Note 2 2 8 2" xfId="6968" xr:uid="{00000000-0005-0000-0000-0000EB200000}"/>
    <cellStyle name="Note 2 2 8 2 2" xfId="15407" xr:uid="{6ADD99ED-CDED-439A-A3FD-714DE44ABF27}"/>
    <cellStyle name="Note 2 2 8 3" xfId="11189" xr:uid="{4EA52611-3325-4B09-89B7-AD673C8A7E5C}"/>
    <cellStyle name="Note 2 2 9" xfId="2743" xr:uid="{00000000-0005-0000-0000-0000EC200000}"/>
    <cellStyle name="Note 2 3" xfId="549" xr:uid="{00000000-0005-0000-0000-0000ED200000}"/>
    <cellStyle name="Note 2 3 10" xfId="4907" xr:uid="{00000000-0005-0000-0000-0000EE200000}"/>
    <cellStyle name="Note 2 3 10 2" xfId="13346" xr:uid="{8CECB684-8C72-487F-8BF8-478383A3BB1A}"/>
    <cellStyle name="Note 2 3 11" xfId="9128" xr:uid="{3BB863BA-7D5B-4636-A493-1BCA90BD7BEE}"/>
    <cellStyle name="Note 2 3 2" xfId="550" xr:uid="{00000000-0005-0000-0000-0000EF200000}"/>
    <cellStyle name="Note 2 3 2 10" xfId="9129" xr:uid="{191C39BD-E260-4C17-AE8D-00E6552C69F5}"/>
    <cellStyle name="Note 2 3 2 2" xfId="1011" xr:uid="{00000000-0005-0000-0000-0000F0200000}"/>
    <cellStyle name="Note 2 3 2 2 2" xfId="3243" xr:uid="{00000000-0005-0000-0000-0000F1200000}"/>
    <cellStyle name="Note 2 3 2 2 2 2" xfId="7466" xr:uid="{00000000-0005-0000-0000-0000F2200000}"/>
    <cellStyle name="Note 2 3 2 2 2 2 2" xfId="15905" xr:uid="{BD1600C4-F250-449F-9DD9-492CCC083ECE}"/>
    <cellStyle name="Note 2 3 2 2 2 3" xfId="11687" xr:uid="{D2360B09-E716-4B9F-8D08-7C125879DD5E}"/>
    <cellStyle name="Note 2 3 2 2 3" xfId="5321" xr:uid="{00000000-0005-0000-0000-0000F3200000}"/>
    <cellStyle name="Note 2 3 2 2 3 2" xfId="13760" xr:uid="{AA985B05-17D3-4526-8DEA-5E052B67D118}"/>
    <cellStyle name="Note 2 3 2 2 4" xfId="9542" xr:uid="{02395CF0-642C-433F-B9EC-DDF47B1B4787}"/>
    <cellStyle name="Note 2 3 2 3" xfId="1426" xr:uid="{00000000-0005-0000-0000-0000F4200000}"/>
    <cellStyle name="Note 2 3 2 3 2" xfId="3656" xr:uid="{00000000-0005-0000-0000-0000F5200000}"/>
    <cellStyle name="Note 2 3 2 3 2 2" xfId="7879" xr:uid="{00000000-0005-0000-0000-0000F6200000}"/>
    <cellStyle name="Note 2 3 2 3 2 2 2" xfId="16318" xr:uid="{B33DD517-23E2-4997-B31A-1E1F332372A4}"/>
    <cellStyle name="Note 2 3 2 3 2 3" xfId="12100" xr:uid="{F2883F58-404A-44EF-BF82-6E31BE4AADAB}"/>
    <cellStyle name="Note 2 3 2 3 3" xfId="5734" xr:uid="{00000000-0005-0000-0000-0000F7200000}"/>
    <cellStyle name="Note 2 3 2 3 3 2" xfId="14173" xr:uid="{155535E8-EBC4-4943-A901-8FAAB5DA76AD}"/>
    <cellStyle name="Note 2 3 2 3 4" xfId="9955" xr:uid="{C1A4637D-8C16-44E5-8691-2CE0DAEBB708}"/>
    <cellStyle name="Note 2 3 2 4" xfId="1840" xr:uid="{00000000-0005-0000-0000-0000F8200000}"/>
    <cellStyle name="Note 2 3 2 4 2" xfId="4069" xr:uid="{00000000-0005-0000-0000-0000F9200000}"/>
    <cellStyle name="Note 2 3 2 4 2 2" xfId="8292" xr:uid="{00000000-0005-0000-0000-0000FA200000}"/>
    <cellStyle name="Note 2 3 2 4 2 2 2" xfId="16731" xr:uid="{09CFEFCC-DC8B-48E6-BF06-37425624AF98}"/>
    <cellStyle name="Note 2 3 2 4 2 3" xfId="12513" xr:uid="{7F729DDF-62E2-409F-B8F3-861383DC7564}"/>
    <cellStyle name="Note 2 3 2 4 3" xfId="6147" xr:uid="{00000000-0005-0000-0000-0000FB200000}"/>
    <cellStyle name="Note 2 3 2 4 3 2" xfId="14586" xr:uid="{DCFED36B-B217-44C1-B1CA-B90BD2BB94CC}"/>
    <cellStyle name="Note 2 3 2 4 4" xfId="10368" xr:uid="{B61D2D0F-AA08-4680-A9F7-E74DAAA392D2}"/>
    <cellStyle name="Note 2 3 2 5" xfId="2253" xr:uid="{00000000-0005-0000-0000-0000FC200000}"/>
    <cellStyle name="Note 2 3 2 5 2" xfId="4482" xr:uid="{00000000-0005-0000-0000-0000FD200000}"/>
    <cellStyle name="Note 2 3 2 5 2 2" xfId="8705" xr:uid="{00000000-0005-0000-0000-0000FE200000}"/>
    <cellStyle name="Note 2 3 2 5 2 2 2" xfId="17144" xr:uid="{6D0656BC-C021-4008-93BA-F91E9646813A}"/>
    <cellStyle name="Note 2 3 2 5 2 3" xfId="12926" xr:uid="{C9FE29F5-D5F5-4BF3-85A2-E4DA79E3DB4D}"/>
    <cellStyle name="Note 2 3 2 5 3" xfId="6560" xr:uid="{00000000-0005-0000-0000-0000FF200000}"/>
    <cellStyle name="Note 2 3 2 5 3 2" xfId="14999" xr:uid="{A0DCCBB1-AFDC-4D98-BB80-832AC5FC8E3A}"/>
    <cellStyle name="Note 2 3 2 5 4" xfId="10781" xr:uid="{1BFDBEEB-B4BE-48DC-B335-21FD3E819D23}"/>
    <cellStyle name="Note 2 3 2 6" xfId="2689" xr:uid="{00000000-0005-0000-0000-000000210000}"/>
    <cellStyle name="Note 2 3 2 6 2" xfId="6973" xr:uid="{00000000-0005-0000-0000-000001210000}"/>
    <cellStyle name="Note 2 3 2 6 2 2" xfId="15412" xr:uid="{CC954B38-B7CC-4971-9E2F-83439E519F02}"/>
    <cellStyle name="Note 2 3 2 6 3" xfId="11194" xr:uid="{6E50727A-27BA-4D25-A992-C4E1A90737FF}"/>
    <cellStyle name="Note 2 3 2 7" xfId="2748" xr:uid="{00000000-0005-0000-0000-000002210000}"/>
    <cellStyle name="Note 2 3 2 8" xfId="2829" xr:uid="{00000000-0005-0000-0000-000003210000}"/>
    <cellStyle name="Note 2 3 2 8 2" xfId="7053" xr:uid="{00000000-0005-0000-0000-000004210000}"/>
    <cellStyle name="Note 2 3 2 8 2 2" xfId="15492" xr:uid="{575674A8-D4A2-481B-A7C5-B61BD7B9F328}"/>
    <cellStyle name="Note 2 3 2 8 3" xfId="11274" xr:uid="{83D3A340-F5A4-43F5-B48D-8C5AF1647844}"/>
    <cellStyle name="Note 2 3 2 9" xfId="4908" xr:uid="{00000000-0005-0000-0000-000005210000}"/>
    <cellStyle name="Note 2 3 2 9 2" xfId="13347" xr:uid="{675A37DA-83B3-4A0F-AC6D-63823BC8AB60}"/>
    <cellStyle name="Note 2 3 3" xfId="1010" xr:uid="{00000000-0005-0000-0000-000006210000}"/>
    <cellStyle name="Note 2 3 3 2" xfId="3242" xr:uid="{00000000-0005-0000-0000-000007210000}"/>
    <cellStyle name="Note 2 3 3 2 2" xfId="7465" xr:uid="{00000000-0005-0000-0000-000008210000}"/>
    <cellStyle name="Note 2 3 3 2 2 2" xfId="15904" xr:uid="{6D69732A-0D36-47DB-8FE4-1D6D94399D67}"/>
    <cellStyle name="Note 2 3 3 2 3" xfId="11686" xr:uid="{783A69C5-6957-4522-81EF-85A499938347}"/>
    <cellStyle name="Note 2 3 3 3" xfId="5320" xr:uid="{00000000-0005-0000-0000-000009210000}"/>
    <cellStyle name="Note 2 3 3 3 2" xfId="13759" xr:uid="{8B54D7C5-27D6-472B-AF4E-3F1119F251A9}"/>
    <cellStyle name="Note 2 3 3 4" xfId="9541" xr:uid="{A499B797-A9BF-4D11-9520-2A7043F5D990}"/>
    <cellStyle name="Note 2 3 4" xfId="1425" xr:uid="{00000000-0005-0000-0000-00000A210000}"/>
    <cellStyle name="Note 2 3 4 2" xfId="3655" xr:uid="{00000000-0005-0000-0000-00000B210000}"/>
    <cellStyle name="Note 2 3 4 2 2" xfId="7878" xr:uid="{00000000-0005-0000-0000-00000C210000}"/>
    <cellStyle name="Note 2 3 4 2 2 2" xfId="16317" xr:uid="{6235D3A1-68F4-498C-B909-2D44F838D108}"/>
    <cellStyle name="Note 2 3 4 2 3" xfId="12099" xr:uid="{EFDB7ED5-5968-48A1-B09F-FD682832AB31}"/>
    <cellStyle name="Note 2 3 4 3" xfId="5733" xr:uid="{00000000-0005-0000-0000-00000D210000}"/>
    <cellStyle name="Note 2 3 4 3 2" xfId="14172" xr:uid="{1E89F9D8-9091-4A19-B548-3A2BB9518877}"/>
    <cellStyle name="Note 2 3 4 4" xfId="9954" xr:uid="{90EDBF26-E286-4468-8617-C34248CE563D}"/>
    <cellStyle name="Note 2 3 5" xfId="1839" xr:uid="{00000000-0005-0000-0000-00000E210000}"/>
    <cellStyle name="Note 2 3 5 2" xfId="4068" xr:uid="{00000000-0005-0000-0000-00000F210000}"/>
    <cellStyle name="Note 2 3 5 2 2" xfId="8291" xr:uid="{00000000-0005-0000-0000-000010210000}"/>
    <cellStyle name="Note 2 3 5 2 2 2" xfId="16730" xr:uid="{56386CF2-E0AE-4826-88FC-6D1A921938D1}"/>
    <cellStyle name="Note 2 3 5 2 3" xfId="12512" xr:uid="{8C46CB6F-4CE6-4D97-B127-1AA416F26557}"/>
    <cellStyle name="Note 2 3 5 3" xfId="6146" xr:uid="{00000000-0005-0000-0000-000011210000}"/>
    <cellStyle name="Note 2 3 5 3 2" xfId="14585" xr:uid="{9391BC0D-E8BA-4EFD-9038-D93F950F987B}"/>
    <cellStyle name="Note 2 3 5 4" xfId="10367" xr:uid="{8593B378-2723-480A-81A1-2F5536A10231}"/>
    <cellStyle name="Note 2 3 6" xfId="2252" xr:uid="{00000000-0005-0000-0000-000012210000}"/>
    <cellStyle name="Note 2 3 6 2" xfId="4481" xr:uid="{00000000-0005-0000-0000-000013210000}"/>
    <cellStyle name="Note 2 3 6 2 2" xfId="8704" xr:uid="{00000000-0005-0000-0000-000014210000}"/>
    <cellStyle name="Note 2 3 6 2 2 2" xfId="17143" xr:uid="{756160AE-400A-4185-8D6E-1EE6D14C70B4}"/>
    <cellStyle name="Note 2 3 6 2 3" xfId="12925" xr:uid="{46D504C5-5EF2-417B-BE60-B51F64E01A2C}"/>
    <cellStyle name="Note 2 3 6 3" xfId="6559" xr:uid="{00000000-0005-0000-0000-000015210000}"/>
    <cellStyle name="Note 2 3 6 3 2" xfId="14998" xr:uid="{85211E44-4348-4504-9DFE-EE1B23DC0B7F}"/>
    <cellStyle name="Note 2 3 6 4" xfId="10780" xr:uid="{D075F89C-BBEF-484A-81A2-92CF6E3B0111}"/>
    <cellStyle name="Note 2 3 7" xfId="2688" xr:uid="{00000000-0005-0000-0000-000016210000}"/>
    <cellStyle name="Note 2 3 7 2" xfId="6972" xr:uid="{00000000-0005-0000-0000-000017210000}"/>
    <cellStyle name="Note 2 3 7 2 2" xfId="15411" xr:uid="{199AB081-4F6E-45E8-8051-7279C8D3ADAF}"/>
    <cellStyle name="Note 2 3 7 3" xfId="11193" xr:uid="{C8470005-73D3-45A2-8B26-97492032DC04}"/>
    <cellStyle name="Note 2 3 8" xfId="2747" xr:uid="{00000000-0005-0000-0000-000018210000}"/>
    <cellStyle name="Note 2 3 9" xfId="2828" xr:uid="{00000000-0005-0000-0000-000019210000}"/>
    <cellStyle name="Note 2 3 9 2" xfId="7052" xr:uid="{00000000-0005-0000-0000-00001A210000}"/>
    <cellStyle name="Note 2 3 9 2 2" xfId="15491" xr:uid="{73A90ECB-E5B4-48A0-BD1C-37C8B2BBBFF6}"/>
    <cellStyle name="Note 2 3 9 3" xfId="11273" xr:uid="{7F81DCDA-1ADF-4BAA-9141-3A3080DF5D42}"/>
    <cellStyle name="Note 2 4" xfId="551" xr:uid="{00000000-0005-0000-0000-00001B210000}"/>
    <cellStyle name="Note 2 4 10" xfId="9130" xr:uid="{9B0AF6B6-D033-402B-AD36-8DD8761B898D}"/>
    <cellStyle name="Note 2 4 2" xfId="1012" xr:uid="{00000000-0005-0000-0000-00001C210000}"/>
    <cellStyle name="Note 2 4 2 2" xfId="3244" xr:uid="{00000000-0005-0000-0000-00001D210000}"/>
    <cellStyle name="Note 2 4 2 2 2" xfId="7467" xr:uid="{00000000-0005-0000-0000-00001E210000}"/>
    <cellStyle name="Note 2 4 2 2 2 2" xfId="15906" xr:uid="{E2A6E4DE-6E4C-4D37-A49F-530948471D60}"/>
    <cellStyle name="Note 2 4 2 2 3" xfId="11688" xr:uid="{FE6F2BE0-E8AA-4275-BC44-7830711D0316}"/>
    <cellStyle name="Note 2 4 2 3" xfId="5322" xr:uid="{00000000-0005-0000-0000-00001F210000}"/>
    <cellStyle name="Note 2 4 2 3 2" xfId="13761" xr:uid="{E99104F4-F3CF-41BF-A892-5CCC2EDA8F73}"/>
    <cellStyle name="Note 2 4 2 4" xfId="9543" xr:uid="{8D2F9ABC-1B3C-4EBB-BE17-3BBAF0AD2D5D}"/>
    <cellStyle name="Note 2 4 3" xfId="1427" xr:uid="{00000000-0005-0000-0000-000020210000}"/>
    <cellStyle name="Note 2 4 3 2" xfId="3657" xr:uid="{00000000-0005-0000-0000-000021210000}"/>
    <cellStyle name="Note 2 4 3 2 2" xfId="7880" xr:uid="{00000000-0005-0000-0000-000022210000}"/>
    <cellStyle name="Note 2 4 3 2 2 2" xfId="16319" xr:uid="{4E3745A0-5CBB-4F44-A991-F53904790643}"/>
    <cellStyle name="Note 2 4 3 2 3" xfId="12101" xr:uid="{4E93E5F2-A385-4D3C-92F3-1967338F911D}"/>
    <cellStyle name="Note 2 4 3 3" xfId="5735" xr:uid="{00000000-0005-0000-0000-000023210000}"/>
    <cellStyle name="Note 2 4 3 3 2" xfId="14174" xr:uid="{F4A9C3FF-8862-4C8B-94AF-47E4E69D91AD}"/>
    <cellStyle name="Note 2 4 3 4" xfId="9956" xr:uid="{A05A79EA-7177-4237-A22E-5A80B565BBBB}"/>
    <cellStyle name="Note 2 4 4" xfId="1841" xr:uid="{00000000-0005-0000-0000-000024210000}"/>
    <cellStyle name="Note 2 4 4 2" xfId="4070" xr:uid="{00000000-0005-0000-0000-000025210000}"/>
    <cellStyle name="Note 2 4 4 2 2" xfId="8293" xr:uid="{00000000-0005-0000-0000-000026210000}"/>
    <cellStyle name="Note 2 4 4 2 2 2" xfId="16732" xr:uid="{66137547-D2E8-4223-B4DF-E43F64785FF1}"/>
    <cellStyle name="Note 2 4 4 2 3" xfId="12514" xr:uid="{D56CD67B-C8F6-433D-A1ED-0D0E4AF8329A}"/>
    <cellStyle name="Note 2 4 4 3" xfId="6148" xr:uid="{00000000-0005-0000-0000-000027210000}"/>
    <cellStyle name="Note 2 4 4 3 2" xfId="14587" xr:uid="{B21F3EC5-EC1E-4942-B9F9-2DC37DF5F6CF}"/>
    <cellStyle name="Note 2 4 4 4" xfId="10369" xr:uid="{35922FF4-3FB5-4A05-AADB-61C1E8E84338}"/>
    <cellStyle name="Note 2 4 5" xfId="2254" xr:uid="{00000000-0005-0000-0000-000028210000}"/>
    <cellStyle name="Note 2 4 5 2" xfId="4483" xr:uid="{00000000-0005-0000-0000-000029210000}"/>
    <cellStyle name="Note 2 4 5 2 2" xfId="8706" xr:uid="{00000000-0005-0000-0000-00002A210000}"/>
    <cellStyle name="Note 2 4 5 2 2 2" xfId="17145" xr:uid="{202FEF72-00E8-4E89-A420-91F5E640758F}"/>
    <cellStyle name="Note 2 4 5 2 3" xfId="12927" xr:uid="{CC957844-EF43-40B2-B653-2CB272B2D0FD}"/>
    <cellStyle name="Note 2 4 5 3" xfId="6561" xr:uid="{00000000-0005-0000-0000-00002B210000}"/>
    <cellStyle name="Note 2 4 5 3 2" xfId="15000" xr:uid="{0A825EFB-6628-46BD-8C08-A484B02EB381}"/>
    <cellStyle name="Note 2 4 5 4" xfId="10782" xr:uid="{E4509C23-5D40-454C-B3E0-B95F0A8C4282}"/>
    <cellStyle name="Note 2 4 6" xfId="2690" xr:uid="{00000000-0005-0000-0000-00002C210000}"/>
    <cellStyle name="Note 2 4 6 2" xfId="6974" xr:uid="{00000000-0005-0000-0000-00002D210000}"/>
    <cellStyle name="Note 2 4 6 2 2" xfId="15413" xr:uid="{B56BFA58-3769-4E7E-8E6E-CFB12D12A699}"/>
    <cellStyle name="Note 2 4 6 3" xfId="11195" xr:uid="{C0EDDE8A-0880-46EA-8954-782E567C504F}"/>
    <cellStyle name="Note 2 4 7" xfId="2749" xr:uid="{00000000-0005-0000-0000-00002E210000}"/>
    <cellStyle name="Note 2 4 8" xfId="2830" xr:uid="{00000000-0005-0000-0000-00002F210000}"/>
    <cellStyle name="Note 2 4 8 2" xfId="7054" xr:uid="{00000000-0005-0000-0000-000030210000}"/>
    <cellStyle name="Note 2 4 8 2 2" xfId="15493" xr:uid="{CD83C15E-60C2-4707-8F31-92E83CFD4EAA}"/>
    <cellStyle name="Note 2 4 8 3" xfId="11275" xr:uid="{E215C422-5984-4283-85F2-5FA405A6C9E2}"/>
    <cellStyle name="Note 2 4 9" xfId="4909" xr:uid="{00000000-0005-0000-0000-000031210000}"/>
    <cellStyle name="Note 2 4 9 2" xfId="13348" xr:uid="{32FA3E44-F369-46AF-BBDF-EBB940530207}"/>
    <cellStyle name="Note 2 5" xfId="552" xr:uid="{00000000-0005-0000-0000-000032210000}"/>
    <cellStyle name="Note 2 5 10" xfId="9131" xr:uid="{327BC153-4BBB-4608-98EA-8015DFE4521D}"/>
    <cellStyle name="Note 2 5 2" xfId="1013" xr:uid="{00000000-0005-0000-0000-000033210000}"/>
    <cellStyle name="Note 2 5 2 2" xfId="3245" xr:uid="{00000000-0005-0000-0000-000034210000}"/>
    <cellStyle name="Note 2 5 2 2 2" xfId="7468" xr:uid="{00000000-0005-0000-0000-000035210000}"/>
    <cellStyle name="Note 2 5 2 2 2 2" xfId="15907" xr:uid="{875A87D1-6E90-4F98-ACCC-9C8EAD590692}"/>
    <cellStyle name="Note 2 5 2 2 3" xfId="11689" xr:uid="{7A26CA17-DF44-4F87-945F-10C8007D0CFE}"/>
    <cellStyle name="Note 2 5 2 3" xfId="5323" xr:uid="{00000000-0005-0000-0000-000036210000}"/>
    <cellStyle name="Note 2 5 2 3 2" xfId="13762" xr:uid="{5E0FBB5B-D500-4A1F-8CEF-BEA36AD676DA}"/>
    <cellStyle name="Note 2 5 2 4" xfId="9544" xr:uid="{164C4D6F-196A-430E-B29B-3D7A01F0904C}"/>
    <cellStyle name="Note 2 5 3" xfId="1428" xr:uid="{00000000-0005-0000-0000-000037210000}"/>
    <cellStyle name="Note 2 5 3 2" xfId="3658" xr:uid="{00000000-0005-0000-0000-000038210000}"/>
    <cellStyle name="Note 2 5 3 2 2" xfId="7881" xr:uid="{00000000-0005-0000-0000-000039210000}"/>
    <cellStyle name="Note 2 5 3 2 2 2" xfId="16320" xr:uid="{FC767189-FBF6-49B7-A12B-673157F68419}"/>
    <cellStyle name="Note 2 5 3 2 3" xfId="12102" xr:uid="{432B4C5F-1AB3-47BD-8CBA-D03CEE2862F7}"/>
    <cellStyle name="Note 2 5 3 3" xfId="5736" xr:uid="{00000000-0005-0000-0000-00003A210000}"/>
    <cellStyle name="Note 2 5 3 3 2" xfId="14175" xr:uid="{9230E7EC-D19E-40ED-B201-A38D9EFDA9A0}"/>
    <cellStyle name="Note 2 5 3 4" xfId="9957" xr:uid="{A7CB9B62-2929-48F6-A726-274D5EED493C}"/>
    <cellStyle name="Note 2 5 4" xfId="1842" xr:uid="{00000000-0005-0000-0000-00003B210000}"/>
    <cellStyle name="Note 2 5 4 2" xfId="4071" xr:uid="{00000000-0005-0000-0000-00003C210000}"/>
    <cellStyle name="Note 2 5 4 2 2" xfId="8294" xr:uid="{00000000-0005-0000-0000-00003D210000}"/>
    <cellStyle name="Note 2 5 4 2 2 2" xfId="16733" xr:uid="{70AAFBA1-5E53-4A8F-9524-7A333EBACDB2}"/>
    <cellStyle name="Note 2 5 4 2 3" xfId="12515" xr:uid="{E84C8967-6B91-4BCB-B146-1FD4DB87B661}"/>
    <cellStyle name="Note 2 5 4 3" xfId="6149" xr:uid="{00000000-0005-0000-0000-00003E210000}"/>
    <cellStyle name="Note 2 5 4 3 2" xfId="14588" xr:uid="{003E36DE-68F2-4957-AD5C-3FEFB1D8FE76}"/>
    <cellStyle name="Note 2 5 4 4" xfId="10370" xr:uid="{0B505E53-302C-4726-981D-3126A67AB155}"/>
    <cellStyle name="Note 2 5 5" xfId="2255" xr:uid="{00000000-0005-0000-0000-00003F210000}"/>
    <cellStyle name="Note 2 5 5 2" xfId="4484" xr:uid="{00000000-0005-0000-0000-000040210000}"/>
    <cellStyle name="Note 2 5 5 2 2" xfId="8707" xr:uid="{00000000-0005-0000-0000-000041210000}"/>
    <cellStyle name="Note 2 5 5 2 2 2" xfId="17146" xr:uid="{881169C3-DE5B-485A-BCF7-16ADBAE1A606}"/>
    <cellStyle name="Note 2 5 5 2 3" xfId="12928" xr:uid="{446497CF-EB58-410F-BA78-D26FEB50E54E}"/>
    <cellStyle name="Note 2 5 5 3" xfId="6562" xr:uid="{00000000-0005-0000-0000-000042210000}"/>
    <cellStyle name="Note 2 5 5 3 2" xfId="15001" xr:uid="{415FC8E3-577A-4C90-A686-B70935B3BCBF}"/>
    <cellStyle name="Note 2 5 5 4" xfId="10783" xr:uid="{794218D0-4D14-4C38-AEEC-FF9C7FA1CA19}"/>
    <cellStyle name="Note 2 5 6" xfId="2691" xr:uid="{00000000-0005-0000-0000-000043210000}"/>
    <cellStyle name="Note 2 5 6 2" xfId="6975" xr:uid="{00000000-0005-0000-0000-000044210000}"/>
    <cellStyle name="Note 2 5 6 2 2" xfId="15414" xr:uid="{EFE2D7DB-AC29-4245-B465-0E53F4770F83}"/>
    <cellStyle name="Note 2 5 6 3" xfId="11196" xr:uid="{2A205E57-2877-4601-9591-5DA6A2164EAD}"/>
    <cellStyle name="Note 2 5 7" xfId="2750" xr:uid="{00000000-0005-0000-0000-000045210000}"/>
    <cellStyle name="Note 2 5 8" xfId="2831" xr:uid="{00000000-0005-0000-0000-000046210000}"/>
    <cellStyle name="Note 2 5 8 2" xfId="7055" xr:uid="{00000000-0005-0000-0000-000047210000}"/>
    <cellStyle name="Note 2 5 8 2 2" xfId="15494" xr:uid="{D5340508-4E3A-411B-A640-380A85748CA1}"/>
    <cellStyle name="Note 2 5 8 3" xfId="11276" xr:uid="{21D37F3B-C517-4C4E-8211-1F923DFDB8F9}"/>
    <cellStyle name="Note 2 5 9" xfId="4910" xr:uid="{00000000-0005-0000-0000-000048210000}"/>
    <cellStyle name="Note 2 5 9 2" xfId="13349" xr:uid="{EECA4519-EC38-433D-B15F-3B45C27F2F91}"/>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C465F99B-4CDE-4ABC-9CA9-36B636E5CB44}"/>
    <cellStyle name="Note 3 2 10 3" xfId="11277" xr:uid="{12352FA7-3625-4BEA-978F-84955E9640EB}"/>
    <cellStyle name="Note 3 2 11" xfId="4911" xr:uid="{00000000-0005-0000-0000-00004D210000}"/>
    <cellStyle name="Note 3 2 11 2" xfId="13350" xr:uid="{EE5D2681-2070-4214-9D98-14FFD2781415}"/>
    <cellStyle name="Note 3 2 12" xfId="9132" xr:uid="{B769D24E-83B4-4B8C-A59E-7052ED30A56C}"/>
    <cellStyle name="Note 3 2 2" xfId="555" xr:uid="{00000000-0005-0000-0000-00004E210000}"/>
    <cellStyle name="Note 3 2 2 10" xfId="4912" xr:uid="{00000000-0005-0000-0000-00004F210000}"/>
    <cellStyle name="Note 3 2 2 10 2" xfId="13351" xr:uid="{B3FC8951-6D6D-4AB7-80AB-60ACEED4A564}"/>
    <cellStyle name="Note 3 2 2 11" xfId="9133" xr:uid="{CE7CD6FD-8F9E-432F-8496-6A6C5EADBFFD}"/>
    <cellStyle name="Note 3 2 2 2" xfId="556" xr:uid="{00000000-0005-0000-0000-000050210000}"/>
    <cellStyle name="Note 3 2 2 2 10" xfId="9134" xr:uid="{089D4C7F-73B9-464F-99D3-40196A912723}"/>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5E3E4DEC-5B9A-4018-A225-DFD69AAE3AB4}"/>
    <cellStyle name="Note 3 2 2 2 2 2 3" xfId="11692" xr:uid="{6E204C6D-C57F-42CF-B3C3-AC70A0FA6544}"/>
    <cellStyle name="Note 3 2 2 2 2 3" xfId="5326" xr:uid="{00000000-0005-0000-0000-000054210000}"/>
    <cellStyle name="Note 3 2 2 2 2 3 2" xfId="13765" xr:uid="{576AA7C9-CA83-473F-9A69-8EDEF70DAA0D}"/>
    <cellStyle name="Note 3 2 2 2 2 4" xfId="9547" xr:uid="{0C2E3607-DD58-4D29-93E8-2E54D0A2A19D}"/>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89424DE4-9BAB-4785-A5C6-2AB3659265F1}"/>
    <cellStyle name="Note 3 2 2 2 3 2 3" xfId="12105" xr:uid="{18F96EAD-DE22-4E3E-B1FE-7A4B17E31315}"/>
    <cellStyle name="Note 3 2 2 2 3 3" xfId="5739" xr:uid="{00000000-0005-0000-0000-000058210000}"/>
    <cellStyle name="Note 3 2 2 2 3 3 2" xfId="14178" xr:uid="{C02B86E8-E444-454F-B660-D75F1F3A0A7E}"/>
    <cellStyle name="Note 3 2 2 2 3 4" xfId="9960" xr:uid="{74D541D3-07C3-4D88-8561-17D5B87D8373}"/>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51E23C7D-9E26-44CC-AFF2-3D26D5E3BF5D}"/>
    <cellStyle name="Note 3 2 2 2 4 2 3" xfId="12518" xr:uid="{20DDA382-4B6D-4E06-B554-6F2E711025A2}"/>
    <cellStyle name="Note 3 2 2 2 4 3" xfId="6152" xr:uid="{00000000-0005-0000-0000-00005C210000}"/>
    <cellStyle name="Note 3 2 2 2 4 3 2" xfId="14591" xr:uid="{7736273F-17B1-4C98-8041-CAE43C19354C}"/>
    <cellStyle name="Note 3 2 2 2 4 4" xfId="10373" xr:uid="{A4F74420-F927-4F02-9BED-8C1FEE886DEC}"/>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2F5160E7-D5E3-442D-BDA4-FEBB3BC82E7C}"/>
    <cellStyle name="Note 3 2 2 2 5 2 3" xfId="12931" xr:uid="{79878D66-E749-4716-8744-3EDD19C35E41}"/>
    <cellStyle name="Note 3 2 2 2 5 3" xfId="6565" xr:uid="{00000000-0005-0000-0000-000060210000}"/>
    <cellStyle name="Note 3 2 2 2 5 3 2" xfId="15004" xr:uid="{2FB2BF0D-2309-40BA-A004-9B6D45E216C3}"/>
    <cellStyle name="Note 3 2 2 2 5 4" xfId="10786" xr:uid="{C5D853FE-8C4F-4A19-9C2D-3310CAC59144}"/>
    <cellStyle name="Note 3 2 2 2 6" xfId="2694" xr:uid="{00000000-0005-0000-0000-000061210000}"/>
    <cellStyle name="Note 3 2 2 2 6 2" xfId="6978" xr:uid="{00000000-0005-0000-0000-000062210000}"/>
    <cellStyle name="Note 3 2 2 2 6 2 2" xfId="15417" xr:uid="{0B5DA970-78F8-4DB8-A5E4-B96BEAFD591F}"/>
    <cellStyle name="Note 3 2 2 2 6 3" xfId="11199" xr:uid="{0B34F405-85F7-40DA-86D3-653424C2F9A9}"/>
    <cellStyle name="Note 3 2 2 2 7" xfId="2753" xr:uid="{00000000-0005-0000-0000-000063210000}"/>
    <cellStyle name="Note 3 2 2 2 8" xfId="2834" xr:uid="{00000000-0005-0000-0000-000064210000}"/>
    <cellStyle name="Note 3 2 2 2 8 2" xfId="7058" xr:uid="{00000000-0005-0000-0000-000065210000}"/>
    <cellStyle name="Note 3 2 2 2 8 2 2" xfId="15497" xr:uid="{F8CC152F-E697-43B8-9C36-C9E5CD43BBD3}"/>
    <cellStyle name="Note 3 2 2 2 8 3" xfId="11279" xr:uid="{57050CDE-8D7A-4C15-8E95-ED0F8E3D0C4F}"/>
    <cellStyle name="Note 3 2 2 2 9" xfId="4913" xr:uid="{00000000-0005-0000-0000-000066210000}"/>
    <cellStyle name="Note 3 2 2 2 9 2" xfId="13352" xr:uid="{268C827C-D7AB-48AE-B20E-480265DECF21}"/>
    <cellStyle name="Note 3 2 2 3" xfId="1015" xr:uid="{00000000-0005-0000-0000-000067210000}"/>
    <cellStyle name="Note 3 2 2 3 2" xfId="3247" xr:uid="{00000000-0005-0000-0000-000068210000}"/>
    <cellStyle name="Note 3 2 2 3 2 2" xfId="7470" xr:uid="{00000000-0005-0000-0000-000069210000}"/>
    <cellStyle name="Note 3 2 2 3 2 2 2" xfId="15909" xr:uid="{0D1FCD59-BCD9-461F-9EEC-139BEF69A93E}"/>
    <cellStyle name="Note 3 2 2 3 2 3" xfId="11691" xr:uid="{10EB9C96-1DDD-444E-878A-A101F05BDF95}"/>
    <cellStyle name="Note 3 2 2 3 3" xfId="5325" xr:uid="{00000000-0005-0000-0000-00006A210000}"/>
    <cellStyle name="Note 3 2 2 3 3 2" xfId="13764" xr:uid="{BE7DBEF8-E895-4D26-8066-5FB83A8F71A1}"/>
    <cellStyle name="Note 3 2 2 3 4" xfId="9546" xr:uid="{4E9EF8B6-4022-42F2-AD1D-9ED8AEC2DB3D}"/>
    <cellStyle name="Note 3 2 2 4" xfId="1430" xr:uid="{00000000-0005-0000-0000-00006B210000}"/>
    <cellStyle name="Note 3 2 2 4 2" xfId="3660" xr:uid="{00000000-0005-0000-0000-00006C210000}"/>
    <cellStyle name="Note 3 2 2 4 2 2" xfId="7883" xr:uid="{00000000-0005-0000-0000-00006D210000}"/>
    <cellStyle name="Note 3 2 2 4 2 2 2" xfId="16322" xr:uid="{99DC1F68-57AA-49D3-A694-AA14183E5786}"/>
    <cellStyle name="Note 3 2 2 4 2 3" xfId="12104" xr:uid="{AC2DCD06-8185-4897-9373-160630630FE0}"/>
    <cellStyle name="Note 3 2 2 4 3" xfId="5738" xr:uid="{00000000-0005-0000-0000-00006E210000}"/>
    <cellStyle name="Note 3 2 2 4 3 2" xfId="14177" xr:uid="{50552CA1-4A3C-4BAC-8773-25CD0A4A34C4}"/>
    <cellStyle name="Note 3 2 2 4 4" xfId="9959" xr:uid="{15C5D81F-562A-407F-B002-AC567FCA76E4}"/>
    <cellStyle name="Note 3 2 2 5" xfId="1844" xr:uid="{00000000-0005-0000-0000-00006F210000}"/>
    <cellStyle name="Note 3 2 2 5 2" xfId="4073" xr:uid="{00000000-0005-0000-0000-000070210000}"/>
    <cellStyle name="Note 3 2 2 5 2 2" xfId="8296" xr:uid="{00000000-0005-0000-0000-000071210000}"/>
    <cellStyle name="Note 3 2 2 5 2 2 2" xfId="16735" xr:uid="{20E9E8AD-1A45-48A9-9B6C-5EAA9CBD997A}"/>
    <cellStyle name="Note 3 2 2 5 2 3" xfId="12517" xr:uid="{5D614F12-048F-417B-A0EC-292AF181AB2A}"/>
    <cellStyle name="Note 3 2 2 5 3" xfId="6151" xr:uid="{00000000-0005-0000-0000-000072210000}"/>
    <cellStyle name="Note 3 2 2 5 3 2" xfId="14590" xr:uid="{8BA35E92-CBD0-471B-9496-078338180588}"/>
    <cellStyle name="Note 3 2 2 5 4" xfId="10372" xr:uid="{FC011313-2BB7-48E7-A7C4-1A1C46C464F3}"/>
    <cellStyle name="Note 3 2 2 6" xfId="2257" xr:uid="{00000000-0005-0000-0000-000073210000}"/>
    <cellStyle name="Note 3 2 2 6 2" xfId="4486" xr:uid="{00000000-0005-0000-0000-000074210000}"/>
    <cellStyle name="Note 3 2 2 6 2 2" xfId="8709" xr:uid="{00000000-0005-0000-0000-000075210000}"/>
    <cellStyle name="Note 3 2 2 6 2 2 2" xfId="17148" xr:uid="{5CE84728-C13E-4956-8DBE-CB3AFF3C1B34}"/>
    <cellStyle name="Note 3 2 2 6 2 3" xfId="12930" xr:uid="{37EB6F5C-4616-4963-BBAF-338BEBE809A1}"/>
    <cellStyle name="Note 3 2 2 6 3" xfId="6564" xr:uid="{00000000-0005-0000-0000-000076210000}"/>
    <cellStyle name="Note 3 2 2 6 3 2" xfId="15003" xr:uid="{1CEA9792-E1D9-41F8-A4E6-5E6E8D13EADE}"/>
    <cellStyle name="Note 3 2 2 6 4" xfId="10785" xr:uid="{1DEA2295-5E33-4B56-ADB6-7D89B4CDB61D}"/>
    <cellStyle name="Note 3 2 2 7" xfId="2693" xr:uid="{00000000-0005-0000-0000-000077210000}"/>
    <cellStyle name="Note 3 2 2 7 2" xfId="6977" xr:uid="{00000000-0005-0000-0000-000078210000}"/>
    <cellStyle name="Note 3 2 2 7 2 2" xfId="15416" xr:uid="{16BBC021-01CF-4FBC-A70E-9FCE1A63B4C7}"/>
    <cellStyle name="Note 3 2 2 7 3" xfId="11198" xr:uid="{D3F4C4C4-C34F-48BE-85C4-12913235E512}"/>
    <cellStyle name="Note 3 2 2 8" xfId="2752" xr:uid="{00000000-0005-0000-0000-000079210000}"/>
    <cellStyle name="Note 3 2 2 9" xfId="2833" xr:uid="{00000000-0005-0000-0000-00007A210000}"/>
    <cellStyle name="Note 3 2 2 9 2" xfId="7057" xr:uid="{00000000-0005-0000-0000-00007B210000}"/>
    <cellStyle name="Note 3 2 2 9 2 2" xfId="15496" xr:uid="{F8360D8D-A9F0-46BE-B6F2-38E8DC74DC82}"/>
    <cellStyle name="Note 3 2 2 9 3" xfId="11278" xr:uid="{4A6CAAAD-1CC8-4390-82B4-4566FBCEABA0}"/>
    <cellStyle name="Note 3 2 3" xfId="557" xr:uid="{00000000-0005-0000-0000-00007C210000}"/>
    <cellStyle name="Note 3 2 3 10" xfId="9135" xr:uid="{2D0BA93A-95A4-4D41-97A3-D56FA6A797CA}"/>
    <cellStyle name="Note 3 2 3 2" xfId="1017" xr:uid="{00000000-0005-0000-0000-00007D210000}"/>
    <cellStyle name="Note 3 2 3 2 2" xfId="3249" xr:uid="{00000000-0005-0000-0000-00007E210000}"/>
    <cellStyle name="Note 3 2 3 2 2 2" xfId="7472" xr:uid="{00000000-0005-0000-0000-00007F210000}"/>
    <cellStyle name="Note 3 2 3 2 2 2 2" xfId="15911" xr:uid="{83BBE190-277A-4F12-A0AE-D7B93F902AAE}"/>
    <cellStyle name="Note 3 2 3 2 2 3" xfId="11693" xr:uid="{84E338EE-7CFD-4DAC-95AA-9B2641FCB0B3}"/>
    <cellStyle name="Note 3 2 3 2 3" xfId="5327" xr:uid="{00000000-0005-0000-0000-000080210000}"/>
    <cellStyle name="Note 3 2 3 2 3 2" xfId="13766" xr:uid="{F0A12928-C1AD-46D7-BD7A-0DE097A13208}"/>
    <cellStyle name="Note 3 2 3 2 4" xfId="9548" xr:uid="{DAAB50E2-8D46-44AC-B720-2A40AA4899EA}"/>
    <cellStyle name="Note 3 2 3 3" xfId="1432" xr:uid="{00000000-0005-0000-0000-000081210000}"/>
    <cellStyle name="Note 3 2 3 3 2" xfId="3662" xr:uid="{00000000-0005-0000-0000-000082210000}"/>
    <cellStyle name="Note 3 2 3 3 2 2" xfId="7885" xr:uid="{00000000-0005-0000-0000-000083210000}"/>
    <cellStyle name="Note 3 2 3 3 2 2 2" xfId="16324" xr:uid="{412CCE22-C5C7-4247-9187-D156E650DD9F}"/>
    <cellStyle name="Note 3 2 3 3 2 3" xfId="12106" xr:uid="{C941DA35-131F-4C60-B940-EEE8FC867049}"/>
    <cellStyle name="Note 3 2 3 3 3" xfId="5740" xr:uid="{00000000-0005-0000-0000-000084210000}"/>
    <cellStyle name="Note 3 2 3 3 3 2" xfId="14179" xr:uid="{BEEBE01B-1722-4C2C-886A-EBCB3C7214C9}"/>
    <cellStyle name="Note 3 2 3 3 4" xfId="9961" xr:uid="{C3023F63-E0FF-44F8-AA98-3B2F80E512D4}"/>
    <cellStyle name="Note 3 2 3 4" xfId="1846" xr:uid="{00000000-0005-0000-0000-000085210000}"/>
    <cellStyle name="Note 3 2 3 4 2" xfId="4075" xr:uid="{00000000-0005-0000-0000-000086210000}"/>
    <cellStyle name="Note 3 2 3 4 2 2" xfId="8298" xr:uid="{00000000-0005-0000-0000-000087210000}"/>
    <cellStyle name="Note 3 2 3 4 2 2 2" xfId="16737" xr:uid="{9A6D9D41-01A4-435B-A586-1FA0630DB6C4}"/>
    <cellStyle name="Note 3 2 3 4 2 3" xfId="12519" xr:uid="{C79AC7CF-9F23-4F14-A0D3-56BE7B17A08D}"/>
    <cellStyle name="Note 3 2 3 4 3" xfId="6153" xr:uid="{00000000-0005-0000-0000-000088210000}"/>
    <cellStyle name="Note 3 2 3 4 3 2" xfId="14592" xr:uid="{32712497-6F73-4330-8ED0-A8E268039CF7}"/>
    <cellStyle name="Note 3 2 3 4 4" xfId="10374" xr:uid="{9BFB17F4-A214-482D-BD9C-A4C272F3EA43}"/>
    <cellStyle name="Note 3 2 3 5" xfId="2259" xr:uid="{00000000-0005-0000-0000-000089210000}"/>
    <cellStyle name="Note 3 2 3 5 2" xfId="4488" xr:uid="{00000000-0005-0000-0000-00008A210000}"/>
    <cellStyle name="Note 3 2 3 5 2 2" xfId="8711" xr:uid="{00000000-0005-0000-0000-00008B210000}"/>
    <cellStyle name="Note 3 2 3 5 2 2 2" xfId="17150" xr:uid="{E2F7A96C-39D9-4F91-A6E3-A79CFEE2608C}"/>
    <cellStyle name="Note 3 2 3 5 2 3" xfId="12932" xr:uid="{D99B011E-D8EE-4AB3-86B0-85720740E56B}"/>
    <cellStyle name="Note 3 2 3 5 3" xfId="6566" xr:uid="{00000000-0005-0000-0000-00008C210000}"/>
    <cellStyle name="Note 3 2 3 5 3 2" xfId="15005" xr:uid="{D3EC2FD3-7A18-41BC-BE8E-A4A9C94AF12A}"/>
    <cellStyle name="Note 3 2 3 5 4" xfId="10787" xr:uid="{B95ECB75-14D6-4203-8E34-F9C99DFCFDD9}"/>
    <cellStyle name="Note 3 2 3 6" xfId="2695" xr:uid="{00000000-0005-0000-0000-00008D210000}"/>
    <cellStyle name="Note 3 2 3 6 2" xfId="6979" xr:uid="{00000000-0005-0000-0000-00008E210000}"/>
    <cellStyle name="Note 3 2 3 6 2 2" xfId="15418" xr:uid="{0CB7670C-9358-43B2-B5D6-12C25DDA2837}"/>
    <cellStyle name="Note 3 2 3 6 3" xfId="11200" xr:uid="{14F008D8-B711-4F79-9564-A079EEF2DD82}"/>
    <cellStyle name="Note 3 2 3 7" xfId="2754" xr:uid="{00000000-0005-0000-0000-00008F210000}"/>
    <cellStyle name="Note 3 2 3 8" xfId="2835" xr:uid="{00000000-0005-0000-0000-000090210000}"/>
    <cellStyle name="Note 3 2 3 8 2" xfId="7059" xr:uid="{00000000-0005-0000-0000-000091210000}"/>
    <cellStyle name="Note 3 2 3 8 2 2" xfId="15498" xr:uid="{4DDDE883-66C6-4399-9BAA-F9B6E392473D}"/>
    <cellStyle name="Note 3 2 3 8 3" xfId="11280" xr:uid="{4ECDD2FD-8B55-43CD-8AE2-B95A6B3D908D}"/>
    <cellStyle name="Note 3 2 3 9" xfId="4914" xr:uid="{00000000-0005-0000-0000-000092210000}"/>
    <cellStyle name="Note 3 2 3 9 2" xfId="13353" xr:uid="{736D6BA4-E850-4EB1-A1D9-DEF3936739DB}"/>
    <cellStyle name="Note 3 2 4" xfId="1014" xr:uid="{00000000-0005-0000-0000-000093210000}"/>
    <cellStyle name="Note 3 2 4 2" xfId="3246" xr:uid="{00000000-0005-0000-0000-000094210000}"/>
    <cellStyle name="Note 3 2 4 2 2" xfId="7469" xr:uid="{00000000-0005-0000-0000-000095210000}"/>
    <cellStyle name="Note 3 2 4 2 2 2" xfId="15908" xr:uid="{3006E8E5-A72D-4032-9891-16ED30257EA6}"/>
    <cellStyle name="Note 3 2 4 2 3" xfId="11690" xr:uid="{91A162C6-8C6D-4073-BE9C-BB7035480289}"/>
    <cellStyle name="Note 3 2 4 3" xfId="5324" xr:uid="{00000000-0005-0000-0000-000096210000}"/>
    <cellStyle name="Note 3 2 4 3 2" xfId="13763" xr:uid="{6B5322F7-CC05-4D4C-BE81-D33D72B2AEDC}"/>
    <cellStyle name="Note 3 2 4 4" xfId="9545" xr:uid="{B011BEB4-611A-40C4-910B-AEB0FF020618}"/>
    <cellStyle name="Note 3 2 5" xfId="1429" xr:uid="{00000000-0005-0000-0000-000097210000}"/>
    <cellStyle name="Note 3 2 5 2" xfId="3659" xr:uid="{00000000-0005-0000-0000-000098210000}"/>
    <cellStyle name="Note 3 2 5 2 2" xfId="7882" xr:uid="{00000000-0005-0000-0000-000099210000}"/>
    <cellStyle name="Note 3 2 5 2 2 2" xfId="16321" xr:uid="{0F553AE2-13A1-461F-9BE1-E8A0A2CE85CB}"/>
    <cellStyle name="Note 3 2 5 2 3" xfId="12103" xr:uid="{33B7FF3D-687D-42DB-ABF0-3FB7FAB4E20E}"/>
    <cellStyle name="Note 3 2 5 3" xfId="5737" xr:uid="{00000000-0005-0000-0000-00009A210000}"/>
    <cellStyle name="Note 3 2 5 3 2" xfId="14176" xr:uid="{8B3376EA-A843-486E-9310-1CF03E9F9D8A}"/>
    <cellStyle name="Note 3 2 5 4" xfId="9958" xr:uid="{D4CBA207-6850-4085-A506-0687597FEC40}"/>
    <cellStyle name="Note 3 2 6" xfId="1843" xr:uid="{00000000-0005-0000-0000-00009B210000}"/>
    <cellStyle name="Note 3 2 6 2" xfId="4072" xr:uid="{00000000-0005-0000-0000-00009C210000}"/>
    <cellStyle name="Note 3 2 6 2 2" xfId="8295" xr:uid="{00000000-0005-0000-0000-00009D210000}"/>
    <cellStyle name="Note 3 2 6 2 2 2" xfId="16734" xr:uid="{DB487149-2FC6-4866-9907-D32612DE0F8A}"/>
    <cellStyle name="Note 3 2 6 2 3" xfId="12516" xr:uid="{12311A07-289C-4FD0-A6AB-9B6D32ACDA24}"/>
    <cellStyle name="Note 3 2 6 3" xfId="6150" xr:uid="{00000000-0005-0000-0000-00009E210000}"/>
    <cellStyle name="Note 3 2 6 3 2" xfId="14589" xr:uid="{5272653D-EE6A-4B56-8DC0-87005477EBB0}"/>
    <cellStyle name="Note 3 2 6 4" xfId="10371" xr:uid="{6641E3C4-D77E-4D48-9D76-B751BB972B93}"/>
    <cellStyle name="Note 3 2 7" xfId="2256" xr:uid="{00000000-0005-0000-0000-00009F210000}"/>
    <cellStyle name="Note 3 2 7 2" xfId="4485" xr:uid="{00000000-0005-0000-0000-0000A0210000}"/>
    <cellStyle name="Note 3 2 7 2 2" xfId="8708" xr:uid="{00000000-0005-0000-0000-0000A1210000}"/>
    <cellStyle name="Note 3 2 7 2 2 2" xfId="17147" xr:uid="{CDE0DDFF-61D1-4919-A65B-701D7E3C119F}"/>
    <cellStyle name="Note 3 2 7 2 3" xfId="12929" xr:uid="{3F7B2432-4FB2-49A1-B68A-91131CCBE7F9}"/>
    <cellStyle name="Note 3 2 7 3" xfId="6563" xr:uid="{00000000-0005-0000-0000-0000A2210000}"/>
    <cellStyle name="Note 3 2 7 3 2" xfId="15002" xr:uid="{4C15E675-D8A5-4182-A437-D22F4352AAE8}"/>
    <cellStyle name="Note 3 2 7 4" xfId="10784" xr:uid="{94F4568F-3E39-4BDE-B63A-B57C3D1D2330}"/>
    <cellStyle name="Note 3 2 8" xfId="2692" xr:uid="{00000000-0005-0000-0000-0000A3210000}"/>
    <cellStyle name="Note 3 2 8 2" xfId="6976" xr:uid="{00000000-0005-0000-0000-0000A4210000}"/>
    <cellStyle name="Note 3 2 8 2 2" xfId="15415" xr:uid="{03C0CD63-21D6-4577-9983-4E9E0172396F}"/>
    <cellStyle name="Note 3 2 8 3" xfId="11197" xr:uid="{C180B041-F78D-453F-B75C-8D31A0F44F87}"/>
    <cellStyle name="Note 3 2 9" xfId="2751" xr:uid="{00000000-0005-0000-0000-0000A5210000}"/>
    <cellStyle name="Note 3 3" xfId="558" xr:uid="{00000000-0005-0000-0000-0000A6210000}"/>
    <cellStyle name="Note 3 3 10" xfId="4915" xr:uid="{00000000-0005-0000-0000-0000A7210000}"/>
    <cellStyle name="Note 3 3 10 2" xfId="13354" xr:uid="{DAC3BF79-96FC-46A9-B345-92390ACE614E}"/>
    <cellStyle name="Note 3 3 11" xfId="9136" xr:uid="{EE43E858-B9B4-44C5-ABD3-8E14628AD249}"/>
    <cellStyle name="Note 3 3 2" xfId="559" xr:uid="{00000000-0005-0000-0000-0000A8210000}"/>
    <cellStyle name="Note 3 3 2 10" xfId="9137" xr:uid="{FB2C419C-0363-477C-B969-B508C9CC2B3E}"/>
    <cellStyle name="Note 3 3 2 2" xfId="1019" xr:uid="{00000000-0005-0000-0000-0000A9210000}"/>
    <cellStyle name="Note 3 3 2 2 2" xfId="3251" xr:uid="{00000000-0005-0000-0000-0000AA210000}"/>
    <cellStyle name="Note 3 3 2 2 2 2" xfId="7474" xr:uid="{00000000-0005-0000-0000-0000AB210000}"/>
    <cellStyle name="Note 3 3 2 2 2 2 2" xfId="15913" xr:uid="{09896458-6E6A-459B-AA19-F57C5E3141DC}"/>
    <cellStyle name="Note 3 3 2 2 2 3" xfId="11695" xr:uid="{D2462E6F-492C-4B3C-BA71-3E8C0074496E}"/>
    <cellStyle name="Note 3 3 2 2 3" xfId="5329" xr:uid="{00000000-0005-0000-0000-0000AC210000}"/>
    <cellStyle name="Note 3 3 2 2 3 2" xfId="13768" xr:uid="{DE020BC1-D9DB-4DC6-9820-6539999E81AC}"/>
    <cellStyle name="Note 3 3 2 2 4" xfId="9550" xr:uid="{291E5B5C-79D1-4769-B935-B3AF3DDF897F}"/>
    <cellStyle name="Note 3 3 2 3" xfId="1434" xr:uid="{00000000-0005-0000-0000-0000AD210000}"/>
    <cellStyle name="Note 3 3 2 3 2" xfId="3664" xr:uid="{00000000-0005-0000-0000-0000AE210000}"/>
    <cellStyle name="Note 3 3 2 3 2 2" xfId="7887" xr:uid="{00000000-0005-0000-0000-0000AF210000}"/>
    <cellStyle name="Note 3 3 2 3 2 2 2" xfId="16326" xr:uid="{4A47614C-E672-4BF5-AA35-B594F1B20024}"/>
    <cellStyle name="Note 3 3 2 3 2 3" xfId="12108" xr:uid="{24E499D9-233C-44E7-B292-20C7E4674462}"/>
    <cellStyle name="Note 3 3 2 3 3" xfId="5742" xr:uid="{00000000-0005-0000-0000-0000B0210000}"/>
    <cellStyle name="Note 3 3 2 3 3 2" xfId="14181" xr:uid="{1E637FD4-6530-40F3-B5AD-69AEB5127E8A}"/>
    <cellStyle name="Note 3 3 2 3 4" xfId="9963" xr:uid="{56129428-1D44-408C-8296-7649A9F7C8E9}"/>
    <cellStyle name="Note 3 3 2 4" xfId="1848" xr:uid="{00000000-0005-0000-0000-0000B1210000}"/>
    <cellStyle name="Note 3 3 2 4 2" xfId="4077" xr:uid="{00000000-0005-0000-0000-0000B2210000}"/>
    <cellStyle name="Note 3 3 2 4 2 2" xfId="8300" xr:uid="{00000000-0005-0000-0000-0000B3210000}"/>
    <cellStyle name="Note 3 3 2 4 2 2 2" xfId="16739" xr:uid="{3166BA90-393C-4573-A77B-D8D3934228F1}"/>
    <cellStyle name="Note 3 3 2 4 2 3" xfId="12521" xr:uid="{B06C913C-525B-4EFA-BB5B-40FA01C94C31}"/>
    <cellStyle name="Note 3 3 2 4 3" xfId="6155" xr:uid="{00000000-0005-0000-0000-0000B4210000}"/>
    <cellStyle name="Note 3 3 2 4 3 2" xfId="14594" xr:uid="{7EB03525-6FCE-4C63-89BA-A2FDA4AADB70}"/>
    <cellStyle name="Note 3 3 2 4 4" xfId="10376" xr:uid="{C295C980-72B1-4285-B2F4-6D46F4D4D0C6}"/>
    <cellStyle name="Note 3 3 2 5" xfId="2261" xr:uid="{00000000-0005-0000-0000-0000B5210000}"/>
    <cellStyle name="Note 3 3 2 5 2" xfId="4490" xr:uid="{00000000-0005-0000-0000-0000B6210000}"/>
    <cellStyle name="Note 3 3 2 5 2 2" xfId="8713" xr:uid="{00000000-0005-0000-0000-0000B7210000}"/>
    <cellStyle name="Note 3 3 2 5 2 2 2" xfId="17152" xr:uid="{4EB4DDA0-5728-4A60-968E-7B2D36C82A62}"/>
    <cellStyle name="Note 3 3 2 5 2 3" xfId="12934" xr:uid="{0ADC0BF7-5D45-446A-8652-80C0EE96D1B7}"/>
    <cellStyle name="Note 3 3 2 5 3" xfId="6568" xr:uid="{00000000-0005-0000-0000-0000B8210000}"/>
    <cellStyle name="Note 3 3 2 5 3 2" xfId="15007" xr:uid="{8ED70AB2-C1E3-4D4D-B1DE-5B531EB44D31}"/>
    <cellStyle name="Note 3 3 2 5 4" xfId="10789" xr:uid="{BBF24127-8E42-4B95-A791-5653DB9EAD0B}"/>
    <cellStyle name="Note 3 3 2 6" xfId="2697" xr:uid="{00000000-0005-0000-0000-0000B9210000}"/>
    <cellStyle name="Note 3 3 2 6 2" xfId="6981" xr:uid="{00000000-0005-0000-0000-0000BA210000}"/>
    <cellStyle name="Note 3 3 2 6 2 2" xfId="15420" xr:uid="{21485778-0735-47BF-9F72-696C7968BD3F}"/>
    <cellStyle name="Note 3 3 2 6 3" xfId="11202" xr:uid="{1074494B-A232-4A98-86D7-4E6FE784704A}"/>
    <cellStyle name="Note 3 3 2 7" xfId="2756" xr:uid="{00000000-0005-0000-0000-0000BB210000}"/>
    <cellStyle name="Note 3 3 2 8" xfId="2837" xr:uid="{00000000-0005-0000-0000-0000BC210000}"/>
    <cellStyle name="Note 3 3 2 8 2" xfId="7061" xr:uid="{00000000-0005-0000-0000-0000BD210000}"/>
    <cellStyle name="Note 3 3 2 8 2 2" xfId="15500" xr:uid="{AF17A5E3-E189-4DA7-89A4-B806A62E3C9C}"/>
    <cellStyle name="Note 3 3 2 8 3" xfId="11282" xr:uid="{065C6FAB-2EEB-4B26-B857-B31AD09F0BE0}"/>
    <cellStyle name="Note 3 3 2 9" xfId="4916" xr:uid="{00000000-0005-0000-0000-0000BE210000}"/>
    <cellStyle name="Note 3 3 2 9 2" xfId="13355" xr:uid="{9BE6687E-9C38-4D93-81B0-1A0CE5FC997C}"/>
    <cellStyle name="Note 3 3 3" xfId="1018" xr:uid="{00000000-0005-0000-0000-0000BF210000}"/>
    <cellStyle name="Note 3 3 3 2" xfId="3250" xr:uid="{00000000-0005-0000-0000-0000C0210000}"/>
    <cellStyle name="Note 3 3 3 2 2" xfId="7473" xr:uid="{00000000-0005-0000-0000-0000C1210000}"/>
    <cellStyle name="Note 3 3 3 2 2 2" xfId="15912" xr:uid="{6398FD33-7642-4F7E-9292-CB104D0DB420}"/>
    <cellStyle name="Note 3 3 3 2 3" xfId="11694" xr:uid="{18DF7A76-2130-4F35-832D-39D2C3A67F2D}"/>
    <cellStyle name="Note 3 3 3 3" xfId="5328" xr:uid="{00000000-0005-0000-0000-0000C2210000}"/>
    <cellStyle name="Note 3 3 3 3 2" xfId="13767" xr:uid="{38443C28-5F3C-48FB-8FB1-F9B262C6F3A9}"/>
    <cellStyle name="Note 3 3 3 4" xfId="9549" xr:uid="{03873CE4-605A-4BA6-A79A-00294FC5C74C}"/>
    <cellStyle name="Note 3 3 4" xfId="1433" xr:uid="{00000000-0005-0000-0000-0000C3210000}"/>
    <cellStyle name="Note 3 3 4 2" xfId="3663" xr:uid="{00000000-0005-0000-0000-0000C4210000}"/>
    <cellStyle name="Note 3 3 4 2 2" xfId="7886" xr:uid="{00000000-0005-0000-0000-0000C5210000}"/>
    <cellStyle name="Note 3 3 4 2 2 2" xfId="16325" xr:uid="{B12AAAE2-FB9C-4030-BD44-D8E734C90288}"/>
    <cellStyle name="Note 3 3 4 2 3" xfId="12107" xr:uid="{724FE973-7A54-4773-BE13-6D5AE668C857}"/>
    <cellStyle name="Note 3 3 4 3" xfId="5741" xr:uid="{00000000-0005-0000-0000-0000C6210000}"/>
    <cellStyle name="Note 3 3 4 3 2" xfId="14180" xr:uid="{78EB3956-8D99-49A6-A463-304A5521339F}"/>
    <cellStyle name="Note 3 3 4 4" xfId="9962" xr:uid="{B81AF2CA-4C5B-4F33-AEAD-72FA8547254E}"/>
    <cellStyle name="Note 3 3 5" xfId="1847" xr:uid="{00000000-0005-0000-0000-0000C7210000}"/>
    <cellStyle name="Note 3 3 5 2" xfId="4076" xr:uid="{00000000-0005-0000-0000-0000C8210000}"/>
    <cellStyle name="Note 3 3 5 2 2" xfId="8299" xr:uid="{00000000-0005-0000-0000-0000C9210000}"/>
    <cellStyle name="Note 3 3 5 2 2 2" xfId="16738" xr:uid="{EBAB959F-FB72-4BBF-A7A3-410E4CE40E0E}"/>
    <cellStyle name="Note 3 3 5 2 3" xfId="12520" xr:uid="{B198426E-7D6C-41DC-B1C9-44566D37A4E0}"/>
    <cellStyle name="Note 3 3 5 3" xfId="6154" xr:uid="{00000000-0005-0000-0000-0000CA210000}"/>
    <cellStyle name="Note 3 3 5 3 2" xfId="14593" xr:uid="{1CB9128A-89BB-4370-8B22-497A20E55907}"/>
    <cellStyle name="Note 3 3 5 4" xfId="10375" xr:uid="{5092BBF7-8996-44CC-88D9-8D35A8F96967}"/>
    <cellStyle name="Note 3 3 6" xfId="2260" xr:uid="{00000000-0005-0000-0000-0000CB210000}"/>
    <cellStyle name="Note 3 3 6 2" xfId="4489" xr:uid="{00000000-0005-0000-0000-0000CC210000}"/>
    <cellStyle name="Note 3 3 6 2 2" xfId="8712" xr:uid="{00000000-0005-0000-0000-0000CD210000}"/>
    <cellStyle name="Note 3 3 6 2 2 2" xfId="17151" xr:uid="{D1A02773-1002-41D0-AEF8-45AFCA6B8585}"/>
    <cellStyle name="Note 3 3 6 2 3" xfId="12933" xr:uid="{BB6235AC-5595-4D70-814B-84236D1AED1E}"/>
    <cellStyle name="Note 3 3 6 3" xfId="6567" xr:uid="{00000000-0005-0000-0000-0000CE210000}"/>
    <cellStyle name="Note 3 3 6 3 2" xfId="15006" xr:uid="{38498FD1-7D62-4830-8FE5-0F973A379979}"/>
    <cellStyle name="Note 3 3 6 4" xfId="10788" xr:uid="{ACB77F64-0AC7-47A2-9303-7E33DFB325D0}"/>
    <cellStyle name="Note 3 3 7" xfId="2696" xr:uid="{00000000-0005-0000-0000-0000CF210000}"/>
    <cellStyle name="Note 3 3 7 2" xfId="6980" xr:uid="{00000000-0005-0000-0000-0000D0210000}"/>
    <cellStyle name="Note 3 3 7 2 2" xfId="15419" xr:uid="{EAB54CD4-0AE7-4770-9ADB-2902D198DA33}"/>
    <cellStyle name="Note 3 3 7 3" xfId="11201" xr:uid="{0DA0C1A7-F67F-4933-BF7C-178D17726DAC}"/>
    <cellStyle name="Note 3 3 8" xfId="2755" xr:uid="{00000000-0005-0000-0000-0000D1210000}"/>
    <cellStyle name="Note 3 3 9" xfId="2836" xr:uid="{00000000-0005-0000-0000-0000D2210000}"/>
    <cellStyle name="Note 3 3 9 2" xfId="7060" xr:uid="{00000000-0005-0000-0000-0000D3210000}"/>
    <cellStyle name="Note 3 3 9 2 2" xfId="15499" xr:uid="{BE5CD4C9-DBD9-4004-97A4-6B1F03641CDE}"/>
    <cellStyle name="Note 3 3 9 3" xfId="11281" xr:uid="{2A74A6DE-4DFB-418E-992E-9C99C4689082}"/>
    <cellStyle name="Note 3 4" xfId="560" xr:uid="{00000000-0005-0000-0000-0000D4210000}"/>
    <cellStyle name="Note 3 4 10" xfId="9138" xr:uid="{6D622C0E-7F2B-40A9-B00B-3A31279226CC}"/>
    <cellStyle name="Note 3 4 2" xfId="1020" xr:uid="{00000000-0005-0000-0000-0000D5210000}"/>
    <cellStyle name="Note 3 4 2 2" xfId="3252" xr:uid="{00000000-0005-0000-0000-0000D6210000}"/>
    <cellStyle name="Note 3 4 2 2 2" xfId="7475" xr:uid="{00000000-0005-0000-0000-0000D7210000}"/>
    <cellStyle name="Note 3 4 2 2 2 2" xfId="15914" xr:uid="{9FAAA2D7-F9B6-4B0E-B1F5-2BFCAB3C93F7}"/>
    <cellStyle name="Note 3 4 2 2 3" xfId="11696" xr:uid="{381DE887-5712-479B-B308-6C9AC14665CF}"/>
    <cellStyle name="Note 3 4 2 3" xfId="5330" xr:uid="{00000000-0005-0000-0000-0000D8210000}"/>
    <cellStyle name="Note 3 4 2 3 2" xfId="13769" xr:uid="{C54F29F8-7BDF-483F-9AE6-B815B4F4C665}"/>
    <cellStyle name="Note 3 4 2 4" xfId="9551" xr:uid="{4B2F3928-E0DD-4AC9-9328-CC415AE1D9AC}"/>
    <cellStyle name="Note 3 4 3" xfId="1435" xr:uid="{00000000-0005-0000-0000-0000D9210000}"/>
    <cellStyle name="Note 3 4 3 2" xfId="3665" xr:uid="{00000000-0005-0000-0000-0000DA210000}"/>
    <cellStyle name="Note 3 4 3 2 2" xfId="7888" xr:uid="{00000000-0005-0000-0000-0000DB210000}"/>
    <cellStyle name="Note 3 4 3 2 2 2" xfId="16327" xr:uid="{EBAF8BE2-E217-426C-B9DB-AACEBF1CA045}"/>
    <cellStyle name="Note 3 4 3 2 3" xfId="12109" xr:uid="{FDE162A6-DE77-4073-A084-4BE1C25D22EA}"/>
    <cellStyle name="Note 3 4 3 3" xfId="5743" xr:uid="{00000000-0005-0000-0000-0000DC210000}"/>
    <cellStyle name="Note 3 4 3 3 2" xfId="14182" xr:uid="{85BC404E-CE4A-4A95-8F6E-CAAFFDB46B35}"/>
    <cellStyle name="Note 3 4 3 4" xfId="9964" xr:uid="{83B8173A-8F5D-4B62-9140-D363D4B3C5CA}"/>
    <cellStyle name="Note 3 4 4" xfId="1849" xr:uid="{00000000-0005-0000-0000-0000DD210000}"/>
    <cellStyle name="Note 3 4 4 2" xfId="4078" xr:uid="{00000000-0005-0000-0000-0000DE210000}"/>
    <cellStyle name="Note 3 4 4 2 2" xfId="8301" xr:uid="{00000000-0005-0000-0000-0000DF210000}"/>
    <cellStyle name="Note 3 4 4 2 2 2" xfId="16740" xr:uid="{64C5E7EF-6324-470A-8915-0DD6151ECB3E}"/>
    <cellStyle name="Note 3 4 4 2 3" xfId="12522" xr:uid="{E0A6332C-0D36-4761-A082-CF6E6142618D}"/>
    <cellStyle name="Note 3 4 4 3" xfId="6156" xr:uid="{00000000-0005-0000-0000-0000E0210000}"/>
    <cellStyle name="Note 3 4 4 3 2" xfId="14595" xr:uid="{EDB3D99F-A865-4A9D-B1EA-2925DF8B2193}"/>
    <cellStyle name="Note 3 4 4 4" xfId="10377" xr:uid="{15B3D39F-ACB6-4C8B-9336-4D65C71CA713}"/>
    <cellStyle name="Note 3 4 5" xfId="2262" xr:uid="{00000000-0005-0000-0000-0000E1210000}"/>
    <cellStyle name="Note 3 4 5 2" xfId="4491" xr:uid="{00000000-0005-0000-0000-0000E2210000}"/>
    <cellStyle name="Note 3 4 5 2 2" xfId="8714" xr:uid="{00000000-0005-0000-0000-0000E3210000}"/>
    <cellStyle name="Note 3 4 5 2 2 2" xfId="17153" xr:uid="{C3E06386-C5D8-4B64-BF45-94F406863927}"/>
    <cellStyle name="Note 3 4 5 2 3" xfId="12935" xr:uid="{821F0E5C-9C6F-4549-BAF6-44FF9C4FBBB9}"/>
    <cellStyle name="Note 3 4 5 3" xfId="6569" xr:uid="{00000000-0005-0000-0000-0000E4210000}"/>
    <cellStyle name="Note 3 4 5 3 2" xfId="15008" xr:uid="{6F95A857-55B4-4995-95CC-C874252F2F64}"/>
    <cellStyle name="Note 3 4 5 4" xfId="10790" xr:uid="{8CA8C338-1205-4B90-85BA-B6F7C7287D61}"/>
    <cellStyle name="Note 3 4 6" xfId="2698" xr:uid="{00000000-0005-0000-0000-0000E5210000}"/>
    <cellStyle name="Note 3 4 6 2" xfId="6982" xr:uid="{00000000-0005-0000-0000-0000E6210000}"/>
    <cellStyle name="Note 3 4 6 2 2" xfId="15421" xr:uid="{C570F041-080A-4294-BAD8-AFC2F80B207F}"/>
    <cellStyle name="Note 3 4 6 3" xfId="11203" xr:uid="{D8869348-AC2C-4053-8F9C-DAFC28162287}"/>
    <cellStyle name="Note 3 4 7" xfId="2757" xr:uid="{00000000-0005-0000-0000-0000E7210000}"/>
    <cellStyle name="Note 3 4 8" xfId="2838" xr:uid="{00000000-0005-0000-0000-0000E8210000}"/>
    <cellStyle name="Note 3 4 8 2" xfId="7062" xr:uid="{00000000-0005-0000-0000-0000E9210000}"/>
    <cellStyle name="Note 3 4 8 2 2" xfId="15501" xr:uid="{709B5175-FD02-4D0C-89C5-DA0D9509B17C}"/>
    <cellStyle name="Note 3 4 8 3" xfId="11283" xr:uid="{F2D4546B-1C4D-44B9-9643-9BC32C9FB9D8}"/>
    <cellStyle name="Note 3 4 9" xfId="4917" xr:uid="{00000000-0005-0000-0000-0000EA210000}"/>
    <cellStyle name="Note 3 4 9 2" xfId="13356" xr:uid="{C60DFF4B-361D-44DC-9342-5611AEF701C4}"/>
    <cellStyle name="Note 3 5" xfId="561" xr:uid="{00000000-0005-0000-0000-0000EB210000}"/>
    <cellStyle name="Note 3 5 10" xfId="9139" xr:uid="{42BB908D-D63E-47F3-A625-F92EF1E09977}"/>
    <cellStyle name="Note 3 5 2" xfId="1021" xr:uid="{00000000-0005-0000-0000-0000EC210000}"/>
    <cellStyle name="Note 3 5 2 2" xfId="3253" xr:uid="{00000000-0005-0000-0000-0000ED210000}"/>
    <cellStyle name="Note 3 5 2 2 2" xfId="7476" xr:uid="{00000000-0005-0000-0000-0000EE210000}"/>
    <cellStyle name="Note 3 5 2 2 2 2" xfId="15915" xr:uid="{58DBD75B-1AAA-4387-91CC-08B5959DCD93}"/>
    <cellStyle name="Note 3 5 2 2 3" xfId="11697" xr:uid="{F1A5AA93-C016-4A93-8388-5C6ACE766E74}"/>
    <cellStyle name="Note 3 5 2 3" xfId="5331" xr:uid="{00000000-0005-0000-0000-0000EF210000}"/>
    <cellStyle name="Note 3 5 2 3 2" xfId="13770" xr:uid="{53F57952-A28D-4807-B4EE-F93EBE15462B}"/>
    <cellStyle name="Note 3 5 2 4" xfId="9552" xr:uid="{23148C37-91C2-4045-A29F-4835C0973108}"/>
    <cellStyle name="Note 3 5 3" xfId="1436" xr:uid="{00000000-0005-0000-0000-0000F0210000}"/>
    <cellStyle name="Note 3 5 3 2" xfId="3666" xr:uid="{00000000-0005-0000-0000-0000F1210000}"/>
    <cellStyle name="Note 3 5 3 2 2" xfId="7889" xr:uid="{00000000-0005-0000-0000-0000F2210000}"/>
    <cellStyle name="Note 3 5 3 2 2 2" xfId="16328" xr:uid="{62B31090-E551-4C1B-BE76-D5BC0D4C5C1E}"/>
    <cellStyle name="Note 3 5 3 2 3" xfId="12110" xr:uid="{33A688C5-B4F3-47BA-9358-5E9997BDB16B}"/>
    <cellStyle name="Note 3 5 3 3" xfId="5744" xr:uid="{00000000-0005-0000-0000-0000F3210000}"/>
    <cellStyle name="Note 3 5 3 3 2" xfId="14183" xr:uid="{5332923C-07D5-41CC-A48B-0280079C6652}"/>
    <cellStyle name="Note 3 5 3 4" xfId="9965" xr:uid="{D1B982ED-15F3-4A45-8E35-E44B84989A3C}"/>
    <cellStyle name="Note 3 5 4" xfId="1850" xr:uid="{00000000-0005-0000-0000-0000F4210000}"/>
    <cellStyle name="Note 3 5 4 2" xfId="4079" xr:uid="{00000000-0005-0000-0000-0000F5210000}"/>
    <cellStyle name="Note 3 5 4 2 2" xfId="8302" xr:uid="{00000000-0005-0000-0000-0000F6210000}"/>
    <cellStyle name="Note 3 5 4 2 2 2" xfId="16741" xr:uid="{76396D43-70F0-4342-A609-9070F37F8B38}"/>
    <cellStyle name="Note 3 5 4 2 3" xfId="12523" xr:uid="{B5ABFA19-D0F3-4846-85F4-80DBB15BEC4C}"/>
    <cellStyle name="Note 3 5 4 3" xfId="6157" xr:uid="{00000000-0005-0000-0000-0000F7210000}"/>
    <cellStyle name="Note 3 5 4 3 2" xfId="14596" xr:uid="{C1E2E1BE-E645-4E7F-B5DA-DB7733C40EFC}"/>
    <cellStyle name="Note 3 5 4 4" xfId="10378" xr:uid="{DF78C98C-EE9A-4D6E-860B-9A7E368A4AEF}"/>
    <cellStyle name="Note 3 5 5" xfId="2263" xr:uid="{00000000-0005-0000-0000-0000F8210000}"/>
    <cellStyle name="Note 3 5 5 2" xfId="4492" xr:uid="{00000000-0005-0000-0000-0000F9210000}"/>
    <cellStyle name="Note 3 5 5 2 2" xfId="8715" xr:uid="{00000000-0005-0000-0000-0000FA210000}"/>
    <cellStyle name="Note 3 5 5 2 2 2" xfId="17154" xr:uid="{7739EA8E-8EE6-4083-9D09-42E7DCC56C49}"/>
    <cellStyle name="Note 3 5 5 2 3" xfId="12936" xr:uid="{1975FEA8-42A4-4BCD-8338-CFDA032313CE}"/>
    <cellStyle name="Note 3 5 5 3" xfId="6570" xr:uid="{00000000-0005-0000-0000-0000FB210000}"/>
    <cellStyle name="Note 3 5 5 3 2" xfId="15009" xr:uid="{4C5163C8-7F9C-4A29-AE2C-C49741FBBE81}"/>
    <cellStyle name="Note 3 5 5 4" xfId="10791" xr:uid="{D19DBBCF-50D3-47D0-8BA4-91F430E8301D}"/>
    <cellStyle name="Note 3 5 6" xfId="2699" xr:uid="{00000000-0005-0000-0000-0000FC210000}"/>
    <cellStyle name="Note 3 5 6 2" xfId="6983" xr:uid="{00000000-0005-0000-0000-0000FD210000}"/>
    <cellStyle name="Note 3 5 6 2 2" xfId="15422" xr:uid="{4853ABB9-0C1B-4FEA-B0A2-D0BCB000882E}"/>
    <cellStyle name="Note 3 5 6 3" xfId="11204" xr:uid="{C191E6D2-BB98-44F4-9A54-EA6E398048B7}"/>
    <cellStyle name="Note 3 5 7" xfId="2758" xr:uid="{00000000-0005-0000-0000-0000FE210000}"/>
    <cellStyle name="Note 3 5 8" xfId="2839" xr:uid="{00000000-0005-0000-0000-0000FF210000}"/>
    <cellStyle name="Note 3 5 8 2" xfId="7063" xr:uid="{00000000-0005-0000-0000-000000220000}"/>
    <cellStyle name="Note 3 5 8 2 2" xfId="15502" xr:uid="{44F0310E-9173-4DF0-A0A3-7FCC31363DA2}"/>
    <cellStyle name="Note 3 5 8 3" xfId="11284" xr:uid="{60040115-FAC7-4CBD-9B8B-EDCE72D5F5F8}"/>
    <cellStyle name="Note 3 5 9" xfId="4918" xr:uid="{00000000-0005-0000-0000-000001220000}"/>
    <cellStyle name="Note 3 5 9 2" xfId="13357" xr:uid="{16E212B5-06E7-4B6C-AECB-EC19BE78716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613B48B0-4611-46EB-885F-C96FEA032AC7}"/>
    <cellStyle name="Percent 4" xfId="4502" xr:uid="{00000000-0005-0000-0000-000007220000}"/>
    <cellStyle name="Percent 4 2" xfId="8718" xr:uid="{00000000-0005-0000-0000-000008220000}"/>
    <cellStyle name="Percent 4 2 2" xfId="17157" xr:uid="{D4EBDBF3-800E-4D75-B33B-F3C35F76FCFB}"/>
    <cellStyle name="Percent 4 3" xfId="8721" xr:uid="{D09CD3FC-D632-4B66-A68A-5CC92F993799}"/>
    <cellStyle name="Percent 4 3 2" xfId="8725" xr:uid="{D57AE941-8E59-43F0-AB73-09B3BCCFA234}"/>
    <cellStyle name="Percent 4 3 3" xfId="17160" xr:uid="{4D4E9484-3FFF-4BC6-BAB2-AEE150E0BD03}"/>
    <cellStyle name="Percent 4 4" xfId="12943" xr:uid="{A5D199B5-CFDC-4922-A6D2-D0F0BEB9353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5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M:\Danco\ID2\A3108815-C4F0-433C-9B1A-4C97292995EF\0\21375000-21375999\21375072\L\L\Chico%20-%204%25%202nd%20Round%20Application%20-%202022%20(ID%2021375072).xlsx" TargetMode="External"/><Relationship Id="rId1" Type="http://schemas.openxmlformats.org/officeDocument/2006/relationships/externalLinkPath" Target="/Danco/ID2/A3108815-C4F0-433C-9B1A-4C97292995EF/0/21375000-21375999/21375072/L/L/Chico%20-%204%25%202nd%20Round%20Application%20-%202022%20(ID%2021375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8">
          <cell r="AO638">
            <v>10720918</v>
          </cell>
        </row>
        <row r="641">
          <cell r="AO641">
            <v>5209091</v>
          </cell>
        </row>
      </sheetData>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9.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hyperlink" Target="http://www.treasurer.ca.gov/ctcac/2018/lra/contact.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2435</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2437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2438</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1308</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2440</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6"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5" t="s">
        <v>2521</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2569</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7" t="str">
        <f>IF(Application!H18="","",Application!H18)</f>
        <v>Cussick Apartments</v>
      </c>
      <c r="M4" s="2148"/>
      <c r="N4" s="2148"/>
      <c r="O4" s="2148"/>
      <c r="P4" s="2148"/>
      <c r="Q4" s="2148"/>
      <c r="R4" s="2148"/>
      <c r="S4" s="2148"/>
      <c r="T4" s="2148"/>
      <c r="U4" s="2148"/>
      <c r="V4" s="2148"/>
      <c r="W4" s="2148"/>
      <c r="X4" s="2148"/>
      <c r="Y4" s="2148"/>
      <c r="Z4" s="2148"/>
      <c r="AA4" s="2148"/>
      <c r="AB4" s="2148"/>
      <c r="AC4" s="2149"/>
      <c r="AD4" s="1207"/>
      <c r="AE4" s="1207"/>
      <c r="AF4" s="2161" t="s">
        <v>2570</v>
      </c>
      <c r="AG4" s="2161"/>
      <c r="AH4" s="2161"/>
      <c r="AI4" s="2161"/>
      <c r="AJ4" s="2161"/>
      <c r="AK4" s="2161"/>
      <c r="AL4" s="2161"/>
      <c r="AM4" s="2161"/>
      <c r="AN4" s="2161"/>
      <c r="AO4" s="2161"/>
      <c r="AP4" s="2162"/>
      <c r="AQ4" s="2163"/>
      <c r="AR4" s="2163"/>
      <c r="AS4" s="2163"/>
      <c r="AT4" s="2163"/>
      <c r="AU4" s="216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1" t="s">
        <v>2571</v>
      </c>
      <c r="AG5" s="2161"/>
      <c r="AH5" s="2161"/>
      <c r="AI5" s="2161"/>
      <c r="AJ5" s="2161"/>
      <c r="AK5" s="2161"/>
      <c r="AL5" s="2161"/>
      <c r="AM5" s="2161"/>
      <c r="AN5" s="2161"/>
      <c r="AO5" s="2161"/>
      <c r="AP5" s="2162"/>
      <c r="AQ5" s="2163"/>
      <c r="AR5" s="2163"/>
      <c r="AS5" s="2163"/>
      <c r="AT5" s="2163"/>
      <c r="AU5" s="2163"/>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7" t="str">
        <f>IF(Application!H16="","",Application!H16)</f>
        <v>Community Revitalization and Development Corporation</v>
      </c>
      <c r="M6" s="2148"/>
      <c r="N6" s="2148"/>
      <c r="O6" s="2148"/>
      <c r="P6" s="2148"/>
      <c r="Q6" s="2148"/>
      <c r="R6" s="2148"/>
      <c r="S6" s="2148"/>
      <c r="T6" s="2148"/>
      <c r="U6" s="2148"/>
      <c r="V6" s="2148"/>
      <c r="W6" s="2148"/>
      <c r="X6" s="2148"/>
      <c r="Y6" s="2148"/>
      <c r="Z6" s="2148"/>
      <c r="AA6" s="2148"/>
      <c r="AB6" s="2148"/>
      <c r="AC6" s="2149"/>
      <c r="AD6" s="1207"/>
      <c r="AE6" s="1207"/>
      <c r="AF6" s="2150" t="s">
        <v>2572</v>
      </c>
      <c r="AG6" s="2150"/>
      <c r="AH6" s="2150"/>
      <c r="AI6" s="2150"/>
      <c r="AJ6" s="2150"/>
      <c r="AK6" s="2150"/>
      <c r="AL6" s="2150"/>
      <c r="AM6" s="2150"/>
      <c r="AN6" s="2150"/>
      <c r="AO6" s="2150"/>
      <c r="AP6" s="2151">
        <v>0</v>
      </c>
      <c r="AQ6" s="2151"/>
      <c r="AR6" s="2151"/>
      <c r="AS6" s="2151"/>
      <c r="AT6" s="2151"/>
      <c r="AU6" s="2151"/>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0" t="s">
        <v>2573</v>
      </c>
      <c r="AG7" s="2150"/>
      <c r="AH7" s="2150"/>
      <c r="AI7" s="2150"/>
      <c r="AJ7" s="2150"/>
      <c r="AK7" s="2150"/>
      <c r="AL7" s="2150"/>
      <c r="AM7" s="2150"/>
      <c r="AN7" s="2150"/>
      <c r="AO7" s="2150"/>
      <c r="AP7" s="2151">
        <v>0</v>
      </c>
      <c r="AQ7" s="2151"/>
      <c r="AR7" s="2151"/>
      <c r="AS7" s="2151"/>
      <c r="AT7" s="2151"/>
      <c r="AU7" s="2151"/>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2" t="str">
        <f>Application!T196</f>
        <v>No</v>
      </c>
      <c r="AC8" s="2153"/>
      <c r="AD8" s="2154"/>
      <c r="AE8" s="1207"/>
      <c r="AF8" s="2150" t="s">
        <v>2574</v>
      </c>
      <c r="AG8" s="2150"/>
      <c r="AH8" s="2150"/>
      <c r="AI8" s="2150"/>
      <c r="AJ8" s="2150"/>
      <c r="AK8" s="2150"/>
      <c r="AL8" s="2150"/>
      <c r="AM8" s="2150"/>
      <c r="AN8" s="2150"/>
      <c r="AO8" s="2150"/>
      <c r="AP8" s="2151" t="s">
        <v>2526</v>
      </c>
      <c r="AQ8" s="2151"/>
      <c r="AR8" s="2151"/>
      <c r="AS8" s="2151"/>
      <c r="AT8" s="2151"/>
      <c r="AU8" s="2151"/>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78">
        <f>Application!AO623</f>
        <v>2291757</v>
      </c>
      <c r="O10" s="2178"/>
      <c r="P10" s="2178"/>
      <c r="Q10" s="2178"/>
      <c r="R10" s="2178"/>
      <c r="S10" s="2178"/>
      <c r="T10" s="2178"/>
      <c r="U10" s="1207"/>
      <c r="V10" s="1207"/>
      <c r="W10" s="1207"/>
      <c r="X10" s="2164" t="s">
        <v>2576</v>
      </c>
      <c r="Y10" s="2164"/>
      <c r="Z10" s="2164"/>
      <c r="AA10" s="2164"/>
      <c r="AB10" s="2164"/>
      <c r="AC10" s="2164"/>
      <c r="AD10" s="2164"/>
      <c r="AE10" s="2164"/>
      <c r="AF10" s="2164"/>
      <c r="AG10" s="2164"/>
      <c r="AH10" s="2164"/>
      <c r="AI10" s="2164"/>
      <c r="AJ10" s="2164"/>
      <c r="AK10" s="2164"/>
      <c r="AL10" s="2179">
        <f>Application!W471</f>
        <v>0</v>
      </c>
      <c r="AM10" s="2180"/>
      <c r="AN10" s="2180"/>
      <c r="AO10" s="2180"/>
      <c r="AP10" s="2180"/>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78">
        <f>Application!AA911</f>
        <v>0</v>
      </c>
      <c r="O11" s="2178"/>
      <c r="P11" s="2178"/>
      <c r="Q11" s="2178"/>
      <c r="R11" s="2178"/>
      <c r="S11" s="2178"/>
      <c r="T11" s="2178"/>
      <c r="U11" s="1207"/>
      <c r="V11" s="1207"/>
      <c r="W11" s="1207"/>
      <c r="X11" s="2181" t="s">
        <v>2578</v>
      </c>
      <c r="Y11" s="2181"/>
      <c r="Z11" s="2181"/>
      <c r="AA11" s="2181"/>
      <c r="AB11" s="2181"/>
      <c r="AC11" s="2181"/>
      <c r="AD11" s="2181"/>
      <c r="AE11" s="2181"/>
      <c r="AF11" s="2181"/>
      <c r="AG11" s="2181"/>
      <c r="AH11" s="2181"/>
      <c r="AI11" s="2181"/>
      <c r="AJ11" s="2181"/>
      <c r="AK11" s="2181"/>
      <c r="AL11" s="2165"/>
      <c r="AM11" s="2166"/>
      <c r="AN11" s="2166"/>
      <c r="AO11" s="2166"/>
      <c r="AP11" s="2166"/>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4" t="s">
        <v>2579</v>
      </c>
      <c r="Y12" s="2164"/>
      <c r="Z12" s="2164"/>
      <c r="AA12" s="2164"/>
      <c r="AB12" s="2164"/>
      <c r="AC12" s="2164"/>
      <c r="AD12" s="2164"/>
      <c r="AE12" s="2164"/>
      <c r="AF12" s="2164"/>
      <c r="AG12" s="2164"/>
      <c r="AH12" s="2164"/>
      <c r="AI12" s="2164"/>
      <c r="AJ12" s="2164"/>
      <c r="AK12" s="2164"/>
      <c r="AL12" s="2165"/>
      <c r="AM12" s="2166"/>
      <c r="AN12" s="2166"/>
      <c r="AO12" s="2166"/>
      <c r="AP12" s="2166"/>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167" t="s">
        <v>1862</v>
      </c>
      <c r="C13" s="2168"/>
      <c r="D13" s="2168"/>
      <c r="E13" s="2168"/>
      <c r="F13" s="2168"/>
      <c r="G13" s="2168"/>
      <c r="H13" s="2168"/>
      <c r="I13" s="2168"/>
      <c r="J13" s="2168"/>
      <c r="K13" s="2168"/>
      <c r="L13" s="2168"/>
      <c r="M13" s="2168"/>
      <c r="N13" s="2168"/>
      <c r="O13" s="2168"/>
      <c r="P13" s="2169"/>
      <c r="Q13" s="2170" t="s">
        <v>679</v>
      </c>
      <c r="R13" s="2171"/>
      <c r="S13" s="2171"/>
      <c r="T13" s="217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3" t="s">
        <v>1863</v>
      </c>
      <c r="C15" s="2174"/>
      <c r="D15" s="2174"/>
      <c r="E15" s="2174"/>
      <c r="F15" s="2174"/>
      <c r="G15" s="2174"/>
      <c r="H15" s="2174"/>
      <c r="I15" s="2174"/>
      <c r="J15" s="2174"/>
      <c r="K15" s="2174"/>
      <c r="L15" s="2174"/>
      <c r="M15" s="2174"/>
      <c r="N15" s="2174"/>
      <c r="O15" s="2174"/>
      <c r="P15" s="2174"/>
      <c r="Q15" s="2174"/>
      <c r="R15" s="2175"/>
      <c r="S15" s="2176" t="str">
        <f>IF(Application!AB214="","",Application!AB214)</f>
        <v/>
      </c>
      <c r="T15" s="2176"/>
      <c r="U15" s="2176"/>
      <c r="V15" s="2176"/>
      <c r="W15" s="217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2" t="s">
        <v>1864</v>
      </c>
      <c r="C17" s="2183"/>
      <c r="D17" s="2183"/>
      <c r="E17" s="2183"/>
      <c r="F17" s="2183"/>
      <c r="G17" s="2183"/>
      <c r="H17" s="2183"/>
      <c r="I17" s="2183"/>
      <c r="J17" s="2183"/>
      <c r="K17" s="2183"/>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2183"/>
      <c r="AS17" s="2183"/>
      <c r="AT17" s="2183"/>
      <c r="AU17" s="2183"/>
      <c r="AV17" s="2183"/>
      <c r="AW17" s="2183"/>
      <c r="AX17" s="2183"/>
      <c r="AY17" s="2184"/>
      <c r="AZ17" s="1207"/>
      <c r="BA17" s="1207"/>
      <c r="BB17" s="1207"/>
      <c r="BC17" s="1207"/>
      <c r="BD17" s="1207"/>
      <c r="BE17" s="1213"/>
      <c r="BF17" s="1205"/>
    </row>
    <row r="18" spans="1:58" ht="15.75" customHeight="1">
      <c r="A18" s="1207"/>
      <c r="B18" s="2185" t="s">
        <v>1865</v>
      </c>
      <c r="C18" s="2186"/>
      <c r="D18" s="2186"/>
      <c r="E18" s="2186"/>
      <c r="F18" s="2186"/>
      <c r="G18" s="2186"/>
      <c r="H18" s="2186"/>
      <c r="I18" s="2187"/>
      <c r="J18" s="2188" t="s">
        <v>1764</v>
      </c>
      <c r="K18" s="2189"/>
      <c r="L18" s="2189"/>
      <c r="M18" s="2189"/>
      <c r="N18" s="2189"/>
      <c r="O18" s="2190"/>
      <c r="P18" s="2188" t="s">
        <v>326</v>
      </c>
      <c r="Q18" s="2189"/>
      <c r="R18" s="2189"/>
      <c r="S18" s="2189"/>
      <c r="T18" s="2189"/>
      <c r="U18" s="2190"/>
      <c r="V18" s="2188" t="s">
        <v>327</v>
      </c>
      <c r="W18" s="2189"/>
      <c r="X18" s="2189"/>
      <c r="Y18" s="2189"/>
      <c r="Z18" s="2189"/>
      <c r="AA18" s="2190"/>
      <c r="AB18" s="2188" t="s">
        <v>164</v>
      </c>
      <c r="AC18" s="2189"/>
      <c r="AD18" s="2189"/>
      <c r="AE18" s="2189"/>
      <c r="AF18" s="2189"/>
      <c r="AG18" s="2190"/>
      <c r="AH18" s="2188" t="s">
        <v>165</v>
      </c>
      <c r="AI18" s="2189"/>
      <c r="AJ18" s="2189"/>
      <c r="AK18" s="2189"/>
      <c r="AL18" s="2189"/>
      <c r="AM18" s="2190"/>
      <c r="AN18" s="2188" t="s">
        <v>166</v>
      </c>
      <c r="AO18" s="2189"/>
      <c r="AP18" s="2189"/>
      <c r="AQ18" s="2189"/>
      <c r="AR18" s="2189"/>
      <c r="AS18" s="2190"/>
      <c r="AT18" s="2188" t="s">
        <v>1866</v>
      </c>
      <c r="AU18" s="2189"/>
      <c r="AV18" s="2189"/>
      <c r="AW18" s="2189"/>
      <c r="AX18" s="2189"/>
      <c r="AY18" s="2191"/>
      <c r="AZ18" s="1207"/>
      <c r="BA18" s="1207"/>
      <c r="BB18" s="1207"/>
      <c r="BC18" s="1207"/>
      <c r="BD18" s="1207"/>
      <c r="BE18" s="1213"/>
    </row>
    <row r="19" spans="1:58" ht="15">
      <c r="A19" s="1207"/>
      <c r="B19" s="2198">
        <v>0.3</v>
      </c>
      <c r="C19" s="2199"/>
      <c r="D19" s="2199"/>
      <c r="E19" s="2199"/>
      <c r="F19" s="2199"/>
      <c r="G19" s="2199"/>
      <c r="H19" s="2199"/>
      <c r="I19" s="2200"/>
      <c r="J19" s="2192">
        <f>SUM(P19:AS19)</f>
        <v>21</v>
      </c>
      <c r="K19" s="2193"/>
      <c r="L19" s="2193"/>
      <c r="M19" s="2193"/>
      <c r="N19" s="2193"/>
      <c r="O19" s="2194"/>
      <c r="P19" s="2192" cm="1">
        <f t="array" ref="P19">SUMPRODUCT((Application!$B$714:$B$738 = 'CalHFA Addendum'!P$18)*(Application!$AC$714:$AC$738 = 'CalHFA Addendum'!$B19),Application!$G$714:$G$738)</f>
        <v>0</v>
      </c>
      <c r="Q19" s="2193"/>
      <c r="R19" s="2193"/>
      <c r="S19" s="2193"/>
      <c r="T19" s="2193"/>
      <c r="U19" s="2194"/>
      <c r="V19" s="2192" cm="1">
        <f t="array" ref="V19">SUMPRODUCT((Application!$B$714:$B$738 = 'CalHFA Addendum'!V$18)*(Application!$AC$714:$AC$738 = 'CalHFA Addendum'!$B19),Application!$G$714:$G$738)</f>
        <v>3</v>
      </c>
      <c r="W19" s="2193"/>
      <c r="X19" s="2193"/>
      <c r="Y19" s="2193"/>
      <c r="Z19" s="2193"/>
      <c r="AA19" s="2194"/>
      <c r="AB19" s="2192" cm="1">
        <f t="array" ref="AB19">SUMPRODUCT((Application!$B$714:$B$738 = 'CalHFA Addendum'!AB$18)*(Application!$AC$714:$AC$738 = 'CalHFA Addendum'!$B19),Application!$G$714:$G$738)</f>
        <v>9</v>
      </c>
      <c r="AC19" s="2193"/>
      <c r="AD19" s="2193"/>
      <c r="AE19" s="2193"/>
      <c r="AF19" s="2193"/>
      <c r="AG19" s="2194"/>
      <c r="AH19" s="2192" cm="1">
        <f t="array" ref="AH19">SUMPRODUCT((Application!$B$714:$B$738 = 'CalHFA Addendum'!AH$18)*(Application!$AC$714:$AC$738 = 'CalHFA Addendum'!$B19),Application!$G$714:$G$738)</f>
        <v>7</v>
      </c>
      <c r="AI19" s="2193"/>
      <c r="AJ19" s="2193"/>
      <c r="AK19" s="2193"/>
      <c r="AL19" s="2193"/>
      <c r="AM19" s="2194"/>
      <c r="AN19" s="2192" cm="1">
        <f t="array" ref="AN19">SUMPRODUCT((Application!$B$714:$B$738 = 'CalHFA Addendum'!AN$18)*(Application!$AC$714:$AC$738 = 'CalHFA Addendum'!$B19),Application!$G$714:$G$738)</f>
        <v>2</v>
      </c>
      <c r="AO19" s="2193"/>
      <c r="AP19" s="2193"/>
      <c r="AQ19" s="2193"/>
      <c r="AR19" s="2193"/>
      <c r="AS19" s="2194"/>
      <c r="AT19" s="2195">
        <f t="shared" ref="AT19:AT28" si="0">J19/$J$29</f>
        <v>0.28000000000000003</v>
      </c>
      <c r="AU19" s="2196"/>
      <c r="AV19" s="2196"/>
      <c r="AW19" s="2196"/>
      <c r="AX19" s="2196"/>
      <c r="AY19" s="2197"/>
      <c r="AZ19" s="1214"/>
      <c r="BA19" s="1207"/>
      <c r="BB19" s="1207"/>
      <c r="BC19" s="1207"/>
      <c r="BD19" s="1207"/>
      <c r="BE19" s="1213"/>
    </row>
    <row r="20" spans="1:58" ht="15" customHeight="1">
      <c r="A20" s="1207"/>
      <c r="B20" s="2198">
        <v>0.4</v>
      </c>
      <c r="C20" s="2199"/>
      <c r="D20" s="2199"/>
      <c r="E20" s="2199"/>
      <c r="F20" s="2199"/>
      <c r="G20" s="2199"/>
      <c r="H20" s="2199"/>
      <c r="I20" s="2200"/>
      <c r="J20" s="2192">
        <f t="shared" ref="J20:J28" si="1">SUM(P20:AS20)</f>
        <v>35</v>
      </c>
      <c r="K20" s="2193"/>
      <c r="L20" s="2193"/>
      <c r="M20" s="2193"/>
      <c r="N20" s="2193"/>
      <c r="O20" s="2194"/>
      <c r="P20" s="2192" cm="1">
        <f t="array" ref="P20">SUMPRODUCT((Application!$B$714:$B$738 = 'CalHFA Addendum'!P$18)*(Application!$AC$714:$AC$738 = 'CalHFA Addendum'!$B20),Application!$G$714:$G$738)</f>
        <v>0</v>
      </c>
      <c r="Q20" s="2193"/>
      <c r="R20" s="2193"/>
      <c r="S20" s="2193"/>
      <c r="T20" s="2193"/>
      <c r="U20" s="2194"/>
      <c r="V20" s="2192" cm="1">
        <f t="array" ref="V20">SUMPRODUCT((Application!$B$714:$B$738 = 'CalHFA Addendum'!V$18)*(Application!$AC$714:$AC$738 = 'CalHFA Addendum'!$B20),Application!$G$714:$G$738)</f>
        <v>3</v>
      </c>
      <c r="W20" s="2193"/>
      <c r="X20" s="2193"/>
      <c r="Y20" s="2193"/>
      <c r="Z20" s="2193"/>
      <c r="AA20" s="2194"/>
      <c r="AB20" s="2192" cm="1">
        <f t="array" ref="AB20">SUMPRODUCT((Application!$B$714:$B$738 = 'CalHFA Addendum'!AB$18)*(Application!$AC$714:$AC$738 = 'CalHFA Addendum'!$B20),Application!$G$714:$G$738)</f>
        <v>10</v>
      </c>
      <c r="AC20" s="2193"/>
      <c r="AD20" s="2193"/>
      <c r="AE20" s="2193"/>
      <c r="AF20" s="2193"/>
      <c r="AG20" s="2194"/>
      <c r="AH20" s="2192" cm="1">
        <f t="array" ref="AH20">SUMPRODUCT((Application!$B$714:$B$738 = 'CalHFA Addendum'!AH$18)*(Application!$AC$714:$AC$738 = 'CalHFA Addendum'!$B20),Application!$G$714:$G$738)</f>
        <v>16</v>
      </c>
      <c r="AI20" s="2193"/>
      <c r="AJ20" s="2193"/>
      <c r="AK20" s="2193"/>
      <c r="AL20" s="2193"/>
      <c r="AM20" s="2194"/>
      <c r="AN20" s="2192" cm="1">
        <f t="array" ref="AN20">SUMPRODUCT((Application!$B$714:$B$738 = 'CalHFA Addendum'!AN$18)*(Application!$AC$714:$AC$738 = 'CalHFA Addendum'!$B20),Application!$G$714:$G$738)</f>
        <v>6</v>
      </c>
      <c r="AO20" s="2193"/>
      <c r="AP20" s="2193"/>
      <c r="AQ20" s="2193"/>
      <c r="AR20" s="2193"/>
      <c r="AS20" s="2194"/>
      <c r="AT20" s="2195">
        <f t="shared" si="0"/>
        <v>0.46666666666666667</v>
      </c>
      <c r="AU20" s="2196"/>
      <c r="AV20" s="2196"/>
      <c r="AW20" s="2196"/>
      <c r="AX20" s="2196"/>
      <c r="AY20" s="2197"/>
      <c r="AZ20" s="1207"/>
      <c r="BA20" s="1207"/>
      <c r="BB20" s="1207"/>
      <c r="BC20" s="1207"/>
      <c r="BD20" s="1207"/>
      <c r="BE20" s="1213"/>
    </row>
    <row r="21" spans="1:58" ht="15">
      <c r="A21" s="1207"/>
      <c r="B21" s="2198">
        <v>0.5</v>
      </c>
      <c r="C21" s="2199"/>
      <c r="D21" s="2199"/>
      <c r="E21" s="2199"/>
      <c r="F21" s="2199"/>
      <c r="G21" s="2199"/>
      <c r="H21" s="2199"/>
      <c r="I21" s="2200"/>
      <c r="J21" s="2192">
        <f t="shared" si="1"/>
        <v>14</v>
      </c>
      <c r="K21" s="2193"/>
      <c r="L21" s="2193"/>
      <c r="M21" s="2193"/>
      <c r="N21" s="2193"/>
      <c r="O21" s="2194"/>
      <c r="P21" s="2192" cm="1">
        <f t="array" ref="P21">SUMPRODUCT((Application!$B$714:$B$738 = 'CalHFA Addendum'!P$18)*(Application!$AC$714:$AC$738 = 'CalHFA Addendum'!$B21),Application!$G$714:$G$738)</f>
        <v>0</v>
      </c>
      <c r="Q21" s="2193"/>
      <c r="R21" s="2193"/>
      <c r="S21" s="2193"/>
      <c r="T21" s="2193"/>
      <c r="U21" s="2194"/>
      <c r="V21" s="2192" cm="1">
        <f t="array" ref="V21">SUMPRODUCT((Application!$B$714:$B$738 = 'CalHFA Addendum'!V$18)*(Application!$AC$714:$AC$738 = 'CalHFA Addendum'!$B21),Application!$G$714:$G$738)</f>
        <v>1</v>
      </c>
      <c r="W21" s="2193"/>
      <c r="X21" s="2193"/>
      <c r="Y21" s="2193"/>
      <c r="Z21" s="2193"/>
      <c r="AA21" s="2194"/>
      <c r="AB21" s="2192" cm="1">
        <f t="array" ref="AB21">SUMPRODUCT((Application!$B$714:$B$738 = 'CalHFA Addendum'!AB$18)*(Application!$AC$714:$AC$738 = 'CalHFA Addendum'!$B21),Application!$G$714:$G$738)</f>
        <v>4</v>
      </c>
      <c r="AC21" s="2193"/>
      <c r="AD21" s="2193"/>
      <c r="AE21" s="2193"/>
      <c r="AF21" s="2193"/>
      <c r="AG21" s="2194"/>
      <c r="AH21" s="2192" cm="1">
        <f t="array" ref="AH21">SUMPRODUCT((Application!$B$714:$B$738 = 'CalHFA Addendum'!AH$18)*(Application!$AC$714:$AC$738 = 'CalHFA Addendum'!$B21),Application!$G$714:$G$738)</f>
        <v>8</v>
      </c>
      <c r="AI21" s="2193"/>
      <c r="AJ21" s="2193"/>
      <c r="AK21" s="2193"/>
      <c r="AL21" s="2193"/>
      <c r="AM21" s="2194"/>
      <c r="AN21" s="2192" cm="1">
        <f t="array" ref="AN21">SUMPRODUCT((Application!$B$714:$B$738 = 'CalHFA Addendum'!AN$18)*(Application!$AC$714:$AC$738 = 'CalHFA Addendum'!$B21),Application!$G$714:$G$738)</f>
        <v>1</v>
      </c>
      <c r="AO21" s="2193"/>
      <c r="AP21" s="2193"/>
      <c r="AQ21" s="2193"/>
      <c r="AR21" s="2193"/>
      <c r="AS21" s="2194"/>
      <c r="AT21" s="2195">
        <f t="shared" si="0"/>
        <v>0.18666666666666668</v>
      </c>
      <c r="AU21" s="2196"/>
      <c r="AV21" s="2196"/>
      <c r="AW21" s="2196"/>
      <c r="AX21" s="2196"/>
      <c r="AY21" s="2197"/>
      <c r="AZ21" s="1207"/>
      <c r="BA21" s="1207"/>
      <c r="BB21" s="1207"/>
      <c r="BC21" s="1207"/>
      <c r="BD21" s="1207"/>
      <c r="BE21" s="1213"/>
    </row>
    <row r="22" spans="1:58" ht="15">
      <c r="A22" s="1207"/>
      <c r="B22" s="2198">
        <v>0.6</v>
      </c>
      <c r="C22" s="2199"/>
      <c r="D22" s="2199"/>
      <c r="E22" s="2199"/>
      <c r="F22" s="2199"/>
      <c r="G22" s="2199"/>
      <c r="H22" s="2199"/>
      <c r="I22" s="2200"/>
      <c r="J22" s="2192">
        <f t="shared" si="1"/>
        <v>4</v>
      </c>
      <c r="K22" s="2193"/>
      <c r="L22" s="2193"/>
      <c r="M22" s="2193"/>
      <c r="N22" s="2193"/>
      <c r="O22" s="2194"/>
      <c r="P22" s="2192" cm="1">
        <f t="array" ref="P22">SUMPRODUCT((Application!$B$714:$B$738 = 'CalHFA Addendum'!P$18)*(Application!$AC$714:$AC$738 = 'CalHFA Addendum'!$B22),Application!$G$714:$G$738)</f>
        <v>0</v>
      </c>
      <c r="Q22" s="2193"/>
      <c r="R22" s="2193"/>
      <c r="S22" s="2193"/>
      <c r="T22" s="2193"/>
      <c r="U22" s="2194"/>
      <c r="V22" s="2192" cm="1">
        <f t="array" ref="V22">SUMPRODUCT((Application!$B$714:$B$738 = 'CalHFA Addendum'!V$18)*(Application!$AC$714:$AC$738 = 'CalHFA Addendum'!$B22),Application!$G$714:$G$738)</f>
        <v>1</v>
      </c>
      <c r="W22" s="2193"/>
      <c r="X22" s="2193"/>
      <c r="Y22" s="2193"/>
      <c r="Z22" s="2193"/>
      <c r="AA22" s="2194"/>
      <c r="AB22" s="2192" cm="1">
        <f t="array" ref="AB22">SUMPRODUCT((Application!$B$714:$B$738 = 'CalHFA Addendum'!AB$18)*(Application!$AC$714:$AC$738 = 'CalHFA Addendum'!$B22),Application!$G$714:$G$738)</f>
        <v>1</v>
      </c>
      <c r="AC22" s="2193"/>
      <c r="AD22" s="2193"/>
      <c r="AE22" s="2193"/>
      <c r="AF22" s="2193"/>
      <c r="AG22" s="2194"/>
      <c r="AH22" s="2192" cm="1">
        <f t="array" ref="AH22">SUMPRODUCT((Application!$B$714:$B$738 = 'CalHFA Addendum'!AH$18)*(Application!$AC$714:$AC$738 = 'CalHFA Addendum'!$B22),Application!$G$714:$G$738)</f>
        <v>1</v>
      </c>
      <c r="AI22" s="2193"/>
      <c r="AJ22" s="2193"/>
      <c r="AK22" s="2193"/>
      <c r="AL22" s="2193"/>
      <c r="AM22" s="2194"/>
      <c r="AN22" s="2192" cm="1">
        <f t="array" ref="AN22">SUMPRODUCT((Application!$B$714:$B$738 = 'CalHFA Addendum'!AN$18)*(Application!$AC$714:$AC$738 = 'CalHFA Addendum'!$B22),Application!$G$714:$G$738)</f>
        <v>1</v>
      </c>
      <c r="AO22" s="2193"/>
      <c r="AP22" s="2193"/>
      <c r="AQ22" s="2193"/>
      <c r="AR22" s="2193"/>
      <c r="AS22" s="2194"/>
      <c r="AT22" s="2195">
        <f t="shared" si="0"/>
        <v>5.3333333333333337E-2</v>
      </c>
      <c r="AU22" s="2196"/>
      <c r="AV22" s="2196"/>
      <c r="AW22" s="2196"/>
      <c r="AX22" s="2196"/>
      <c r="AY22" s="2197"/>
      <c r="AZ22" s="1207"/>
      <c r="BA22" s="1207"/>
      <c r="BB22" s="1207"/>
      <c r="BC22" s="1207"/>
      <c r="BD22" s="1207"/>
      <c r="BE22" s="1213"/>
    </row>
    <row r="23" spans="1:58" ht="15">
      <c r="A23" s="1207"/>
      <c r="B23" s="2198">
        <v>0.7</v>
      </c>
      <c r="C23" s="2199"/>
      <c r="D23" s="2199"/>
      <c r="E23" s="2199"/>
      <c r="F23" s="2199"/>
      <c r="G23" s="2199"/>
      <c r="H23" s="2199"/>
      <c r="I23" s="2200"/>
      <c r="J23" s="2192">
        <f t="shared" si="1"/>
        <v>0</v>
      </c>
      <c r="K23" s="2193"/>
      <c r="L23" s="2193"/>
      <c r="M23" s="2193"/>
      <c r="N23" s="2193"/>
      <c r="O23" s="2194"/>
      <c r="P23" s="2192" cm="1">
        <f t="array" ref="P23">SUMPRODUCT((Application!$B$714:$B$738 = 'CalHFA Addendum'!P$18)*(Application!$AC$714:$AC$738 = 'CalHFA Addendum'!$B23),Application!$G$714:$G$738)</f>
        <v>0</v>
      </c>
      <c r="Q23" s="2193"/>
      <c r="R23" s="2193"/>
      <c r="S23" s="2193"/>
      <c r="T23" s="2193"/>
      <c r="U23" s="2194"/>
      <c r="V23" s="2192" cm="1">
        <f t="array" ref="V23">SUMPRODUCT((Application!$B$714:$B$738 = 'CalHFA Addendum'!V$18)*(Application!$AC$714:$AC$738 = 'CalHFA Addendum'!$B23),Application!$G$714:$G$738)</f>
        <v>0</v>
      </c>
      <c r="W23" s="2193"/>
      <c r="X23" s="2193"/>
      <c r="Y23" s="2193"/>
      <c r="Z23" s="2193"/>
      <c r="AA23" s="2194"/>
      <c r="AB23" s="2192" cm="1">
        <f t="array" ref="AB23">SUMPRODUCT((Application!$B$714:$B$738 = 'CalHFA Addendum'!AB$18)*(Application!$AC$714:$AC$738 = 'CalHFA Addendum'!$B23),Application!$G$714:$G$738)</f>
        <v>0</v>
      </c>
      <c r="AC23" s="2193"/>
      <c r="AD23" s="2193"/>
      <c r="AE23" s="2193"/>
      <c r="AF23" s="2193"/>
      <c r="AG23" s="2194"/>
      <c r="AH23" s="2192" cm="1">
        <f t="array" ref="AH23">SUMPRODUCT((Application!$B$714:$B$738 = 'CalHFA Addendum'!AH$18)*(Application!$AC$714:$AC$738 = 'CalHFA Addendum'!$B23),Application!$G$714:$G$738)</f>
        <v>0</v>
      </c>
      <c r="AI23" s="2193"/>
      <c r="AJ23" s="2193"/>
      <c r="AK23" s="2193"/>
      <c r="AL23" s="2193"/>
      <c r="AM23" s="2194"/>
      <c r="AN23" s="2192" cm="1">
        <f t="array" ref="AN23">SUMPRODUCT((Application!$B$714:$B$738 = 'CalHFA Addendum'!AN$18)*(Application!$AC$714:$AC$738 = 'CalHFA Addendum'!$B23),Application!$G$714:$G$738)</f>
        <v>0</v>
      </c>
      <c r="AO23" s="2193"/>
      <c r="AP23" s="2193"/>
      <c r="AQ23" s="2193"/>
      <c r="AR23" s="2193"/>
      <c r="AS23" s="2194"/>
      <c r="AT23" s="2195">
        <f t="shared" si="0"/>
        <v>0</v>
      </c>
      <c r="AU23" s="2196"/>
      <c r="AV23" s="2196"/>
      <c r="AW23" s="2196"/>
      <c r="AX23" s="2196"/>
      <c r="AY23" s="2197"/>
      <c r="AZ23" s="1207"/>
      <c r="BA23" s="1207"/>
      <c r="BB23" s="1207"/>
      <c r="BC23" s="1207"/>
      <c r="BD23" s="1207"/>
      <c r="BE23" s="1213"/>
    </row>
    <row r="24" spans="1:58" ht="15">
      <c r="A24" s="1207"/>
      <c r="B24" s="2198">
        <v>0.8</v>
      </c>
      <c r="C24" s="2199"/>
      <c r="D24" s="2199"/>
      <c r="E24" s="2199"/>
      <c r="F24" s="2199"/>
      <c r="G24" s="2199"/>
      <c r="H24" s="2199"/>
      <c r="I24" s="2200"/>
      <c r="J24" s="2192">
        <f t="shared" si="1"/>
        <v>0</v>
      </c>
      <c r="K24" s="2193"/>
      <c r="L24" s="2193"/>
      <c r="M24" s="2193"/>
      <c r="N24" s="2193"/>
      <c r="O24" s="2194"/>
      <c r="P24" s="2192" cm="1">
        <f t="array" ref="P24">SUMPRODUCT((Application!$B$714:$B$738 = 'CalHFA Addendum'!P$18)*(Application!$AC$714:$AC$738 = 'CalHFA Addendum'!$B24),Application!$G$714:$G$738)</f>
        <v>0</v>
      </c>
      <c r="Q24" s="2193"/>
      <c r="R24" s="2193"/>
      <c r="S24" s="2193"/>
      <c r="T24" s="2193"/>
      <c r="U24" s="2194"/>
      <c r="V24" s="2192" cm="1">
        <f t="array" ref="V24">SUMPRODUCT((Application!$B$714:$B$738 = 'CalHFA Addendum'!V$18)*(Application!$AC$714:$AC$738 = 'CalHFA Addendum'!$B24),Application!$G$714:$G$738)</f>
        <v>0</v>
      </c>
      <c r="W24" s="2193"/>
      <c r="X24" s="2193"/>
      <c r="Y24" s="2193"/>
      <c r="Z24" s="2193"/>
      <c r="AA24" s="2194"/>
      <c r="AB24" s="2192" cm="1">
        <f t="array" ref="AB24">SUMPRODUCT((Application!$B$714:$B$738 = 'CalHFA Addendum'!AB$18)*(Application!$AC$714:$AC$738 = 'CalHFA Addendum'!$B24),Application!$G$714:$G$738)</f>
        <v>0</v>
      </c>
      <c r="AC24" s="2193"/>
      <c r="AD24" s="2193"/>
      <c r="AE24" s="2193"/>
      <c r="AF24" s="2193"/>
      <c r="AG24" s="2194"/>
      <c r="AH24" s="2192" cm="1">
        <f t="array" ref="AH24">SUMPRODUCT((Application!$B$714:$B$738 = 'CalHFA Addendum'!AH$18)*(Application!$AC$714:$AC$738 = 'CalHFA Addendum'!$B24),Application!$G$714:$G$738)</f>
        <v>0</v>
      </c>
      <c r="AI24" s="2193"/>
      <c r="AJ24" s="2193"/>
      <c r="AK24" s="2193"/>
      <c r="AL24" s="2193"/>
      <c r="AM24" s="2194"/>
      <c r="AN24" s="2192" cm="1">
        <f t="array" ref="AN24">SUMPRODUCT((Application!$B$714:$B$738 = 'CalHFA Addendum'!AN$18)*(Application!$AC$714:$AC$738 = 'CalHFA Addendum'!$B24),Application!$G$714:$G$738)</f>
        <v>0</v>
      </c>
      <c r="AO24" s="2193"/>
      <c r="AP24" s="2193"/>
      <c r="AQ24" s="2193"/>
      <c r="AR24" s="2193"/>
      <c r="AS24" s="2194"/>
      <c r="AT24" s="2195">
        <f t="shared" si="0"/>
        <v>0</v>
      </c>
      <c r="AU24" s="2196"/>
      <c r="AV24" s="2196"/>
      <c r="AW24" s="2196"/>
      <c r="AX24" s="2196"/>
      <c r="AY24" s="2197"/>
      <c r="AZ24" s="1207"/>
      <c r="BA24" s="1207"/>
      <c r="BB24" s="1207"/>
      <c r="BC24" s="1207"/>
      <c r="BD24" s="1207"/>
      <c r="BE24" s="1213"/>
    </row>
    <row r="25" spans="1:58" ht="15">
      <c r="A25" s="1207"/>
      <c r="B25" s="2198">
        <v>0.9</v>
      </c>
      <c r="C25" s="2199"/>
      <c r="D25" s="2199"/>
      <c r="E25" s="2199"/>
      <c r="F25" s="2199"/>
      <c r="G25" s="2199"/>
      <c r="H25" s="2199"/>
      <c r="I25" s="2200"/>
      <c r="J25" s="2192">
        <f t="shared" si="1"/>
        <v>0</v>
      </c>
      <c r="K25" s="2193"/>
      <c r="L25" s="2193"/>
      <c r="M25" s="2193"/>
      <c r="N25" s="2193"/>
      <c r="O25" s="2194"/>
      <c r="P25" s="2192" cm="1">
        <f t="array" ref="P25">SUMPRODUCT((Application!$B$714:$B$738 = 'CalHFA Addendum'!P$18)*(Application!$AC$714:$AC$738 = 'CalHFA Addendum'!$B25),Application!$G$714:$G$738)</f>
        <v>0</v>
      </c>
      <c r="Q25" s="2193"/>
      <c r="R25" s="2193"/>
      <c r="S25" s="2193"/>
      <c r="T25" s="2193"/>
      <c r="U25" s="2194"/>
      <c r="V25" s="2192" cm="1">
        <f t="array" ref="V25">SUMPRODUCT((Application!$B$714:$B$738 = 'CalHFA Addendum'!V$18)*(Application!$AC$714:$AC$738 = 'CalHFA Addendum'!$B25),Application!$G$714:$G$738)</f>
        <v>0</v>
      </c>
      <c r="W25" s="2193"/>
      <c r="X25" s="2193"/>
      <c r="Y25" s="2193"/>
      <c r="Z25" s="2193"/>
      <c r="AA25" s="2194"/>
      <c r="AB25" s="2192" cm="1">
        <f t="array" ref="AB25">SUMPRODUCT((Application!$B$714:$B$738 = 'CalHFA Addendum'!AB$18)*(Application!$AC$714:$AC$738 = 'CalHFA Addendum'!$B25),Application!$G$714:$G$738)</f>
        <v>0</v>
      </c>
      <c r="AC25" s="2193"/>
      <c r="AD25" s="2193"/>
      <c r="AE25" s="2193"/>
      <c r="AF25" s="2193"/>
      <c r="AG25" s="2194"/>
      <c r="AH25" s="2192" cm="1">
        <f t="array" ref="AH25">SUMPRODUCT((Application!$B$714:$B$738 = 'CalHFA Addendum'!AH$18)*(Application!$AC$714:$AC$738 = 'CalHFA Addendum'!$B25),Application!$G$714:$G$738)</f>
        <v>0</v>
      </c>
      <c r="AI25" s="2193"/>
      <c r="AJ25" s="2193"/>
      <c r="AK25" s="2193"/>
      <c r="AL25" s="2193"/>
      <c r="AM25" s="2194"/>
      <c r="AN25" s="2192" cm="1">
        <f t="array" ref="AN25">SUMPRODUCT((Application!$B$714:$B$738 = 'CalHFA Addendum'!AN$18)*(Application!$AC$714:$AC$738 = 'CalHFA Addendum'!$B25),Application!$G$714:$G$738)</f>
        <v>0</v>
      </c>
      <c r="AO25" s="2193"/>
      <c r="AP25" s="2193"/>
      <c r="AQ25" s="2193"/>
      <c r="AR25" s="2193"/>
      <c r="AS25" s="2194"/>
      <c r="AT25" s="2195">
        <f t="shared" si="0"/>
        <v>0</v>
      </c>
      <c r="AU25" s="2196"/>
      <c r="AV25" s="2196"/>
      <c r="AW25" s="2196"/>
      <c r="AX25" s="2196"/>
      <c r="AY25" s="2197"/>
      <c r="AZ25" s="1207"/>
      <c r="BA25" s="1207"/>
      <c r="BB25" s="1207"/>
      <c r="BC25" s="1207"/>
      <c r="BD25" s="1207"/>
      <c r="BE25" s="1213"/>
    </row>
    <row r="26" spans="1:58" ht="15">
      <c r="A26" s="1207"/>
      <c r="B26" s="2198">
        <v>1</v>
      </c>
      <c r="C26" s="2199"/>
      <c r="D26" s="2199"/>
      <c r="E26" s="2199"/>
      <c r="F26" s="2199"/>
      <c r="G26" s="2199"/>
      <c r="H26" s="2199"/>
      <c r="I26" s="2200"/>
      <c r="J26" s="2192">
        <f t="shared" si="1"/>
        <v>0</v>
      </c>
      <c r="K26" s="2193"/>
      <c r="L26" s="2193"/>
      <c r="M26" s="2193"/>
      <c r="N26" s="2193"/>
      <c r="O26" s="2194"/>
      <c r="P26" s="2192" cm="1">
        <f t="array" ref="P26">SUMPRODUCT((Application!$B$714:$B$738 = 'CalHFA Addendum'!P$18)*(Application!$AC$714:$AC$738 = 'CalHFA Addendum'!$B26),Application!$G$714:$G$738)</f>
        <v>0</v>
      </c>
      <c r="Q26" s="2193"/>
      <c r="R26" s="2193"/>
      <c r="S26" s="2193"/>
      <c r="T26" s="2193"/>
      <c r="U26" s="2194"/>
      <c r="V26" s="2192" cm="1">
        <f t="array" ref="V26">SUMPRODUCT((Application!$B$714:$B$738 = 'CalHFA Addendum'!V$18)*(Application!$AC$714:$AC$738 = 'CalHFA Addendum'!$B26),Application!$G$714:$G$738)</f>
        <v>0</v>
      </c>
      <c r="W26" s="2193"/>
      <c r="X26" s="2193"/>
      <c r="Y26" s="2193"/>
      <c r="Z26" s="2193"/>
      <c r="AA26" s="2194"/>
      <c r="AB26" s="2192" cm="1">
        <f t="array" ref="AB26">SUMPRODUCT((Application!$B$714:$B$738 = 'CalHFA Addendum'!AB$18)*(Application!$AC$714:$AC$738 = 'CalHFA Addendum'!$B26),Application!$G$714:$G$738)</f>
        <v>0</v>
      </c>
      <c r="AC26" s="2193"/>
      <c r="AD26" s="2193"/>
      <c r="AE26" s="2193"/>
      <c r="AF26" s="2193"/>
      <c r="AG26" s="2194"/>
      <c r="AH26" s="2192" cm="1">
        <f t="array" ref="AH26">SUMPRODUCT((Application!$B$714:$B$738 = 'CalHFA Addendum'!AH$18)*(Application!$AC$714:$AC$738 = 'CalHFA Addendum'!$B26),Application!$G$714:$G$738)</f>
        <v>0</v>
      </c>
      <c r="AI26" s="2193"/>
      <c r="AJ26" s="2193"/>
      <c r="AK26" s="2193"/>
      <c r="AL26" s="2193"/>
      <c r="AM26" s="2194"/>
      <c r="AN26" s="2192" cm="1">
        <f t="array" ref="AN26">SUMPRODUCT((Application!$B$714:$B$738 = 'CalHFA Addendum'!AN$18)*(Application!$AC$714:$AC$738 = 'CalHFA Addendum'!$B26),Application!$G$714:$G$738)</f>
        <v>0</v>
      </c>
      <c r="AO26" s="2193"/>
      <c r="AP26" s="2193"/>
      <c r="AQ26" s="2193"/>
      <c r="AR26" s="2193"/>
      <c r="AS26" s="2194"/>
      <c r="AT26" s="2195">
        <f t="shared" si="0"/>
        <v>0</v>
      </c>
      <c r="AU26" s="2196"/>
      <c r="AV26" s="2196"/>
      <c r="AW26" s="2196"/>
      <c r="AX26" s="2196"/>
      <c r="AY26" s="2197"/>
      <c r="AZ26" s="1207"/>
      <c r="BA26" s="1207"/>
      <c r="BB26" s="1207"/>
      <c r="BC26" s="1207"/>
      <c r="BD26" s="1207"/>
      <c r="BE26" s="1213"/>
    </row>
    <row r="27" spans="1:58" ht="15">
      <c r="A27" s="1207"/>
      <c r="B27" s="2198">
        <v>1.1000000000000001</v>
      </c>
      <c r="C27" s="2199"/>
      <c r="D27" s="2199"/>
      <c r="E27" s="2199"/>
      <c r="F27" s="2199"/>
      <c r="G27" s="2199"/>
      <c r="H27" s="2199"/>
      <c r="I27" s="2200"/>
      <c r="J27" s="2192">
        <f t="shared" si="1"/>
        <v>0</v>
      </c>
      <c r="K27" s="2193"/>
      <c r="L27" s="2193"/>
      <c r="M27" s="2193"/>
      <c r="N27" s="2193"/>
      <c r="O27" s="2194"/>
      <c r="P27" s="2192" cm="1">
        <f t="array" ref="P27">SUMPRODUCT((Application!$B$714:$B$738 = 'CalHFA Addendum'!P$18)*(Application!$AC$714:$AC$738 = 'CalHFA Addendum'!$B27),Application!$G$714:$G$738)</f>
        <v>0</v>
      </c>
      <c r="Q27" s="2193"/>
      <c r="R27" s="2193"/>
      <c r="S27" s="2193"/>
      <c r="T27" s="2193"/>
      <c r="U27" s="2194"/>
      <c r="V27" s="2192" cm="1">
        <f t="array" ref="V27">SUMPRODUCT((Application!$B$714:$B$738 = 'CalHFA Addendum'!V$18)*(Application!$AC$714:$AC$738 = 'CalHFA Addendum'!$B27),Application!$G$714:$G$738)</f>
        <v>0</v>
      </c>
      <c r="W27" s="2193"/>
      <c r="X27" s="2193"/>
      <c r="Y27" s="2193"/>
      <c r="Z27" s="2193"/>
      <c r="AA27" s="2194"/>
      <c r="AB27" s="2192" cm="1">
        <f t="array" ref="AB27">SUMPRODUCT((Application!$B$714:$B$738 = 'CalHFA Addendum'!AB$18)*(Application!$AC$714:$AC$738 = 'CalHFA Addendum'!$B27),Application!$G$714:$G$738)</f>
        <v>0</v>
      </c>
      <c r="AC27" s="2193"/>
      <c r="AD27" s="2193"/>
      <c r="AE27" s="2193"/>
      <c r="AF27" s="2193"/>
      <c r="AG27" s="2194"/>
      <c r="AH27" s="2192" cm="1">
        <f t="array" ref="AH27">SUMPRODUCT((Application!$B$714:$B$738 = 'CalHFA Addendum'!AH$18)*(Application!$AC$714:$AC$738 = 'CalHFA Addendum'!$B27),Application!$G$714:$G$738)</f>
        <v>0</v>
      </c>
      <c r="AI27" s="2193"/>
      <c r="AJ27" s="2193"/>
      <c r="AK27" s="2193"/>
      <c r="AL27" s="2193"/>
      <c r="AM27" s="2194"/>
      <c r="AN27" s="2192" cm="1">
        <f t="array" ref="AN27">SUMPRODUCT((Application!$B$714:$B$738 = 'CalHFA Addendum'!AN$18)*(Application!$AC$714:$AC$738 = 'CalHFA Addendum'!$B27),Application!$G$714:$G$738)</f>
        <v>0</v>
      </c>
      <c r="AO27" s="2193"/>
      <c r="AP27" s="2193"/>
      <c r="AQ27" s="2193"/>
      <c r="AR27" s="2193"/>
      <c r="AS27" s="2194"/>
      <c r="AT27" s="2195">
        <f t="shared" si="0"/>
        <v>0</v>
      </c>
      <c r="AU27" s="2196"/>
      <c r="AV27" s="2196"/>
      <c r="AW27" s="2196"/>
      <c r="AX27" s="2196"/>
      <c r="AY27" s="2197"/>
      <c r="AZ27" s="1207"/>
      <c r="BA27" s="1207"/>
      <c r="BB27" s="1207"/>
      <c r="BC27" s="1207"/>
      <c r="BD27" s="1207"/>
      <c r="BE27" s="1213"/>
    </row>
    <row r="28" spans="1:58" thickBot="1">
      <c r="A28" s="1207"/>
      <c r="B28" s="2201" t="s">
        <v>1867</v>
      </c>
      <c r="C28" s="2202"/>
      <c r="D28" s="2202"/>
      <c r="E28" s="2202"/>
      <c r="F28" s="2202"/>
      <c r="G28" s="2202"/>
      <c r="H28" s="2202"/>
      <c r="I28" s="2203"/>
      <c r="J28" s="2204">
        <f t="shared" si="1"/>
        <v>1</v>
      </c>
      <c r="K28" s="2205"/>
      <c r="L28" s="2205"/>
      <c r="M28" s="2205"/>
      <c r="N28" s="2205"/>
      <c r="O28" s="2206"/>
      <c r="P28" s="2204">
        <f>_xlfn.IFNA(VLOOKUP(P$18,Application!$J$758:$S$761,6,FALSE), 0)</f>
        <v>0</v>
      </c>
      <c r="Q28" s="2205"/>
      <c r="R28" s="2205"/>
      <c r="S28" s="2205"/>
      <c r="T28" s="2205"/>
      <c r="U28" s="2206"/>
      <c r="V28" s="2204">
        <f>_xlfn.IFNA(VLOOKUP(V$18,Application!$J$758:$S$761,6,FALSE), 0)</f>
        <v>0</v>
      </c>
      <c r="W28" s="2205"/>
      <c r="X28" s="2205"/>
      <c r="Y28" s="2205"/>
      <c r="Z28" s="2205"/>
      <c r="AA28" s="2206"/>
      <c r="AB28" s="2204">
        <f>_xlfn.IFNA(VLOOKUP(AB$18,Application!$J$758:$S$761,6,FALSE), 0)</f>
        <v>0</v>
      </c>
      <c r="AC28" s="2205"/>
      <c r="AD28" s="2205"/>
      <c r="AE28" s="2205"/>
      <c r="AF28" s="2205"/>
      <c r="AG28" s="2206"/>
      <c r="AH28" s="2204">
        <f>_xlfn.IFNA(VLOOKUP(AH$18,Application!$J$758:$S$761,6,FALSE), 0)</f>
        <v>1</v>
      </c>
      <c r="AI28" s="2205"/>
      <c r="AJ28" s="2205"/>
      <c r="AK28" s="2205"/>
      <c r="AL28" s="2205"/>
      <c r="AM28" s="2206"/>
      <c r="AN28" s="2204">
        <f>_xlfn.IFNA(VLOOKUP(AN$18,Application!$J$758:$S$761,6,FALSE), 0)</f>
        <v>0</v>
      </c>
      <c r="AO28" s="2205"/>
      <c r="AP28" s="2205"/>
      <c r="AQ28" s="2205"/>
      <c r="AR28" s="2205"/>
      <c r="AS28" s="2206"/>
      <c r="AT28" s="2207">
        <f t="shared" si="0"/>
        <v>1.3333333333333334E-2</v>
      </c>
      <c r="AU28" s="2208"/>
      <c r="AV28" s="2208"/>
      <c r="AW28" s="2208"/>
      <c r="AX28" s="2208"/>
      <c r="AY28" s="2209"/>
      <c r="AZ28" s="1207"/>
      <c r="BA28" s="1207"/>
      <c r="BB28" s="1207"/>
      <c r="BC28" s="1207"/>
      <c r="BD28" s="1207"/>
      <c r="BE28" s="1213"/>
    </row>
    <row r="29" spans="1:58" thickBot="1">
      <c r="A29" s="1207"/>
      <c r="B29" s="2232" t="s">
        <v>1764</v>
      </c>
      <c r="C29" s="2215"/>
      <c r="D29" s="2215"/>
      <c r="E29" s="2215"/>
      <c r="F29" s="2215"/>
      <c r="G29" s="2215"/>
      <c r="H29" s="2215"/>
      <c r="I29" s="2216"/>
      <c r="J29" s="2214">
        <f>SUM(J19:O28)</f>
        <v>75</v>
      </c>
      <c r="K29" s="2215"/>
      <c r="L29" s="2215"/>
      <c r="M29" s="2215"/>
      <c r="N29" s="2215"/>
      <c r="O29" s="2216"/>
      <c r="P29" s="2214">
        <f>SUM(P19:U28)</f>
        <v>0</v>
      </c>
      <c r="Q29" s="2215"/>
      <c r="R29" s="2215"/>
      <c r="S29" s="2215"/>
      <c r="T29" s="2215"/>
      <c r="U29" s="2216"/>
      <c r="V29" s="2214">
        <f>SUM(V19:AA28)</f>
        <v>8</v>
      </c>
      <c r="W29" s="2215"/>
      <c r="X29" s="2215"/>
      <c r="Y29" s="2215"/>
      <c r="Z29" s="2215"/>
      <c r="AA29" s="2216"/>
      <c r="AB29" s="2214">
        <f>SUM(AB19:AG28)</f>
        <v>24</v>
      </c>
      <c r="AC29" s="2215"/>
      <c r="AD29" s="2215"/>
      <c r="AE29" s="2215"/>
      <c r="AF29" s="2215"/>
      <c r="AG29" s="2216"/>
      <c r="AH29" s="2214">
        <f>SUM(AH19:AM28)</f>
        <v>33</v>
      </c>
      <c r="AI29" s="2215"/>
      <c r="AJ29" s="2215"/>
      <c r="AK29" s="2215"/>
      <c r="AL29" s="2215"/>
      <c r="AM29" s="2216"/>
      <c r="AN29" s="2214">
        <f>SUM(AN19:AS28)</f>
        <v>10</v>
      </c>
      <c r="AO29" s="2215"/>
      <c r="AP29" s="2215"/>
      <c r="AQ29" s="2215"/>
      <c r="AR29" s="2215"/>
      <c r="AS29" s="2216"/>
      <c r="AT29" s="2217">
        <f>J29/$J$29</f>
        <v>1</v>
      </c>
      <c r="AU29" s="2218"/>
      <c r="AV29" s="2218"/>
      <c r="AW29" s="2218"/>
      <c r="AX29" s="2218"/>
      <c r="AY29" s="2219"/>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0" t="s">
        <v>1868</v>
      </c>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2"/>
      <c r="BA31" s="1207"/>
      <c r="BB31" s="1207"/>
      <c r="BC31" s="1207"/>
      <c r="BD31" s="1207"/>
      <c r="BE31" s="1213"/>
    </row>
    <row r="32" spans="1:58" ht="15">
      <c r="A32" s="1207"/>
      <c r="B32" s="2223" t="s">
        <v>2582</v>
      </c>
      <c r="C32" s="2224"/>
      <c r="D32" s="2224"/>
      <c r="E32" s="2224"/>
      <c r="F32" s="2224"/>
      <c r="G32" s="2224"/>
      <c r="H32" s="2224"/>
      <c r="I32" s="2224"/>
      <c r="J32" s="2226" t="s">
        <v>2583</v>
      </c>
      <c r="K32" s="2227"/>
      <c r="L32" s="2227"/>
      <c r="M32" s="2227"/>
      <c r="N32" s="2226" t="s">
        <v>1869</v>
      </c>
      <c r="O32" s="2227"/>
      <c r="P32" s="2227"/>
      <c r="Q32" s="2227"/>
      <c r="R32" s="2228" t="s">
        <v>1870</v>
      </c>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9"/>
      <c r="BA32" s="1207"/>
      <c r="BB32" s="1207"/>
      <c r="BC32" s="1207"/>
      <c r="BD32" s="1207"/>
      <c r="BE32" s="1213"/>
    </row>
    <row r="33" spans="1:58" ht="15" customHeight="1">
      <c r="A33" s="1207"/>
      <c r="B33" s="2225"/>
      <c r="C33" s="2224"/>
      <c r="D33" s="2224"/>
      <c r="E33" s="2224"/>
      <c r="F33" s="2224"/>
      <c r="G33" s="2224"/>
      <c r="H33" s="2224"/>
      <c r="I33" s="2224"/>
      <c r="J33" s="2227"/>
      <c r="K33" s="2227"/>
      <c r="L33" s="2227"/>
      <c r="M33" s="2227"/>
      <c r="N33" s="2227"/>
      <c r="O33" s="2227"/>
      <c r="P33" s="2227"/>
      <c r="Q33" s="2227"/>
      <c r="R33" s="2230" t="s">
        <v>1871</v>
      </c>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31"/>
      <c r="BA33" s="1214"/>
      <c r="BB33" s="1207"/>
      <c r="BC33" s="1207"/>
      <c r="BD33" s="1207"/>
      <c r="BE33" s="1213"/>
    </row>
    <row r="34" spans="1:58" ht="15.75" customHeight="1">
      <c r="A34" s="1207"/>
      <c r="B34" s="2225"/>
      <c r="C34" s="2224"/>
      <c r="D34" s="2224"/>
      <c r="E34" s="2224"/>
      <c r="F34" s="2224"/>
      <c r="G34" s="2224"/>
      <c r="H34" s="2224"/>
      <c r="I34" s="2224"/>
      <c r="J34" s="2227"/>
      <c r="K34" s="2227"/>
      <c r="L34" s="2227"/>
      <c r="M34" s="2227"/>
      <c r="N34" s="2227"/>
      <c r="O34" s="2227"/>
      <c r="P34" s="2227"/>
      <c r="Q34" s="2227"/>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31"/>
      <c r="BA34" s="1214"/>
      <c r="BB34" s="1207"/>
      <c r="BC34" s="1207"/>
      <c r="BD34" s="1207"/>
      <c r="BE34" s="1213"/>
    </row>
    <row r="35" spans="1:58" ht="15.75" customHeight="1">
      <c r="A35" s="1207"/>
      <c r="B35" s="2225"/>
      <c r="C35" s="2224"/>
      <c r="D35" s="2224"/>
      <c r="E35" s="2224"/>
      <c r="F35" s="2224"/>
      <c r="G35" s="2224"/>
      <c r="H35" s="2224"/>
      <c r="I35" s="2224"/>
      <c r="J35" s="2227"/>
      <c r="K35" s="2227"/>
      <c r="L35" s="2227"/>
      <c r="M35" s="2227"/>
      <c r="N35" s="2227"/>
      <c r="O35" s="2227"/>
      <c r="P35" s="2227"/>
      <c r="Q35" s="2227"/>
      <c r="R35" s="2210">
        <v>0.3</v>
      </c>
      <c r="S35" s="2210"/>
      <c r="T35" s="2210"/>
      <c r="U35" s="2210"/>
      <c r="V35" s="2210">
        <v>0.4</v>
      </c>
      <c r="W35" s="2210"/>
      <c r="X35" s="2210"/>
      <c r="Y35" s="2210"/>
      <c r="Z35" s="2210">
        <v>0.5</v>
      </c>
      <c r="AA35" s="2210"/>
      <c r="AB35" s="2210"/>
      <c r="AC35" s="2210"/>
      <c r="AD35" s="2210">
        <v>0.6</v>
      </c>
      <c r="AE35" s="2210"/>
      <c r="AF35" s="2210"/>
      <c r="AG35" s="2210"/>
      <c r="AH35" s="2210">
        <v>0.8</v>
      </c>
      <c r="AI35" s="2210"/>
      <c r="AJ35" s="2210"/>
      <c r="AK35" s="2210"/>
      <c r="AL35" s="2211">
        <v>1</v>
      </c>
      <c r="AM35" s="2211"/>
      <c r="AN35" s="2211"/>
      <c r="AO35" s="2212" t="s">
        <v>1872</v>
      </c>
      <c r="AP35" s="2212"/>
      <c r="AQ35" s="2212"/>
      <c r="AR35" s="2212"/>
      <c r="AS35" s="2212"/>
      <c r="AT35" s="2212"/>
      <c r="AU35" s="2212" t="s">
        <v>1873</v>
      </c>
      <c r="AV35" s="2212"/>
      <c r="AW35" s="2212"/>
      <c r="AX35" s="2212"/>
      <c r="AY35" s="2212"/>
      <c r="AZ35" s="2213"/>
      <c r="BA35" s="1214"/>
      <c r="BB35" s="1207"/>
      <c r="BC35" s="1207"/>
      <c r="BD35" s="1207"/>
      <c r="BE35" s="1213"/>
      <c r="BF35" s="1205"/>
    </row>
    <row r="36" spans="1:58" ht="15.75" customHeight="1">
      <c r="A36" s="1207"/>
      <c r="B36" s="2233" t="s">
        <v>1874</v>
      </c>
      <c r="C36" s="2234"/>
      <c r="D36" s="2234"/>
      <c r="E36" s="2234"/>
      <c r="F36" s="2234"/>
      <c r="G36" s="2234"/>
      <c r="H36" s="2234"/>
      <c r="I36" s="2234"/>
      <c r="J36" s="2235" t="s">
        <v>1875</v>
      </c>
      <c r="K36" s="2235"/>
      <c r="L36" s="2235"/>
      <c r="M36" s="2235"/>
      <c r="N36" s="2235">
        <v>55</v>
      </c>
      <c r="O36" s="2235"/>
      <c r="P36" s="2235"/>
      <c r="Q36" s="2235"/>
      <c r="R36" s="2236">
        <v>0</v>
      </c>
      <c r="S36" s="2236"/>
      <c r="T36" s="2236"/>
      <c r="U36" s="2236"/>
      <c r="V36" s="2236">
        <v>0</v>
      </c>
      <c r="W36" s="2236"/>
      <c r="X36" s="2236"/>
      <c r="Y36" s="2236"/>
      <c r="Z36" s="2236">
        <v>10</v>
      </c>
      <c r="AA36" s="2236"/>
      <c r="AB36" s="2236"/>
      <c r="AC36" s="2236"/>
      <c r="AD36" s="2236">
        <v>30</v>
      </c>
      <c r="AE36" s="2236"/>
      <c r="AF36" s="2236"/>
      <c r="AG36" s="2236"/>
      <c r="AH36" s="2236">
        <v>0</v>
      </c>
      <c r="AI36" s="2236"/>
      <c r="AJ36" s="2236"/>
      <c r="AK36" s="2236"/>
      <c r="AL36" s="2236">
        <v>0</v>
      </c>
      <c r="AM36" s="2236"/>
      <c r="AN36" s="2236"/>
      <c r="AO36" s="2237">
        <f>SUM(R36:AN36)</f>
        <v>40</v>
      </c>
      <c r="AP36" s="2237"/>
      <c r="AQ36" s="2237"/>
      <c r="AR36" s="2237"/>
      <c r="AS36" s="2237"/>
      <c r="AT36" s="2237"/>
      <c r="AU36" s="2238">
        <f>AO36/$J$29</f>
        <v>0.53333333333333333</v>
      </c>
      <c r="AV36" s="2238"/>
      <c r="AW36" s="2238"/>
      <c r="AX36" s="2238"/>
      <c r="AY36" s="2238"/>
      <c r="AZ36" s="2239"/>
      <c r="BA36" s="1207"/>
      <c r="BB36" s="1207"/>
      <c r="BC36" s="1207"/>
      <c r="BD36" s="1207"/>
      <c r="BE36" s="1213"/>
      <c r="BF36" s="1205"/>
    </row>
    <row r="37" spans="1:58" ht="15.75" customHeight="1">
      <c r="A37" s="1207"/>
      <c r="B37" s="2233" t="s">
        <v>2584</v>
      </c>
      <c r="C37" s="2234"/>
      <c r="D37" s="2234"/>
      <c r="E37" s="2234"/>
      <c r="F37" s="2234"/>
      <c r="G37" s="2234"/>
      <c r="H37" s="2234"/>
      <c r="I37" s="2234"/>
      <c r="J37" s="2235" t="s">
        <v>1876</v>
      </c>
      <c r="K37" s="2235"/>
      <c r="L37" s="2235"/>
      <c r="M37" s="2235"/>
      <c r="N37" s="2235">
        <v>55</v>
      </c>
      <c r="O37" s="2235"/>
      <c r="P37" s="2235"/>
      <c r="Q37" s="2235"/>
      <c r="R37" s="2236">
        <v>10</v>
      </c>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7">
        <f t="shared" ref="AO37:AO47" si="2">SUM(R37:AN37)</f>
        <v>10</v>
      </c>
      <c r="AP37" s="2237"/>
      <c r="AQ37" s="2237"/>
      <c r="AR37" s="2237"/>
      <c r="AS37" s="2237"/>
      <c r="AT37" s="2237"/>
      <c r="AU37" s="2238">
        <f t="shared" ref="AU37:AU47" si="3">AO37/$J$29</f>
        <v>0.13333333333333333</v>
      </c>
      <c r="AV37" s="2238"/>
      <c r="AW37" s="2238"/>
      <c r="AX37" s="2238"/>
      <c r="AY37" s="2238"/>
      <c r="AZ37" s="2239"/>
      <c r="BA37" s="1207"/>
      <c r="BB37" s="1207"/>
      <c r="BC37" s="1207"/>
      <c r="BD37" s="1207"/>
      <c r="BE37" s="1213"/>
      <c r="BF37" s="1205"/>
    </row>
    <row r="38" spans="1:58" ht="15.75" customHeight="1">
      <c r="A38" s="1207"/>
      <c r="B38" s="2233" t="s">
        <v>2522</v>
      </c>
      <c r="C38" s="2234"/>
      <c r="D38" s="2234"/>
      <c r="E38" s="2234"/>
      <c r="F38" s="2234"/>
      <c r="G38" s="2234"/>
      <c r="H38" s="2234"/>
      <c r="I38" s="2234"/>
      <c r="J38" s="2235" t="s">
        <v>1877</v>
      </c>
      <c r="K38" s="2235"/>
      <c r="L38" s="2235"/>
      <c r="M38" s="2235"/>
      <c r="N38" s="2235">
        <v>55</v>
      </c>
      <c r="O38" s="2235"/>
      <c r="P38" s="2235"/>
      <c r="Q38" s="2235"/>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7">
        <f t="shared" si="2"/>
        <v>0</v>
      </c>
      <c r="AP38" s="2237"/>
      <c r="AQ38" s="2237"/>
      <c r="AR38" s="2237"/>
      <c r="AS38" s="2237"/>
      <c r="AT38" s="2237"/>
      <c r="AU38" s="2238">
        <f t="shared" si="3"/>
        <v>0</v>
      </c>
      <c r="AV38" s="2238"/>
      <c r="AW38" s="2238"/>
      <c r="AX38" s="2238"/>
      <c r="AY38" s="2238"/>
      <c r="AZ38" s="2239"/>
      <c r="BA38" s="1207"/>
      <c r="BB38" s="1207"/>
      <c r="BC38" s="1207"/>
      <c r="BD38" s="1207"/>
      <c r="BE38" s="1213"/>
      <c r="BF38" s="1205"/>
    </row>
    <row r="39" spans="1:58" ht="15.75" customHeight="1">
      <c r="A39" s="1207"/>
      <c r="B39" s="2233" t="s">
        <v>1878</v>
      </c>
      <c r="C39" s="2234"/>
      <c r="D39" s="2234"/>
      <c r="E39" s="2234"/>
      <c r="F39" s="2234"/>
      <c r="G39" s="2234"/>
      <c r="H39" s="2234"/>
      <c r="I39" s="2234"/>
      <c r="J39" s="2235"/>
      <c r="K39" s="2235"/>
      <c r="L39" s="2235"/>
      <c r="M39" s="2235"/>
      <c r="N39" s="2235"/>
      <c r="O39" s="2235"/>
      <c r="P39" s="2235"/>
      <c r="Q39" s="2235"/>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7">
        <f t="shared" si="2"/>
        <v>0</v>
      </c>
      <c r="AP39" s="2237"/>
      <c r="AQ39" s="2237"/>
      <c r="AR39" s="2237"/>
      <c r="AS39" s="2237"/>
      <c r="AT39" s="2237"/>
      <c r="AU39" s="2238">
        <f t="shared" si="3"/>
        <v>0</v>
      </c>
      <c r="AV39" s="2238"/>
      <c r="AW39" s="2238"/>
      <c r="AX39" s="2238"/>
      <c r="AY39" s="2238"/>
      <c r="AZ39" s="2239"/>
      <c r="BA39" s="1207"/>
      <c r="BB39" s="1207"/>
      <c r="BC39" s="1207"/>
      <c r="BD39" s="1207"/>
      <c r="BE39" s="1213"/>
    </row>
    <row r="40" spans="1:58" ht="15.75" customHeight="1">
      <c r="A40" s="1207"/>
      <c r="B40" s="2233" t="s">
        <v>1878</v>
      </c>
      <c r="C40" s="2234"/>
      <c r="D40" s="2234"/>
      <c r="E40" s="2234"/>
      <c r="F40" s="2234"/>
      <c r="G40" s="2234"/>
      <c r="H40" s="2234"/>
      <c r="I40" s="2234"/>
      <c r="J40" s="2235"/>
      <c r="K40" s="2235"/>
      <c r="L40" s="2235"/>
      <c r="M40" s="2235"/>
      <c r="N40" s="2235"/>
      <c r="O40" s="2235"/>
      <c r="P40" s="2235"/>
      <c r="Q40" s="2235"/>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7">
        <f t="shared" si="2"/>
        <v>0</v>
      </c>
      <c r="AP40" s="2237"/>
      <c r="AQ40" s="2237"/>
      <c r="AR40" s="2237"/>
      <c r="AS40" s="2237"/>
      <c r="AT40" s="2237"/>
      <c r="AU40" s="2238">
        <f t="shared" si="3"/>
        <v>0</v>
      </c>
      <c r="AV40" s="2238"/>
      <c r="AW40" s="2238"/>
      <c r="AX40" s="2238"/>
      <c r="AY40" s="2238"/>
      <c r="AZ40" s="2239"/>
      <c r="BA40" s="1207"/>
      <c r="BB40" s="1207"/>
      <c r="BC40" s="1207"/>
      <c r="BD40" s="1207"/>
      <c r="BE40" s="1213"/>
    </row>
    <row r="41" spans="1:58" ht="15.75" customHeight="1">
      <c r="A41" s="1207"/>
      <c r="B41" s="2233" t="s">
        <v>1879</v>
      </c>
      <c r="C41" s="2234"/>
      <c r="D41" s="2234"/>
      <c r="E41" s="2234"/>
      <c r="F41" s="2234"/>
      <c r="G41" s="2234"/>
      <c r="H41" s="2234"/>
      <c r="I41" s="2234"/>
      <c r="J41" s="2235"/>
      <c r="K41" s="2235"/>
      <c r="L41" s="2235"/>
      <c r="M41" s="2235"/>
      <c r="N41" s="2235"/>
      <c r="O41" s="2235"/>
      <c r="P41" s="2235"/>
      <c r="Q41" s="2235"/>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7">
        <f t="shared" si="2"/>
        <v>0</v>
      </c>
      <c r="AP41" s="2237"/>
      <c r="AQ41" s="2237"/>
      <c r="AR41" s="2237"/>
      <c r="AS41" s="2237"/>
      <c r="AT41" s="2237"/>
      <c r="AU41" s="2238">
        <f t="shared" si="3"/>
        <v>0</v>
      </c>
      <c r="AV41" s="2238"/>
      <c r="AW41" s="2238"/>
      <c r="AX41" s="2238"/>
      <c r="AY41" s="2238"/>
      <c r="AZ41" s="2239"/>
      <c r="BA41" s="1207"/>
      <c r="BB41" s="1207"/>
      <c r="BC41" s="1207"/>
      <c r="BD41" s="1207"/>
      <c r="BE41" s="1213"/>
    </row>
    <row r="42" spans="1:58" ht="15.75" customHeight="1">
      <c r="A42" s="1207"/>
      <c r="B42" s="2233" t="s">
        <v>1879</v>
      </c>
      <c r="C42" s="2234"/>
      <c r="D42" s="2234"/>
      <c r="E42" s="2234"/>
      <c r="F42" s="2234"/>
      <c r="G42" s="2234"/>
      <c r="H42" s="2234"/>
      <c r="I42" s="2234"/>
      <c r="J42" s="2235"/>
      <c r="K42" s="2235"/>
      <c r="L42" s="2235"/>
      <c r="M42" s="2235"/>
      <c r="N42" s="2235"/>
      <c r="O42" s="2235"/>
      <c r="P42" s="2235"/>
      <c r="Q42" s="2235"/>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7">
        <f t="shared" si="2"/>
        <v>0</v>
      </c>
      <c r="AP42" s="2237"/>
      <c r="AQ42" s="2237"/>
      <c r="AR42" s="2237"/>
      <c r="AS42" s="2237"/>
      <c r="AT42" s="2237"/>
      <c r="AU42" s="2238">
        <f t="shared" si="3"/>
        <v>0</v>
      </c>
      <c r="AV42" s="2238"/>
      <c r="AW42" s="2238"/>
      <c r="AX42" s="2238"/>
      <c r="AY42" s="2238"/>
      <c r="AZ42" s="2239"/>
      <c r="BA42" s="1207"/>
      <c r="BB42" s="1207"/>
      <c r="BC42" s="1207"/>
      <c r="BD42" s="1207"/>
      <c r="BE42" s="1213"/>
    </row>
    <row r="43" spans="1:58" ht="15.75" customHeight="1">
      <c r="A43" s="1207"/>
      <c r="B43" s="2240" t="s">
        <v>1880</v>
      </c>
      <c r="C43" s="2241"/>
      <c r="D43" s="2241"/>
      <c r="E43" s="2241"/>
      <c r="F43" s="2241"/>
      <c r="G43" s="2241"/>
      <c r="H43" s="2241"/>
      <c r="I43" s="2241"/>
      <c r="J43" s="2235"/>
      <c r="K43" s="2235"/>
      <c r="L43" s="2235"/>
      <c r="M43" s="2235"/>
      <c r="N43" s="2235"/>
      <c r="O43" s="2235"/>
      <c r="P43" s="2235"/>
      <c r="Q43" s="2235"/>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7">
        <f t="shared" si="2"/>
        <v>0</v>
      </c>
      <c r="AP43" s="2237"/>
      <c r="AQ43" s="2237"/>
      <c r="AR43" s="2237"/>
      <c r="AS43" s="2237"/>
      <c r="AT43" s="2237"/>
      <c r="AU43" s="2238">
        <f t="shared" si="3"/>
        <v>0</v>
      </c>
      <c r="AV43" s="2238"/>
      <c r="AW43" s="2238"/>
      <c r="AX43" s="2238"/>
      <c r="AY43" s="2238"/>
      <c r="AZ43" s="2239"/>
      <c r="BA43" s="1207"/>
      <c r="BB43" s="1207"/>
      <c r="BC43" s="1207"/>
      <c r="BD43" s="1207"/>
      <c r="BE43" s="1213"/>
    </row>
    <row r="44" spans="1:58" ht="15.75" customHeight="1">
      <c r="A44" s="1207"/>
      <c r="B44" s="2240" t="s">
        <v>1881</v>
      </c>
      <c r="C44" s="2241"/>
      <c r="D44" s="2241"/>
      <c r="E44" s="2241"/>
      <c r="F44" s="2241"/>
      <c r="G44" s="2241"/>
      <c r="H44" s="2241"/>
      <c r="I44" s="2241"/>
      <c r="J44" s="2235"/>
      <c r="K44" s="2235"/>
      <c r="L44" s="2235"/>
      <c r="M44" s="2235"/>
      <c r="N44" s="2235"/>
      <c r="O44" s="2235"/>
      <c r="P44" s="2235"/>
      <c r="Q44" s="2235"/>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7">
        <f t="shared" si="2"/>
        <v>0</v>
      </c>
      <c r="AP44" s="2237"/>
      <c r="AQ44" s="2237"/>
      <c r="AR44" s="2237"/>
      <c r="AS44" s="2237"/>
      <c r="AT44" s="2237"/>
      <c r="AU44" s="2238">
        <f t="shared" si="3"/>
        <v>0</v>
      </c>
      <c r="AV44" s="2238"/>
      <c r="AW44" s="2238"/>
      <c r="AX44" s="2238"/>
      <c r="AY44" s="2238"/>
      <c r="AZ44" s="2239"/>
      <c r="BA44" s="1207"/>
      <c r="BB44" s="1207"/>
      <c r="BC44" s="1207"/>
      <c r="BD44" s="1207"/>
      <c r="BE44" s="1213"/>
    </row>
    <row r="45" spans="1:58" ht="15.75" customHeight="1">
      <c r="A45" s="1207"/>
      <c r="B45" s="2240" t="s">
        <v>1882</v>
      </c>
      <c r="C45" s="2241"/>
      <c r="D45" s="2241"/>
      <c r="E45" s="2241"/>
      <c r="F45" s="2241"/>
      <c r="G45" s="2241"/>
      <c r="H45" s="2241"/>
      <c r="I45" s="2241"/>
      <c r="J45" s="2235"/>
      <c r="K45" s="2235"/>
      <c r="L45" s="2235"/>
      <c r="M45" s="2235"/>
      <c r="N45" s="2235"/>
      <c r="O45" s="2235"/>
      <c r="P45" s="2235"/>
      <c r="Q45" s="2235"/>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7">
        <f t="shared" si="2"/>
        <v>0</v>
      </c>
      <c r="AP45" s="2237"/>
      <c r="AQ45" s="2237"/>
      <c r="AR45" s="2237"/>
      <c r="AS45" s="2237"/>
      <c r="AT45" s="2237"/>
      <c r="AU45" s="2238">
        <f t="shared" si="3"/>
        <v>0</v>
      </c>
      <c r="AV45" s="2238"/>
      <c r="AW45" s="2238"/>
      <c r="AX45" s="2238"/>
      <c r="AY45" s="2238"/>
      <c r="AZ45" s="2239"/>
      <c r="BA45" s="1207"/>
      <c r="BB45" s="1207"/>
      <c r="BC45" s="1207"/>
      <c r="BD45" s="1207"/>
      <c r="BE45" s="1213"/>
    </row>
    <row r="46" spans="1:58" ht="15.75" customHeight="1">
      <c r="A46" s="1207"/>
      <c r="B46" s="2240" t="s">
        <v>1883</v>
      </c>
      <c r="C46" s="2241"/>
      <c r="D46" s="2241"/>
      <c r="E46" s="2241"/>
      <c r="F46" s="2241"/>
      <c r="G46" s="2241"/>
      <c r="H46" s="2241"/>
      <c r="I46" s="2241"/>
      <c r="J46" s="2235"/>
      <c r="K46" s="2235"/>
      <c r="L46" s="2235"/>
      <c r="M46" s="2235"/>
      <c r="N46" s="2235">
        <v>99</v>
      </c>
      <c r="O46" s="2235"/>
      <c r="P46" s="2235"/>
      <c r="Q46" s="2235"/>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7">
        <f t="shared" si="2"/>
        <v>0</v>
      </c>
      <c r="AP46" s="2237"/>
      <c r="AQ46" s="2237"/>
      <c r="AR46" s="2237"/>
      <c r="AS46" s="2237"/>
      <c r="AT46" s="2237"/>
      <c r="AU46" s="2238">
        <f t="shared" si="3"/>
        <v>0</v>
      </c>
      <c r="AV46" s="2238"/>
      <c r="AW46" s="2238"/>
      <c r="AX46" s="2238"/>
      <c r="AY46" s="2238"/>
      <c r="AZ46" s="2239"/>
      <c r="BA46" s="1207"/>
      <c r="BB46" s="1207"/>
      <c r="BC46" s="1207"/>
      <c r="BD46" s="1207"/>
      <c r="BE46" s="1213"/>
    </row>
    <row r="47" spans="1:58" ht="15.75" customHeight="1" thickBot="1">
      <c r="A47" s="1207"/>
      <c r="B47" s="2244" t="s">
        <v>302</v>
      </c>
      <c r="C47" s="2245"/>
      <c r="D47" s="2245"/>
      <c r="E47" s="2245"/>
      <c r="F47" s="2245"/>
      <c r="G47" s="2245"/>
      <c r="H47" s="2245"/>
      <c r="I47" s="2245"/>
      <c r="J47" s="2246"/>
      <c r="K47" s="2246"/>
      <c r="L47" s="2246"/>
      <c r="M47" s="2246"/>
      <c r="N47" s="2246"/>
      <c r="O47" s="2246"/>
      <c r="P47" s="2246"/>
      <c r="Q47" s="2246"/>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51">
        <f t="shared" si="2"/>
        <v>0</v>
      </c>
      <c r="AP47" s="2251"/>
      <c r="AQ47" s="2251"/>
      <c r="AR47" s="2251"/>
      <c r="AS47" s="2251"/>
      <c r="AT47" s="2251"/>
      <c r="AU47" s="2242">
        <f t="shared" si="3"/>
        <v>0</v>
      </c>
      <c r="AV47" s="2242"/>
      <c r="AW47" s="2242"/>
      <c r="AX47" s="2242"/>
      <c r="AY47" s="2242"/>
      <c r="AZ47" s="2243"/>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0" t="s">
        <v>1884</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8" t="s">
        <v>1885</v>
      </c>
      <c r="C51" s="2249"/>
      <c r="D51" s="2249"/>
      <c r="E51" s="2249"/>
      <c r="F51" s="2249"/>
      <c r="G51" s="2249"/>
      <c r="H51" s="2249"/>
      <c r="I51" s="2249"/>
      <c r="J51" s="2249" t="s">
        <v>2586</v>
      </c>
      <c r="K51" s="2249"/>
      <c r="L51" s="2249"/>
      <c r="M51" s="2249"/>
      <c r="N51" s="2249"/>
      <c r="O51" s="2249"/>
      <c r="P51" s="2249"/>
      <c r="Q51" s="2249"/>
      <c r="R51" s="2230" t="s">
        <v>2587</v>
      </c>
      <c r="S51" s="2230"/>
      <c r="T51" s="2230"/>
      <c r="U51" s="2230"/>
      <c r="V51" s="2230"/>
      <c r="W51" s="2230"/>
      <c r="X51" s="2230"/>
      <c r="Y51" s="2230"/>
      <c r="Z51" s="2230" t="s">
        <v>1886</v>
      </c>
      <c r="AA51" s="2230"/>
      <c r="AB51" s="2230"/>
      <c r="AC51" s="2230"/>
      <c r="AD51" s="2230"/>
      <c r="AE51" s="2230"/>
      <c r="AF51" s="2230"/>
      <c r="AG51" s="2230"/>
      <c r="AH51" s="2230" t="s">
        <v>1887</v>
      </c>
      <c r="AI51" s="2230"/>
      <c r="AJ51" s="2230"/>
      <c r="AK51" s="2230"/>
      <c r="AL51" s="2230"/>
      <c r="AM51" s="2230"/>
      <c r="AN51" s="2230"/>
      <c r="AO51" s="225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0" t="s">
        <v>2260</v>
      </c>
      <c r="C52" s="2241"/>
      <c r="D52" s="2241"/>
      <c r="E52" s="2241"/>
      <c r="F52" s="2241"/>
      <c r="G52" s="2241"/>
      <c r="H52" s="2241"/>
      <c r="I52" s="2241"/>
      <c r="J52" s="2252">
        <v>0</v>
      </c>
      <c r="K52" s="2252"/>
      <c r="L52" s="2252"/>
      <c r="M52" s="2252"/>
      <c r="N52" s="2252"/>
      <c r="O52" s="2252"/>
      <c r="P52" s="2252"/>
      <c r="Q52" s="2252"/>
      <c r="R52" s="2253">
        <v>0</v>
      </c>
      <c r="S52" s="2253"/>
      <c r="T52" s="2253"/>
      <c r="U52" s="2253"/>
      <c r="V52" s="2253"/>
      <c r="W52" s="2253"/>
      <c r="X52" s="2253"/>
      <c r="Y52" s="2253"/>
      <c r="Z52" s="2254">
        <v>0</v>
      </c>
      <c r="AA52" s="2254"/>
      <c r="AB52" s="2254"/>
      <c r="AC52" s="2254"/>
      <c r="AD52" s="2254"/>
      <c r="AE52" s="2254"/>
      <c r="AF52" s="2254"/>
      <c r="AG52" s="2254"/>
      <c r="AH52" s="2255"/>
      <c r="AI52" s="2255"/>
      <c r="AJ52" s="2255"/>
      <c r="AK52" s="2255"/>
      <c r="AL52" s="2255"/>
      <c r="AM52" s="2255"/>
      <c r="AN52" s="2255"/>
      <c r="AO52" s="225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0" t="s">
        <v>2261</v>
      </c>
      <c r="C53" s="2241"/>
      <c r="D53" s="2241"/>
      <c r="E53" s="2241"/>
      <c r="F53" s="2241"/>
      <c r="G53" s="2241"/>
      <c r="H53" s="2241"/>
      <c r="I53" s="2241"/>
      <c r="J53" s="2252">
        <v>0</v>
      </c>
      <c r="K53" s="2252"/>
      <c r="L53" s="2252"/>
      <c r="M53" s="2252"/>
      <c r="N53" s="2252"/>
      <c r="O53" s="2252"/>
      <c r="P53" s="2252"/>
      <c r="Q53" s="2252"/>
      <c r="R53" s="2253">
        <v>0</v>
      </c>
      <c r="S53" s="2253"/>
      <c r="T53" s="2253"/>
      <c r="U53" s="2253"/>
      <c r="V53" s="2253"/>
      <c r="W53" s="2253"/>
      <c r="X53" s="2253"/>
      <c r="Y53" s="2253"/>
      <c r="Z53" s="2254">
        <v>0</v>
      </c>
      <c r="AA53" s="2254"/>
      <c r="AB53" s="2254"/>
      <c r="AC53" s="2254"/>
      <c r="AD53" s="2254"/>
      <c r="AE53" s="2254"/>
      <c r="AF53" s="2254"/>
      <c r="AG53" s="2254"/>
      <c r="AH53" s="2255"/>
      <c r="AI53" s="2255"/>
      <c r="AJ53" s="2255"/>
      <c r="AK53" s="2255"/>
      <c r="AL53" s="2255"/>
      <c r="AM53" s="2255"/>
      <c r="AN53" s="2255"/>
      <c r="AO53" s="225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0"/>
      <c r="C54" s="2241"/>
      <c r="D54" s="2241"/>
      <c r="E54" s="2241"/>
      <c r="F54" s="2241"/>
      <c r="G54" s="2241"/>
      <c r="H54" s="2241"/>
      <c r="I54" s="2241"/>
      <c r="J54" s="2252"/>
      <c r="K54" s="2252"/>
      <c r="L54" s="2252"/>
      <c r="M54" s="2252"/>
      <c r="N54" s="2252"/>
      <c r="O54" s="2252"/>
      <c r="P54" s="2252"/>
      <c r="Q54" s="2252"/>
      <c r="R54" s="2253"/>
      <c r="S54" s="2253"/>
      <c r="T54" s="2253"/>
      <c r="U54" s="2253"/>
      <c r="V54" s="2253"/>
      <c r="W54" s="2253"/>
      <c r="X54" s="2253"/>
      <c r="Y54" s="2253"/>
      <c r="Z54" s="2254"/>
      <c r="AA54" s="2254"/>
      <c r="AB54" s="2254"/>
      <c r="AC54" s="2254"/>
      <c r="AD54" s="2254"/>
      <c r="AE54" s="2254"/>
      <c r="AF54" s="2254"/>
      <c r="AG54" s="2254"/>
      <c r="AH54" s="2255"/>
      <c r="AI54" s="2255"/>
      <c r="AJ54" s="2255"/>
      <c r="AK54" s="2255"/>
      <c r="AL54" s="2255"/>
      <c r="AM54" s="2255"/>
      <c r="AN54" s="2255"/>
      <c r="AO54" s="225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0"/>
      <c r="C55" s="2241"/>
      <c r="D55" s="2241"/>
      <c r="E55" s="2241"/>
      <c r="F55" s="2241"/>
      <c r="G55" s="2241"/>
      <c r="H55" s="2241"/>
      <c r="I55" s="2241"/>
      <c r="J55" s="2252"/>
      <c r="K55" s="2252"/>
      <c r="L55" s="2252"/>
      <c r="M55" s="2252"/>
      <c r="N55" s="2252"/>
      <c r="O55" s="2252"/>
      <c r="P55" s="2252"/>
      <c r="Q55" s="2252"/>
      <c r="R55" s="2253"/>
      <c r="S55" s="2253"/>
      <c r="T55" s="2253"/>
      <c r="U55" s="2253"/>
      <c r="V55" s="2253"/>
      <c r="W55" s="2253"/>
      <c r="X55" s="2253"/>
      <c r="Y55" s="2253"/>
      <c r="Z55" s="2254"/>
      <c r="AA55" s="2254"/>
      <c r="AB55" s="2254"/>
      <c r="AC55" s="2254"/>
      <c r="AD55" s="2254"/>
      <c r="AE55" s="2254"/>
      <c r="AF55" s="2254"/>
      <c r="AG55" s="2254"/>
      <c r="AH55" s="2255"/>
      <c r="AI55" s="2255"/>
      <c r="AJ55" s="2255"/>
      <c r="AK55" s="2255"/>
      <c r="AL55" s="2255"/>
      <c r="AM55" s="2255"/>
      <c r="AN55" s="2255"/>
      <c r="AO55" s="2256"/>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0"/>
      <c r="C56" s="2241"/>
      <c r="D56" s="2241"/>
      <c r="E56" s="2241"/>
      <c r="F56" s="2241"/>
      <c r="G56" s="2241"/>
      <c r="H56" s="2241"/>
      <c r="I56" s="2241"/>
      <c r="J56" s="2252"/>
      <c r="K56" s="2252"/>
      <c r="L56" s="2252"/>
      <c r="M56" s="2252"/>
      <c r="N56" s="2252"/>
      <c r="O56" s="2252"/>
      <c r="P56" s="2252"/>
      <c r="Q56" s="2252"/>
      <c r="R56" s="2253"/>
      <c r="S56" s="2253"/>
      <c r="T56" s="2253"/>
      <c r="U56" s="2253"/>
      <c r="V56" s="2253"/>
      <c r="W56" s="2253"/>
      <c r="X56" s="2253"/>
      <c r="Y56" s="2253"/>
      <c r="Z56" s="2254"/>
      <c r="AA56" s="2254"/>
      <c r="AB56" s="2254"/>
      <c r="AC56" s="2254"/>
      <c r="AD56" s="2254"/>
      <c r="AE56" s="2254"/>
      <c r="AF56" s="2254"/>
      <c r="AG56" s="2254"/>
      <c r="AH56" s="2255"/>
      <c r="AI56" s="2255"/>
      <c r="AJ56" s="2255"/>
      <c r="AK56" s="2255"/>
      <c r="AL56" s="2255"/>
      <c r="AM56" s="2255"/>
      <c r="AN56" s="2255"/>
      <c r="AO56" s="225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6" t="s">
        <v>1764</v>
      </c>
      <c r="C57" s="2267"/>
      <c r="D57" s="2267"/>
      <c r="E57" s="2267"/>
      <c r="F57" s="2267"/>
      <c r="G57" s="2267"/>
      <c r="H57" s="2267"/>
      <c r="I57" s="2267"/>
      <c r="J57" s="2267"/>
      <c r="K57" s="2267"/>
      <c r="L57" s="2267"/>
      <c r="M57" s="2267"/>
      <c r="N57" s="2267"/>
      <c r="O57" s="2267"/>
      <c r="P57" s="2267"/>
      <c r="Q57" s="2267"/>
      <c r="R57" s="2268">
        <f>SUM(R52:Y56)</f>
        <v>0</v>
      </c>
      <c r="S57" s="2268"/>
      <c r="T57" s="2268"/>
      <c r="U57" s="2268"/>
      <c r="V57" s="2268"/>
      <c r="W57" s="2268"/>
      <c r="X57" s="2268"/>
      <c r="Y57" s="2268"/>
      <c r="Z57" s="2269">
        <f>SUM(Z52:AG56)</f>
        <v>0</v>
      </c>
      <c r="AA57" s="2269"/>
      <c r="AB57" s="2269"/>
      <c r="AC57" s="2269"/>
      <c r="AD57" s="2269"/>
      <c r="AE57" s="2269"/>
      <c r="AF57" s="2269"/>
      <c r="AG57" s="2269"/>
      <c r="AH57" s="2270"/>
      <c r="AI57" s="2270"/>
      <c r="AJ57" s="2270"/>
      <c r="AK57" s="2270"/>
      <c r="AL57" s="2270"/>
      <c r="AM57" s="2270"/>
      <c r="AN57" s="2270"/>
      <c r="AO57" s="227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7" t="s">
        <v>1885</v>
      </c>
      <c r="C59" s="2258"/>
      <c r="D59" s="2258"/>
      <c r="E59" s="2258"/>
      <c r="F59" s="2258"/>
      <c r="G59" s="2258"/>
      <c r="H59" s="2258"/>
      <c r="I59" s="2259"/>
      <c r="J59" s="2183" t="s">
        <v>2588</v>
      </c>
      <c r="K59" s="2183"/>
      <c r="L59" s="2183"/>
      <c r="M59" s="2183"/>
      <c r="N59" s="2183"/>
      <c r="O59" s="2183"/>
      <c r="P59" s="2183"/>
      <c r="Q59" s="2183"/>
      <c r="R59" s="2183"/>
      <c r="S59" s="2183"/>
      <c r="T59" s="2183"/>
      <c r="U59" s="2183"/>
      <c r="V59" s="2183"/>
      <c r="W59" s="2183"/>
      <c r="X59" s="2183"/>
      <c r="Y59" s="2183"/>
      <c r="Z59" s="2183"/>
      <c r="AA59" s="2183"/>
      <c r="AB59" s="2183"/>
      <c r="AC59" s="2183"/>
      <c r="AD59" s="2183"/>
      <c r="AE59" s="2183"/>
      <c r="AF59" s="2183"/>
      <c r="AG59" s="2183"/>
      <c r="AH59" s="2183"/>
      <c r="AI59" s="2183"/>
      <c r="AJ59" s="2183"/>
      <c r="AK59" s="2183"/>
      <c r="AL59" s="2183"/>
      <c r="AM59" s="2183"/>
      <c r="AN59" s="2183"/>
      <c r="AO59" s="2183"/>
      <c r="AP59" s="2183"/>
      <c r="AQ59" s="2183"/>
      <c r="AR59" s="2183"/>
      <c r="AS59" s="2183"/>
      <c r="AT59" s="2183"/>
      <c r="AU59" s="2183"/>
      <c r="AV59" s="2183"/>
      <c r="AW59" s="2184"/>
      <c r="AX59" s="1207"/>
      <c r="AY59" s="1207"/>
      <c r="AZ59" s="1207"/>
      <c r="BA59" s="1207"/>
      <c r="BB59" s="1207"/>
      <c r="BC59" s="1207"/>
      <c r="BD59" s="1207"/>
      <c r="BE59" s="1213"/>
    </row>
    <row r="60" spans="1:58" ht="15.75" customHeight="1">
      <c r="A60" s="1207"/>
      <c r="B60" s="2260" t="str">
        <f>IF(B52="", "", B52)</f>
        <v>Services Company 1</v>
      </c>
      <c r="C60" s="2261"/>
      <c r="D60" s="2261"/>
      <c r="E60" s="2261"/>
      <c r="F60" s="2261"/>
      <c r="G60" s="2261"/>
      <c r="H60" s="2261"/>
      <c r="I60" s="2262"/>
      <c r="J60" s="2263"/>
      <c r="K60" s="2264"/>
      <c r="L60" s="2264"/>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c r="AS60" s="2264"/>
      <c r="AT60" s="2264"/>
      <c r="AU60" s="2264"/>
      <c r="AV60" s="2264"/>
      <c r="AW60" s="2265"/>
      <c r="AX60" s="1207"/>
      <c r="AY60" s="1207"/>
      <c r="AZ60" s="1207"/>
      <c r="BA60" s="1207"/>
      <c r="BB60" s="1207"/>
      <c r="BC60" s="1207"/>
      <c r="BD60" s="1207"/>
      <c r="BE60" s="1213"/>
    </row>
    <row r="61" spans="1:58" ht="15.75" customHeight="1">
      <c r="A61" s="1207"/>
      <c r="B61" s="2260" t="str">
        <f>IF(B53="", "", B53)</f>
        <v>Services Company 2</v>
      </c>
      <c r="C61" s="2261"/>
      <c r="D61" s="2261"/>
      <c r="E61" s="2261"/>
      <c r="F61" s="2261"/>
      <c r="G61" s="2261"/>
      <c r="H61" s="2261"/>
      <c r="I61" s="2262"/>
      <c r="J61" s="2263"/>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5"/>
      <c r="AX61" s="1207"/>
      <c r="AY61" s="1207"/>
      <c r="AZ61" s="1207"/>
      <c r="BA61" s="1207"/>
      <c r="BB61" s="1207"/>
      <c r="BC61" s="1207"/>
      <c r="BD61" s="1207"/>
      <c r="BE61" s="1213"/>
    </row>
    <row r="62" spans="1:58" ht="15.75" customHeight="1">
      <c r="A62" s="1207"/>
      <c r="B62" s="2260" t="str">
        <f>IF(B54="", "", B54)</f>
        <v/>
      </c>
      <c r="C62" s="2261"/>
      <c r="D62" s="2261"/>
      <c r="E62" s="2261"/>
      <c r="F62" s="2261"/>
      <c r="G62" s="2261"/>
      <c r="H62" s="2261"/>
      <c r="I62" s="2262"/>
      <c r="J62" s="2263"/>
      <c r="K62" s="2264"/>
      <c r="L62" s="2264"/>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c r="AS62" s="2264"/>
      <c r="AT62" s="2264"/>
      <c r="AU62" s="2264"/>
      <c r="AV62" s="2264"/>
      <c r="AW62" s="2265"/>
      <c r="AX62" s="1207"/>
      <c r="AY62" s="1207"/>
      <c r="AZ62" s="1207"/>
      <c r="BA62" s="1207"/>
      <c r="BB62" s="1207"/>
      <c r="BC62" s="1207"/>
      <c r="BD62" s="1207"/>
      <c r="BE62" s="1213"/>
    </row>
    <row r="63" spans="1:58" ht="15.75" customHeight="1">
      <c r="A63" s="1207"/>
      <c r="B63" s="2260" t="str">
        <f>IF(B55="", "", B55)</f>
        <v/>
      </c>
      <c r="C63" s="2261"/>
      <c r="D63" s="2261"/>
      <c r="E63" s="2261"/>
      <c r="F63" s="2261"/>
      <c r="G63" s="2261"/>
      <c r="H63" s="2261"/>
      <c r="I63" s="2262"/>
      <c r="J63" s="2263"/>
      <c r="K63" s="2264"/>
      <c r="L63" s="2264"/>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c r="AS63" s="2264"/>
      <c r="AT63" s="2264"/>
      <c r="AU63" s="2264"/>
      <c r="AV63" s="2264"/>
      <c r="AW63" s="2265"/>
      <c r="AX63" s="1207"/>
      <c r="AY63" s="1207"/>
      <c r="AZ63" s="1207"/>
      <c r="BA63" s="1207"/>
      <c r="BB63" s="1207"/>
      <c r="BC63" s="1207"/>
      <c r="BD63" s="1207"/>
      <c r="BE63" s="1213"/>
    </row>
    <row r="64" spans="1:58" ht="15.75" customHeight="1" thickBot="1">
      <c r="A64" s="1207"/>
      <c r="B64" s="2285" t="str">
        <f>IF(B56="", "", B56)</f>
        <v/>
      </c>
      <c r="C64" s="2286"/>
      <c r="D64" s="2286"/>
      <c r="E64" s="2286"/>
      <c r="F64" s="2286"/>
      <c r="G64" s="2286"/>
      <c r="H64" s="2286"/>
      <c r="I64" s="2287"/>
      <c r="J64" s="2288"/>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AV64" s="2289"/>
      <c r="AW64" s="229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2" t="s">
        <v>1889</v>
      </c>
      <c r="C68" s="2183"/>
      <c r="D68" s="2183"/>
      <c r="E68" s="2183"/>
      <c r="F68" s="2183"/>
      <c r="G68" s="2183"/>
      <c r="H68" s="2183"/>
      <c r="I68" s="2183"/>
      <c r="J68" s="2183"/>
      <c r="K68" s="2183"/>
      <c r="L68" s="2183"/>
      <c r="M68" s="2183"/>
      <c r="N68" s="2183"/>
      <c r="O68" s="2183"/>
      <c r="P68" s="2183"/>
      <c r="Q68" s="2183"/>
      <c r="R68" s="2183"/>
      <c r="S68" s="2183"/>
      <c r="T68" s="2183"/>
      <c r="U68" s="2183"/>
      <c r="V68" s="2183"/>
      <c r="W68" s="2183"/>
      <c r="X68" s="2183"/>
      <c r="Y68" s="2183"/>
      <c r="Z68" s="2183"/>
      <c r="AA68" s="2184"/>
      <c r="AB68" s="1207"/>
      <c r="AC68" s="2297" t="s">
        <v>1890</v>
      </c>
      <c r="AD68" s="2298"/>
      <c r="AE68" s="2298"/>
      <c r="AF68" s="2298"/>
      <c r="AG68" s="2298"/>
      <c r="AH68" s="2298"/>
      <c r="AI68" s="2298"/>
      <c r="AJ68" s="2298"/>
      <c r="AK68" s="2298"/>
      <c r="AL68" s="2298"/>
      <c r="AM68" s="2298"/>
      <c r="AN68" s="2298"/>
      <c r="AO68" s="2298"/>
      <c r="AP68" s="2298"/>
      <c r="AQ68" s="2298"/>
      <c r="AR68" s="2298"/>
      <c r="AS68" s="2298"/>
      <c r="AT68" s="2298"/>
      <c r="AU68" s="2298"/>
      <c r="AV68" s="2272" t="s">
        <v>679</v>
      </c>
      <c r="AW68" s="2273"/>
      <c r="AX68" s="2273"/>
      <c r="AY68" s="2273"/>
      <c r="AZ68" s="2273"/>
      <c r="BA68" s="2273"/>
      <c r="BB68" s="2273"/>
      <c r="BC68" s="2274"/>
      <c r="BD68" s="1207"/>
      <c r="BE68" s="1213"/>
      <c r="BM68" s="1218" t="s">
        <v>2589</v>
      </c>
    </row>
    <row r="69" spans="1:65" ht="15.75" customHeight="1" thickTop="1" thickBot="1">
      <c r="A69" s="1207"/>
      <c r="B69" s="2275" t="s">
        <v>1891</v>
      </c>
      <c r="C69" s="2276"/>
      <c r="D69" s="2276"/>
      <c r="E69" s="2276"/>
      <c r="F69" s="2276"/>
      <c r="G69" s="2276"/>
      <c r="H69" s="2276"/>
      <c r="I69" s="2276"/>
      <c r="J69" s="2276"/>
      <c r="K69" s="2276"/>
      <c r="L69" s="2276"/>
      <c r="M69" s="2276"/>
      <c r="N69" s="2276"/>
      <c r="O69" s="2277" t="s">
        <v>1892</v>
      </c>
      <c r="P69" s="2278"/>
      <c r="Q69" s="2278"/>
      <c r="R69" s="2278"/>
      <c r="S69" s="2278"/>
      <c r="T69" s="2278"/>
      <c r="U69" s="2278"/>
      <c r="V69" s="2278"/>
      <c r="W69" s="2278"/>
      <c r="X69" s="2278"/>
      <c r="Y69" s="2278"/>
      <c r="Z69" s="2278"/>
      <c r="AA69" s="2279"/>
      <c r="AB69" s="1207"/>
      <c r="AC69" s="2280" t="s">
        <v>1893</v>
      </c>
      <c r="AD69" s="2281"/>
      <c r="AE69" s="2281"/>
      <c r="AF69" s="2281"/>
      <c r="AG69" s="2281"/>
      <c r="AH69" s="2281"/>
      <c r="AI69" s="2281"/>
      <c r="AJ69" s="2281"/>
      <c r="AK69" s="2281"/>
      <c r="AL69" s="2281"/>
      <c r="AM69" s="2281"/>
      <c r="AN69" s="2281"/>
      <c r="AO69" s="2281"/>
      <c r="AP69" s="2281"/>
      <c r="AQ69" s="2281"/>
      <c r="AR69" s="2281"/>
      <c r="AS69" s="2281"/>
      <c r="AT69" s="2281"/>
      <c r="AU69" s="2281"/>
      <c r="AV69" s="2282"/>
      <c r="AW69" s="2283"/>
      <c r="AX69" s="2283"/>
      <c r="AY69" s="2283"/>
      <c r="AZ69" s="2283"/>
      <c r="BA69" s="2283"/>
      <c r="BB69" s="2283"/>
      <c r="BC69" s="2284"/>
      <c r="BD69" s="1207"/>
      <c r="BE69" s="1213"/>
      <c r="BM69" s="1219" t="s">
        <v>555</v>
      </c>
    </row>
    <row r="70" spans="1:65" ht="15.75" customHeight="1">
      <c r="A70" s="1207"/>
      <c r="B70" s="2233" t="s">
        <v>2590</v>
      </c>
      <c r="C70" s="2234"/>
      <c r="D70" s="2234"/>
      <c r="E70" s="2234"/>
      <c r="F70" s="2234"/>
      <c r="G70" s="2234"/>
      <c r="H70" s="2234"/>
      <c r="I70" s="2234"/>
      <c r="J70" s="2234"/>
      <c r="K70" s="2234"/>
      <c r="L70" s="2234"/>
      <c r="M70" s="2234"/>
      <c r="N70" s="2234"/>
      <c r="O70" s="2291">
        <v>0</v>
      </c>
      <c r="P70" s="2291"/>
      <c r="Q70" s="2291"/>
      <c r="R70" s="2291"/>
      <c r="S70" s="2291"/>
      <c r="T70" s="2291"/>
      <c r="U70" s="2291"/>
      <c r="V70" s="2291"/>
      <c r="W70" s="2291"/>
      <c r="X70" s="2291"/>
      <c r="Y70" s="2291"/>
      <c r="Z70" s="2291"/>
      <c r="AA70" s="2292"/>
      <c r="AB70" s="1207"/>
      <c r="AC70" s="2220" t="s">
        <v>1894</v>
      </c>
      <c r="AD70" s="2221"/>
      <c r="AE70" s="2221"/>
      <c r="AF70" s="2293"/>
      <c r="AG70" s="2293"/>
      <c r="AH70" s="2293"/>
      <c r="AI70" s="2293"/>
      <c r="AJ70" s="2293"/>
      <c r="AK70" s="2293"/>
      <c r="AL70" s="2293"/>
      <c r="AM70" s="2293"/>
      <c r="AN70" s="2293"/>
      <c r="AO70" s="2293"/>
      <c r="AP70" s="2293"/>
      <c r="AQ70" s="2293"/>
      <c r="AR70" s="2293"/>
      <c r="AS70" s="2293"/>
      <c r="AT70" s="2293"/>
      <c r="AU70" s="2294"/>
      <c r="AV70" s="1207"/>
      <c r="AW70" s="1207"/>
      <c r="AX70" s="1207"/>
      <c r="AY70" s="1207"/>
      <c r="AZ70" s="1207"/>
      <c r="BA70" s="1207"/>
      <c r="BB70" s="1207"/>
      <c r="BC70" s="1207"/>
      <c r="BD70" s="1207"/>
      <c r="BE70" s="1213"/>
      <c r="BM70" s="1220" t="s">
        <v>679</v>
      </c>
    </row>
    <row r="71" spans="1:65" ht="15.75" customHeight="1" thickBot="1">
      <c r="A71" s="1207"/>
      <c r="B71" s="2233" t="s">
        <v>2591</v>
      </c>
      <c r="C71" s="2234"/>
      <c r="D71" s="2234"/>
      <c r="E71" s="2234"/>
      <c r="F71" s="2234"/>
      <c r="G71" s="2234"/>
      <c r="H71" s="2234"/>
      <c r="I71" s="2234"/>
      <c r="J71" s="2234"/>
      <c r="K71" s="2234"/>
      <c r="L71" s="2234"/>
      <c r="M71" s="2234"/>
      <c r="N71" s="2234"/>
      <c r="O71" s="2291">
        <v>0</v>
      </c>
      <c r="P71" s="2291"/>
      <c r="Q71" s="2291"/>
      <c r="R71" s="2291"/>
      <c r="S71" s="2291"/>
      <c r="T71" s="2291"/>
      <c r="U71" s="2291"/>
      <c r="V71" s="2291"/>
      <c r="W71" s="2291"/>
      <c r="X71" s="2291"/>
      <c r="Y71" s="2291"/>
      <c r="Z71" s="2291"/>
      <c r="AA71" s="2292"/>
      <c r="AB71" s="1207"/>
      <c r="AC71" s="2295" t="s">
        <v>1895</v>
      </c>
      <c r="AD71" s="2296"/>
      <c r="AE71" s="2296"/>
      <c r="AF71" s="2289"/>
      <c r="AG71" s="2289"/>
      <c r="AH71" s="2289"/>
      <c r="AI71" s="2289"/>
      <c r="AJ71" s="2289"/>
      <c r="AK71" s="2289"/>
      <c r="AL71" s="2289"/>
      <c r="AM71" s="2289"/>
      <c r="AN71" s="2289"/>
      <c r="AO71" s="2289"/>
      <c r="AP71" s="2289"/>
      <c r="AQ71" s="2289"/>
      <c r="AR71" s="2289"/>
      <c r="AS71" s="2289"/>
      <c r="AT71" s="2289"/>
      <c r="AU71" s="2290"/>
      <c r="AV71" s="1207"/>
      <c r="AW71" s="1207"/>
      <c r="AX71" s="1207"/>
      <c r="AY71" s="1207"/>
      <c r="AZ71" s="1207"/>
      <c r="BA71" s="1207"/>
      <c r="BB71" s="1207"/>
      <c r="BC71" s="1207"/>
      <c r="BD71" s="1207"/>
      <c r="BE71" s="1213"/>
      <c r="BM71" s="1204" t="s">
        <v>2592</v>
      </c>
    </row>
    <row r="72" spans="1:65" ht="15.75" customHeight="1">
      <c r="A72" s="1207"/>
      <c r="B72" s="2233" t="s">
        <v>2593</v>
      </c>
      <c r="C72" s="2234"/>
      <c r="D72" s="2234"/>
      <c r="E72" s="2234"/>
      <c r="F72" s="2234"/>
      <c r="G72" s="2234"/>
      <c r="H72" s="2234"/>
      <c r="I72" s="2234"/>
      <c r="J72" s="2234"/>
      <c r="K72" s="2234"/>
      <c r="L72" s="2234"/>
      <c r="M72" s="2234"/>
      <c r="N72" s="2234"/>
      <c r="O72" s="2291">
        <v>0</v>
      </c>
      <c r="P72" s="2291"/>
      <c r="Q72" s="2291"/>
      <c r="R72" s="2291"/>
      <c r="S72" s="2291"/>
      <c r="T72" s="2291"/>
      <c r="U72" s="2291"/>
      <c r="V72" s="2291"/>
      <c r="W72" s="2291"/>
      <c r="X72" s="2291"/>
      <c r="Y72" s="2291"/>
      <c r="Z72" s="2291"/>
      <c r="AA72" s="2292"/>
      <c r="AB72" s="1207"/>
      <c r="AC72" s="2299" t="s">
        <v>2594</v>
      </c>
      <c r="AD72" s="2300"/>
      <c r="AE72" s="2300"/>
      <c r="AF72" s="2300"/>
      <c r="AG72" s="2300"/>
      <c r="AH72" s="2300"/>
      <c r="AI72" s="2300"/>
      <c r="AJ72" s="2300"/>
      <c r="AK72" s="2300"/>
      <c r="AL72" s="2300"/>
      <c r="AM72" s="2300"/>
      <c r="AN72" s="2300"/>
      <c r="AO72" s="2300"/>
      <c r="AP72" s="2300"/>
      <c r="AQ72" s="2300"/>
      <c r="AR72" s="2300"/>
      <c r="AS72" s="2300"/>
      <c r="AT72" s="2300"/>
      <c r="AU72" s="2300"/>
      <c r="AV72" s="2221"/>
      <c r="AW72" s="2221"/>
      <c r="AX72" s="2221"/>
      <c r="AY72" s="2221"/>
      <c r="AZ72" s="2221"/>
      <c r="BA72" s="2221"/>
      <c r="BB72" s="2221"/>
      <c r="BC72" s="2222"/>
      <c r="BD72" s="1207"/>
      <c r="BE72" s="1213"/>
    </row>
    <row r="73" spans="1:65" ht="15.75" customHeight="1">
      <c r="A73" s="1207"/>
      <c r="B73" s="2240" t="s">
        <v>2595</v>
      </c>
      <c r="C73" s="2241"/>
      <c r="D73" s="2241"/>
      <c r="E73" s="2241"/>
      <c r="F73" s="2241"/>
      <c r="G73" s="2241"/>
      <c r="H73" s="2241"/>
      <c r="I73" s="2241"/>
      <c r="J73" s="2241"/>
      <c r="K73" s="2241"/>
      <c r="L73" s="2241"/>
      <c r="M73" s="2241"/>
      <c r="N73" s="2241"/>
      <c r="O73" s="2291">
        <v>0</v>
      </c>
      <c r="P73" s="2291"/>
      <c r="Q73" s="2291"/>
      <c r="R73" s="2291"/>
      <c r="S73" s="2291"/>
      <c r="T73" s="2291"/>
      <c r="U73" s="2291"/>
      <c r="V73" s="2291"/>
      <c r="W73" s="2291"/>
      <c r="X73" s="2291"/>
      <c r="Y73" s="2291"/>
      <c r="Z73" s="2291"/>
      <c r="AA73" s="2292"/>
      <c r="AB73" s="1207"/>
      <c r="AC73" s="2301" t="s">
        <v>2262</v>
      </c>
      <c r="AD73" s="2302"/>
      <c r="AE73" s="2302"/>
      <c r="AF73" s="2302"/>
      <c r="AG73" s="2302"/>
      <c r="AH73" s="2302"/>
      <c r="AI73" s="2302"/>
      <c r="AJ73" s="2302"/>
      <c r="AK73" s="2302"/>
      <c r="AL73" s="2302"/>
      <c r="AM73" s="2302"/>
      <c r="AN73" s="2302"/>
      <c r="AO73" s="2302"/>
      <c r="AP73" s="2302"/>
      <c r="AQ73" s="2302"/>
      <c r="AR73" s="2302"/>
      <c r="AS73" s="2302"/>
      <c r="AT73" s="2302"/>
      <c r="AU73" s="2302"/>
      <c r="AV73" s="2302"/>
      <c r="AW73" s="2302"/>
      <c r="AX73" s="2302"/>
      <c r="AY73" s="2302"/>
      <c r="AZ73" s="2302"/>
      <c r="BA73" s="2302"/>
      <c r="BB73" s="2302"/>
      <c r="BC73" s="2303"/>
      <c r="BD73" s="1207"/>
      <c r="BE73" s="1213"/>
    </row>
    <row r="74" spans="1:65" ht="15.75" customHeight="1">
      <c r="A74" s="1207"/>
      <c r="B74" s="2307"/>
      <c r="C74" s="2252"/>
      <c r="D74" s="2252"/>
      <c r="E74" s="2252"/>
      <c r="F74" s="2252"/>
      <c r="G74" s="2252"/>
      <c r="H74" s="2252"/>
      <c r="I74" s="2252"/>
      <c r="J74" s="2252"/>
      <c r="K74" s="2252"/>
      <c r="L74" s="2252"/>
      <c r="M74" s="2252"/>
      <c r="N74" s="2252"/>
      <c r="O74" s="2291"/>
      <c r="P74" s="2291"/>
      <c r="Q74" s="2291"/>
      <c r="R74" s="2291"/>
      <c r="S74" s="2291"/>
      <c r="T74" s="2291"/>
      <c r="U74" s="2291"/>
      <c r="V74" s="2291"/>
      <c r="W74" s="2291"/>
      <c r="X74" s="2291"/>
      <c r="Y74" s="2291"/>
      <c r="Z74" s="2291"/>
      <c r="AA74" s="2292"/>
      <c r="AB74" s="1207"/>
      <c r="AC74" s="2301"/>
      <c r="AD74" s="2302"/>
      <c r="AE74" s="2302"/>
      <c r="AF74" s="2302"/>
      <c r="AG74" s="2302"/>
      <c r="AH74" s="2302"/>
      <c r="AI74" s="2302"/>
      <c r="AJ74" s="2302"/>
      <c r="AK74" s="2302"/>
      <c r="AL74" s="2302"/>
      <c r="AM74" s="2302"/>
      <c r="AN74" s="2302"/>
      <c r="AO74" s="2302"/>
      <c r="AP74" s="2302"/>
      <c r="AQ74" s="2302"/>
      <c r="AR74" s="2302"/>
      <c r="AS74" s="2302"/>
      <c r="AT74" s="2302"/>
      <c r="AU74" s="2302"/>
      <c r="AV74" s="2302"/>
      <c r="AW74" s="2302"/>
      <c r="AX74" s="2302"/>
      <c r="AY74" s="2302"/>
      <c r="AZ74" s="2302"/>
      <c r="BA74" s="2302"/>
      <c r="BB74" s="2302"/>
      <c r="BC74" s="2303"/>
      <c r="BD74" s="1207"/>
      <c r="BE74" s="1213"/>
    </row>
    <row r="75" spans="1:65" ht="15.75" customHeight="1" thickBot="1">
      <c r="A75" s="1207"/>
      <c r="B75" s="2308" t="s">
        <v>125</v>
      </c>
      <c r="C75" s="2309"/>
      <c r="D75" s="2309"/>
      <c r="E75" s="2309"/>
      <c r="F75" s="2309"/>
      <c r="G75" s="2309"/>
      <c r="H75" s="2309"/>
      <c r="I75" s="2309"/>
      <c r="J75" s="2309"/>
      <c r="K75" s="2309"/>
      <c r="L75" s="2309"/>
      <c r="M75" s="2309"/>
      <c r="N75" s="2309"/>
      <c r="O75" s="2310">
        <f>SUM(O70:AA74)</f>
        <v>0</v>
      </c>
      <c r="P75" s="2310"/>
      <c r="Q75" s="2310"/>
      <c r="R75" s="2310"/>
      <c r="S75" s="2310"/>
      <c r="T75" s="2310"/>
      <c r="U75" s="2310"/>
      <c r="V75" s="2310"/>
      <c r="W75" s="2310"/>
      <c r="X75" s="2310"/>
      <c r="Y75" s="2310"/>
      <c r="Z75" s="2310"/>
      <c r="AA75" s="2311"/>
      <c r="AB75" s="1207"/>
      <c r="AC75" s="2301"/>
      <c r="AD75" s="2302"/>
      <c r="AE75" s="2302"/>
      <c r="AF75" s="2302"/>
      <c r="AG75" s="2302"/>
      <c r="AH75" s="2302"/>
      <c r="AI75" s="2302"/>
      <c r="AJ75" s="2302"/>
      <c r="AK75" s="2302"/>
      <c r="AL75" s="2302"/>
      <c r="AM75" s="2302"/>
      <c r="AN75" s="2302"/>
      <c r="AO75" s="2302"/>
      <c r="AP75" s="2302"/>
      <c r="AQ75" s="2302"/>
      <c r="AR75" s="2302"/>
      <c r="AS75" s="2302"/>
      <c r="AT75" s="2302"/>
      <c r="AU75" s="2302"/>
      <c r="AV75" s="2302"/>
      <c r="AW75" s="2302"/>
      <c r="AX75" s="2302"/>
      <c r="AY75" s="2302"/>
      <c r="AZ75" s="2302"/>
      <c r="BA75" s="2302"/>
      <c r="BB75" s="2302"/>
      <c r="BC75" s="2303"/>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1"/>
      <c r="AD76" s="2302"/>
      <c r="AE76" s="2302"/>
      <c r="AF76" s="2302"/>
      <c r="AG76" s="2302"/>
      <c r="AH76" s="2302"/>
      <c r="AI76" s="2302"/>
      <c r="AJ76" s="2302"/>
      <c r="AK76" s="2302"/>
      <c r="AL76" s="2302"/>
      <c r="AM76" s="2302"/>
      <c r="AN76" s="2302"/>
      <c r="AO76" s="2302"/>
      <c r="AP76" s="2302"/>
      <c r="AQ76" s="2302"/>
      <c r="AR76" s="2302"/>
      <c r="AS76" s="2302"/>
      <c r="AT76" s="2302"/>
      <c r="AU76" s="2302"/>
      <c r="AV76" s="2302"/>
      <c r="AW76" s="2302"/>
      <c r="AX76" s="2302"/>
      <c r="AY76" s="2302"/>
      <c r="AZ76" s="2302"/>
      <c r="BA76" s="2302"/>
      <c r="BB76" s="2302"/>
      <c r="BC76" s="2303"/>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4"/>
      <c r="AD77" s="2305"/>
      <c r="AE77" s="2305"/>
      <c r="AF77" s="2305"/>
      <c r="AG77" s="2305"/>
      <c r="AH77" s="2305"/>
      <c r="AI77" s="2305"/>
      <c r="AJ77" s="2305"/>
      <c r="AK77" s="2305"/>
      <c r="AL77" s="2305"/>
      <c r="AM77" s="2305"/>
      <c r="AN77" s="2305"/>
      <c r="AO77" s="2305"/>
      <c r="AP77" s="2305"/>
      <c r="AQ77" s="2305"/>
      <c r="AR77" s="2305"/>
      <c r="AS77" s="2305"/>
      <c r="AT77" s="2305"/>
      <c r="AU77" s="2305"/>
      <c r="AV77" s="2305"/>
      <c r="AW77" s="2305"/>
      <c r="AX77" s="2305"/>
      <c r="AY77" s="2305"/>
      <c r="AZ77" s="2305"/>
      <c r="BA77" s="2305"/>
      <c r="BB77" s="2305"/>
      <c r="BC77" s="2306"/>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2" t="s">
        <v>2245</v>
      </c>
      <c r="C79" s="2313"/>
      <c r="D79" s="2313"/>
      <c r="E79" s="2313"/>
      <c r="F79" s="2313"/>
      <c r="G79" s="2313"/>
      <c r="H79" s="2313"/>
      <c r="I79" s="2313"/>
      <c r="J79" s="2313"/>
      <c r="K79" s="2313"/>
      <c r="L79" s="2313"/>
      <c r="M79" s="2313"/>
      <c r="N79" s="2313"/>
      <c r="O79" s="2313"/>
      <c r="P79" s="2313"/>
      <c r="Q79" s="2313"/>
      <c r="R79" s="2313"/>
      <c r="S79" s="2313"/>
      <c r="T79" s="2313"/>
      <c r="U79" s="2313"/>
      <c r="V79" s="2313"/>
      <c r="W79" s="2313"/>
      <c r="X79" s="2313"/>
      <c r="Y79" s="2313"/>
      <c r="Z79" s="2313"/>
      <c r="AA79" s="2313"/>
      <c r="AB79" s="2313"/>
      <c r="AC79" s="2313"/>
      <c r="AD79" s="2313"/>
      <c r="AE79" s="2313"/>
      <c r="AF79" s="2313"/>
      <c r="AG79" s="2313"/>
      <c r="AH79" s="2314"/>
      <c r="AI79" s="1207"/>
      <c r="AJ79" s="2315" t="s">
        <v>2596</v>
      </c>
      <c r="AK79" s="2316"/>
      <c r="AL79" s="2316"/>
      <c r="AM79" s="2316"/>
      <c r="AN79" s="2316"/>
      <c r="AO79" s="2316"/>
      <c r="AP79" s="2316"/>
      <c r="AQ79" s="2316"/>
      <c r="AR79" s="2316"/>
      <c r="AS79" s="2316"/>
      <c r="AT79" s="2316"/>
      <c r="AU79" s="2316"/>
      <c r="AV79" s="2316"/>
      <c r="AW79" s="2316"/>
      <c r="AX79" s="2316"/>
      <c r="AY79" s="2319" t="s">
        <v>555</v>
      </c>
      <c r="AZ79" s="2319"/>
      <c r="BA79" s="2319"/>
      <c r="BB79" s="2320"/>
      <c r="BC79" s="1207"/>
      <c r="BD79" s="1207"/>
      <c r="BE79" s="1213"/>
    </row>
    <row r="80" spans="1:65" ht="15.75" customHeight="1">
      <c r="A80" s="1207"/>
      <c r="B80" s="2248"/>
      <c r="C80" s="2249"/>
      <c r="D80" s="2249"/>
      <c r="E80" s="2249"/>
      <c r="F80" s="2249"/>
      <c r="G80" s="2249"/>
      <c r="H80" s="2249"/>
      <c r="I80" s="2249" t="s">
        <v>1897</v>
      </c>
      <c r="J80" s="2249"/>
      <c r="K80" s="2249"/>
      <c r="L80" s="2249"/>
      <c r="M80" s="2249"/>
      <c r="N80" s="2249"/>
      <c r="O80" s="2249" t="s">
        <v>1898</v>
      </c>
      <c r="P80" s="2249"/>
      <c r="Q80" s="2249"/>
      <c r="R80" s="2249"/>
      <c r="S80" s="2249"/>
      <c r="T80" s="2249"/>
      <c r="U80" s="2249"/>
      <c r="V80" s="2323" t="s">
        <v>2263</v>
      </c>
      <c r="W80" s="2323"/>
      <c r="X80" s="2323"/>
      <c r="Y80" s="2323"/>
      <c r="Z80" s="2323"/>
      <c r="AA80" s="2323"/>
      <c r="AB80" s="2228" t="s">
        <v>1899</v>
      </c>
      <c r="AC80" s="2228"/>
      <c r="AD80" s="2228"/>
      <c r="AE80" s="2228"/>
      <c r="AF80" s="2228"/>
      <c r="AG80" s="2228"/>
      <c r="AH80" s="2229"/>
      <c r="AI80" s="1207"/>
      <c r="AJ80" s="2317"/>
      <c r="AK80" s="2318"/>
      <c r="AL80" s="2318"/>
      <c r="AM80" s="2318"/>
      <c r="AN80" s="2318"/>
      <c r="AO80" s="2318"/>
      <c r="AP80" s="2318"/>
      <c r="AQ80" s="2318"/>
      <c r="AR80" s="2318"/>
      <c r="AS80" s="2318"/>
      <c r="AT80" s="2318"/>
      <c r="AU80" s="2318"/>
      <c r="AV80" s="2318"/>
      <c r="AW80" s="2318"/>
      <c r="AX80" s="2318"/>
      <c r="AY80" s="2321"/>
      <c r="AZ80" s="2321"/>
      <c r="BA80" s="2321"/>
      <c r="BB80" s="2322"/>
      <c r="BC80" s="1207"/>
      <c r="BD80" s="1207"/>
      <c r="BE80" s="1213"/>
    </row>
    <row r="81" spans="1:57" ht="15.75" customHeight="1">
      <c r="A81" s="1207"/>
      <c r="B81" s="2248"/>
      <c r="C81" s="2249"/>
      <c r="D81" s="2249"/>
      <c r="E81" s="2249"/>
      <c r="F81" s="2249"/>
      <c r="G81" s="2249"/>
      <c r="H81" s="2249"/>
      <c r="I81" s="2249"/>
      <c r="J81" s="2249"/>
      <c r="K81" s="2249"/>
      <c r="L81" s="2249"/>
      <c r="M81" s="2249"/>
      <c r="N81" s="2249"/>
      <c r="O81" s="2249"/>
      <c r="P81" s="2249"/>
      <c r="Q81" s="2249"/>
      <c r="R81" s="2249"/>
      <c r="S81" s="2249"/>
      <c r="T81" s="2249"/>
      <c r="U81" s="2249"/>
      <c r="V81" s="2323"/>
      <c r="W81" s="2323"/>
      <c r="X81" s="2323"/>
      <c r="Y81" s="2323"/>
      <c r="Z81" s="2323"/>
      <c r="AA81" s="2323"/>
      <c r="AB81" s="2228"/>
      <c r="AC81" s="2228"/>
      <c r="AD81" s="2228"/>
      <c r="AE81" s="2228"/>
      <c r="AF81" s="2228"/>
      <c r="AG81" s="2228"/>
      <c r="AH81" s="2229"/>
      <c r="AI81" s="1207"/>
      <c r="AJ81" s="2317"/>
      <c r="AK81" s="2318"/>
      <c r="AL81" s="2318"/>
      <c r="AM81" s="2318"/>
      <c r="AN81" s="2318"/>
      <c r="AO81" s="2318"/>
      <c r="AP81" s="2318"/>
      <c r="AQ81" s="2318"/>
      <c r="AR81" s="2318"/>
      <c r="AS81" s="2318"/>
      <c r="AT81" s="2318"/>
      <c r="AU81" s="2318"/>
      <c r="AV81" s="2318"/>
      <c r="AW81" s="2318"/>
      <c r="AX81" s="2318"/>
      <c r="AY81" s="2321"/>
      <c r="AZ81" s="2321"/>
      <c r="BA81" s="2321"/>
      <c r="BB81" s="2322"/>
      <c r="BC81" s="1207"/>
      <c r="BD81" s="1207"/>
      <c r="BE81" s="1213"/>
    </row>
    <row r="82" spans="1:57" ht="15.75" customHeight="1">
      <c r="A82" s="1207"/>
      <c r="B82" s="2248" t="s">
        <v>2246</v>
      </c>
      <c r="C82" s="2249"/>
      <c r="D82" s="2249"/>
      <c r="E82" s="2249"/>
      <c r="F82" s="2249"/>
      <c r="G82" s="2249"/>
      <c r="H82" s="2249"/>
      <c r="I82" s="2324">
        <v>0</v>
      </c>
      <c r="J82" s="2324"/>
      <c r="K82" s="2324"/>
      <c r="L82" s="2324"/>
      <c r="M82" s="2324"/>
      <c r="N82" s="2324"/>
      <c r="O82" s="2324">
        <v>0</v>
      </c>
      <c r="P82" s="2324"/>
      <c r="Q82" s="2324"/>
      <c r="R82" s="2324"/>
      <c r="S82" s="2324"/>
      <c r="T82" s="2324"/>
      <c r="U82" s="2324"/>
      <c r="V82" s="2324">
        <v>0</v>
      </c>
      <c r="W82" s="2324"/>
      <c r="X82" s="2324"/>
      <c r="Y82" s="2324"/>
      <c r="Z82" s="2324"/>
      <c r="AA82" s="2324"/>
      <c r="AB82" s="2324">
        <v>0</v>
      </c>
      <c r="AC82" s="2324"/>
      <c r="AD82" s="2324"/>
      <c r="AE82" s="2324"/>
      <c r="AF82" s="2324"/>
      <c r="AG82" s="2324"/>
      <c r="AH82" s="2333"/>
      <c r="AI82" s="1207"/>
      <c r="AJ82" s="2317"/>
      <c r="AK82" s="2318"/>
      <c r="AL82" s="2318"/>
      <c r="AM82" s="2318"/>
      <c r="AN82" s="2318"/>
      <c r="AO82" s="2318"/>
      <c r="AP82" s="2318"/>
      <c r="AQ82" s="2318"/>
      <c r="AR82" s="2318"/>
      <c r="AS82" s="2318"/>
      <c r="AT82" s="2318"/>
      <c r="AU82" s="2318"/>
      <c r="AV82" s="2318"/>
      <c r="AW82" s="2318"/>
      <c r="AX82" s="2318"/>
      <c r="AY82" s="2321"/>
      <c r="AZ82" s="2321"/>
      <c r="BA82" s="2321"/>
      <c r="BB82" s="2322"/>
      <c r="BC82" s="1207"/>
      <c r="BD82" s="1207"/>
      <c r="BE82" s="1213"/>
    </row>
    <row r="83" spans="1:57" ht="15.75" customHeight="1">
      <c r="A83" s="1207"/>
      <c r="B83" s="2248" t="s">
        <v>2247</v>
      </c>
      <c r="C83" s="2249"/>
      <c r="D83" s="2249"/>
      <c r="E83" s="2249"/>
      <c r="F83" s="2249"/>
      <c r="G83" s="2249"/>
      <c r="H83" s="2249"/>
      <c r="I83" s="2324">
        <v>0</v>
      </c>
      <c r="J83" s="2324"/>
      <c r="K83" s="2324"/>
      <c r="L83" s="2324"/>
      <c r="M83" s="2324"/>
      <c r="N83" s="2324"/>
      <c r="O83" s="2324">
        <v>0</v>
      </c>
      <c r="P83" s="2324"/>
      <c r="Q83" s="2324"/>
      <c r="R83" s="2324"/>
      <c r="S83" s="2324"/>
      <c r="T83" s="2324"/>
      <c r="U83" s="2324"/>
      <c r="V83" s="2324">
        <v>0</v>
      </c>
      <c r="W83" s="2324"/>
      <c r="X83" s="2324"/>
      <c r="Y83" s="2324"/>
      <c r="Z83" s="2324"/>
      <c r="AA83" s="2324"/>
      <c r="AB83" s="2324">
        <v>0</v>
      </c>
      <c r="AC83" s="2324"/>
      <c r="AD83" s="2324"/>
      <c r="AE83" s="2324"/>
      <c r="AF83" s="2324"/>
      <c r="AG83" s="2324"/>
      <c r="AH83" s="2333"/>
      <c r="AI83" s="1207"/>
      <c r="AJ83" s="2325" t="s">
        <v>2597</v>
      </c>
      <c r="AK83" s="2326"/>
      <c r="AL83" s="2326"/>
      <c r="AM83" s="2326"/>
      <c r="AN83" s="2326"/>
      <c r="AO83" s="2326"/>
      <c r="AP83" s="2326"/>
      <c r="AQ83" s="2326"/>
      <c r="AR83" s="2326"/>
      <c r="AS83" s="2326"/>
      <c r="AT83" s="2326"/>
      <c r="AU83" s="2326"/>
      <c r="AV83" s="2326"/>
      <c r="AW83" s="2326"/>
      <c r="AX83" s="2326"/>
      <c r="AY83" s="2326"/>
      <c r="AZ83" s="2326"/>
      <c r="BA83" s="2326"/>
      <c r="BB83" s="2327"/>
      <c r="BC83" s="1207"/>
      <c r="BD83" s="1207"/>
      <c r="BE83" s="1213"/>
    </row>
    <row r="84" spans="1:57" ht="15.75" customHeight="1" thickBot="1">
      <c r="A84" s="1207"/>
      <c r="B84" s="2266" t="s">
        <v>1900</v>
      </c>
      <c r="C84" s="2267"/>
      <c r="D84" s="2267"/>
      <c r="E84" s="2267"/>
      <c r="F84" s="2267"/>
      <c r="G84" s="2267"/>
      <c r="H84" s="2267"/>
      <c r="I84" s="2331">
        <v>0</v>
      </c>
      <c r="J84" s="2331"/>
      <c r="K84" s="2331"/>
      <c r="L84" s="2331"/>
      <c r="M84" s="2331"/>
      <c r="N84" s="2331"/>
      <c r="O84" s="2331">
        <v>0</v>
      </c>
      <c r="P84" s="2331"/>
      <c r="Q84" s="2331"/>
      <c r="R84" s="2331"/>
      <c r="S84" s="2331"/>
      <c r="T84" s="2331"/>
      <c r="U84" s="2331"/>
      <c r="V84" s="2331">
        <v>0</v>
      </c>
      <c r="W84" s="2331"/>
      <c r="X84" s="2331"/>
      <c r="Y84" s="2331"/>
      <c r="Z84" s="2331"/>
      <c r="AA84" s="2331"/>
      <c r="AB84" s="2331">
        <v>0</v>
      </c>
      <c r="AC84" s="2331"/>
      <c r="AD84" s="2331"/>
      <c r="AE84" s="2331"/>
      <c r="AF84" s="2331"/>
      <c r="AG84" s="2331"/>
      <c r="AH84" s="2332"/>
      <c r="AI84" s="1207"/>
      <c r="AJ84" s="2328"/>
      <c r="AK84" s="2329"/>
      <c r="AL84" s="2329"/>
      <c r="AM84" s="2329"/>
      <c r="AN84" s="2329"/>
      <c r="AO84" s="2329"/>
      <c r="AP84" s="2329"/>
      <c r="AQ84" s="2329"/>
      <c r="AR84" s="2329"/>
      <c r="AS84" s="2329"/>
      <c r="AT84" s="2329"/>
      <c r="AU84" s="2329"/>
      <c r="AV84" s="2329"/>
      <c r="AW84" s="2329"/>
      <c r="AX84" s="2329"/>
      <c r="AY84" s="2329"/>
      <c r="AZ84" s="2329"/>
      <c r="BA84" s="2329"/>
      <c r="BB84" s="233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7" t="s">
        <v>1902</v>
      </c>
      <c r="C88" s="2298"/>
      <c r="D88" s="2298"/>
      <c r="E88" s="2298"/>
      <c r="F88" s="2298"/>
      <c r="G88" s="2298"/>
      <c r="H88" s="2298"/>
      <c r="I88" s="2298"/>
      <c r="J88" s="2298"/>
      <c r="K88" s="2298"/>
      <c r="L88" s="2298"/>
      <c r="M88" s="2298"/>
      <c r="N88" s="2298"/>
      <c r="O88" s="2298"/>
      <c r="P88" s="2298"/>
      <c r="Q88" s="2298"/>
      <c r="R88" s="2298"/>
      <c r="S88" s="2298"/>
      <c r="T88" s="2298"/>
      <c r="U88" s="2298"/>
      <c r="V88" s="2298"/>
      <c r="W88" s="2298"/>
      <c r="X88" s="2298"/>
      <c r="Y88" s="2298"/>
      <c r="Z88" s="2298"/>
      <c r="AA88" s="2298"/>
      <c r="AB88" s="2298"/>
      <c r="AC88" s="2298"/>
      <c r="AD88" s="2298"/>
      <c r="AE88" s="2298"/>
      <c r="AF88" s="2298"/>
      <c r="AG88" s="2298"/>
      <c r="AH88" s="2334"/>
      <c r="AI88" s="1207"/>
      <c r="AJ88" s="2315" t="s">
        <v>2598</v>
      </c>
      <c r="AK88" s="2316"/>
      <c r="AL88" s="2316"/>
      <c r="AM88" s="2316"/>
      <c r="AN88" s="2316"/>
      <c r="AO88" s="2316"/>
      <c r="AP88" s="2316"/>
      <c r="AQ88" s="2316"/>
      <c r="AR88" s="2316"/>
      <c r="AS88" s="2316"/>
      <c r="AT88" s="2316"/>
      <c r="AU88" s="2316"/>
      <c r="AV88" s="2316"/>
      <c r="AW88" s="2316"/>
      <c r="AX88" s="2316"/>
      <c r="AY88" s="2319" t="s">
        <v>555</v>
      </c>
      <c r="AZ88" s="2319"/>
      <c r="BA88" s="2319"/>
      <c r="BB88" s="2320"/>
      <c r="BC88" s="1207"/>
      <c r="BD88" s="1207"/>
      <c r="BE88" s="1213"/>
    </row>
    <row r="89" spans="1:57" ht="16.5" customHeight="1">
      <c r="A89" s="1207"/>
      <c r="B89" s="2248"/>
      <c r="C89" s="2249"/>
      <c r="D89" s="2249"/>
      <c r="E89" s="2249"/>
      <c r="F89" s="2249"/>
      <c r="G89" s="2249"/>
      <c r="H89" s="2249"/>
      <c r="I89" s="2249" t="s">
        <v>1897</v>
      </c>
      <c r="J89" s="2249"/>
      <c r="K89" s="2249"/>
      <c r="L89" s="2249"/>
      <c r="M89" s="2249"/>
      <c r="N89" s="2249"/>
      <c r="O89" s="2249" t="s">
        <v>1898</v>
      </c>
      <c r="P89" s="2249"/>
      <c r="Q89" s="2249"/>
      <c r="R89" s="2249"/>
      <c r="S89" s="2249"/>
      <c r="T89" s="2249"/>
      <c r="U89" s="2249"/>
      <c r="V89" s="2323" t="s">
        <v>2263</v>
      </c>
      <c r="W89" s="2323"/>
      <c r="X89" s="2323"/>
      <c r="Y89" s="2323"/>
      <c r="Z89" s="2323"/>
      <c r="AA89" s="2323"/>
      <c r="AB89" s="2228" t="s">
        <v>1899</v>
      </c>
      <c r="AC89" s="2228"/>
      <c r="AD89" s="2228"/>
      <c r="AE89" s="2228"/>
      <c r="AF89" s="2228"/>
      <c r="AG89" s="2228"/>
      <c r="AH89" s="2229"/>
      <c r="AI89" s="1207"/>
      <c r="AJ89" s="2317"/>
      <c r="AK89" s="2318"/>
      <c r="AL89" s="2318"/>
      <c r="AM89" s="2318"/>
      <c r="AN89" s="2318"/>
      <c r="AO89" s="2318"/>
      <c r="AP89" s="2318"/>
      <c r="AQ89" s="2318"/>
      <c r="AR89" s="2318"/>
      <c r="AS89" s="2318"/>
      <c r="AT89" s="2318"/>
      <c r="AU89" s="2318"/>
      <c r="AV89" s="2318"/>
      <c r="AW89" s="2318"/>
      <c r="AX89" s="2318"/>
      <c r="AY89" s="2321"/>
      <c r="AZ89" s="2321"/>
      <c r="BA89" s="2321"/>
      <c r="BB89" s="2322"/>
      <c r="BC89" s="1207"/>
      <c r="BD89" s="1207"/>
      <c r="BE89" s="1213"/>
    </row>
    <row r="90" spans="1:57" ht="16.5" customHeight="1">
      <c r="A90" s="1207"/>
      <c r="B90" s="2248"/>
      <c r="C90" s="2249"/>
      <c r="D90" s="2249"/>
      <c r="E90" s="2249"/>
      <c r="F90" s="2249"/>
      <c r="G90" s="2249"/>
      <c r="H90" s="2249"/>
      <c r="I90" s="2249"/>
      <c r="J90" s="2249"/>
      <c r="K90" s="2249"/>
      <c r="L90" s="2249"/>
      <c r="M90" s="2249"/>
      <c r="N90" s="2249"/>
      <c r="O90" s="2249"/>
      <c r="P90" s="2249"/>
      <c r="Q90" s="2249"/>
      <c r="R90" s="2249"/>
      <c r="S90" s="2249"/>
      <c r="T90" s="2249"/>
      <c r="U90" s="2249"/>
      <c r="V90" s="2323"/>
      <c r="W90" s="2323"/>
      <c r="X90" s="2323"/>
      <c r="Y90" s="2323"/>
      <c r="Z90" s="2323"/>
      <c r="AA90" s="2323"/>
      <c r="AB90" s="2228"/>
      <c r="AC90" s="2228"/>
      <c r="AD90" s="2228"/>
      <c r="AE90" s="2228"/>
      <c r="AF90" s="2228"/>
      <c r="AG90" s="2228"/>
      <c r="AH90" s="2229"/>
      <c r="AI90" s="1207"/>
      <c r="AJ90" s="2317"/>
      <c r="AK90" s="2318"/>
      <c r="AL90" s="2318"/>
      <c r="AM90" s="2318"/>
      <c r="AN90" s="2318"/>
      <c r="AO90" s="2318"/>
      <c r="AP90" s="2318"/>
      <c r="AQ90" s="2318"/>
      <c r="AR90" s="2318"/>
      <c r="AS90" s="2318"/>
      <c r="AT90" s="2318"/>
      <c r="AU90" s="2318"/>
      <c r="AV90" s="2318"/>
      <c r="AW90" s="2318"/>
      <c r="AX90" s="2318"/>
      <c r="AY90" s="2321"/>
      <c r="AZ90" s="2321"/>
      <c r="BA90" s="2321"/>
      <c r="BB90" s="2322"/>
      <c r="BC90" s="1207"/>
      <c r="BD90" s="1207"/>
      <c r="BE90" s="1213"/>
    </row>
    <row r="91" spans="1:57" ht="15.75" customHeight="1">
      <c r="A91" s="1207"/>
      <c r="B91" s="2248" t="s">
        <v>2246</v>
      </c>
      <c r="C91" s="2249"/>
      <c r="D91" s="2249"/>
      <c r="E91" s="2249"/>
      <c r="F91" s="2249"/>
      <c r="G91" s="2249"/>
      <c r="H91" s="2249"/>
      <c r="I91" s="2324">
        <v>0</v>
      </c>
      <c r="J91" s="2324"/>
      <c r="K91" s="2324"/>
      <c r="L91" s="2324"/>
      <c r="M91" s="2324"/>
      <c r="N91" s="2324"/>
      <c r="O91" s="2324">
        <v>0</v>
      </c>
      <c r="P91" s="2324"/>
      <c r="Q91" s="2324"/>
      <c r="R91" s="2324"/>
      <c r="S91" s="2324"/>
      <c r="T91" s="2324"/>
      <c r="U91" s="2324"/>
      <c r="V91" s="2324">
        <v>0</v>
      </c>
      <c r="W91" s="2324"/>
      <c r="X91" s="2324"/>
      <c r="Y91" s="2324"/>
      <c r="Z91" s="2324"/>
      <c r="AA91" s="2324"/>
      <c r="AB91" s="2324">
        <v>0</v>
      </c>
      <c r="AC91" s="2324"/>
      <c r="AD91" s="2324"/>
      <c r="AE91" s="2324"/>
      <c r="AF91" s="2324"/>
      <c r="AG91" s="2324"/>
      <c r="AH91" s="2333"/>
      <c r="AI91" s="1207"/>
      <c r="AJ91" s="2317"/>
      <c r="AK91" s="2318"/>
      <c r="AL91" s="2318"/>
      <c r="AM91" s="2318"/>
      <c r="AN91" s="2318"/>
      <c r="AO91" s="2318"/>
      <c r="AP91" s="2318"/>
      <c r="AQ91" s="2318"/>
      <c r="AR91" s="2318"/>
      <c r="AS91" s="2318"/>
      <c r="AT91" s="2318"/>
      <c r="AU91" s="2318"/>
      <c r="AV91" s="2318"/>
      <c r="AW91" s="2318"/>
      <c r="AX91" s="2318"/>
      <c r="AY91" s="2321"/>
      <c r="AZ91" s="2321"/>
      <c r="BA91" s="2321"/>
      <c r="BB91" s="2322"/>
      <c r="BC91" s="1207"/>
      <c r="BD91" s="1207"/>
      <c r="BE91" s="1213"/>
    </row>
    <row r="92" spans="1:57" ht="15.75" customHeight="1">
      <c r="A92" s="1207"/>
      <c r="B92" s="2248" t="s">
        <v>2247</v>
      </c>
      <c r="C92" s="2249"/>
      <c r="D92" s="2249"/>
      <c r="E92" s="2249"/>
      <c r="F92" s="2249"/>
      <c r="G92" s="2249"/>
      <c r="H92" s="2249"/>
      <c r="I92" s="2324">
        <v>0</v>
      </c>
      <c r="J92" s="2324"/>
      <c r="K92" s="2324"/>
      <c r="L92" s="2324"/>
      <c r="M92" s="2324"/>
      <c r="N92" s="2324"/>
      <c r="O92" s="2324">
        <v>0</v>
      </c>
      <c r="P92" s="2324"/>
      <c r="Q92" s="2324"/>
      <c r="R92" s="2324"/>
      <c r="S92" s="2324"/>
      <c r="T92" s="2324"/>
      <c r="U92" s="2324"/>
      <c r="V92" s="2324">
        <v>0</v>
      </c>
      <c r="W92" s="2324"/>
      <c r="X92" s="2324"/>
      <c r="Y92" s="2324"/>
      <c r="Z92" s="2324"/>
      <c r="AA92" s="2324"/>
      <c r="AB92" s="2324">
        <v>0</v>
      </c>
      <c r="AC92" s="2324"/>
      <c r="AD92" s="2324"/>
      <c r="AE92" s="2324"/>
      <c r="AF92" s="2324"/>
      <c r="AG92" s="2324"/>
      <c r="AH92" s="2333"/>
      <c r="AI92" s="1207"/>
      <c r="AJ92" s="2325" t="s">
        <v>2264</v>
      </c>
      <c r="AK92" s="2326"/>
      <c r="AL92" s="2326"/>
      <c r="AM92" s="2326"/>
      <c r="AN92" s="2326"/>
      <c r="AO92" s="2326"/>
      <c r="AP92" s="2326"/>
      <c r="AQ92" s="2326"/>
      <c r="AR92" s="2326"/>
      <c r="AS92" s="2326"/>
      <c r="AT92" s="2326"/>
      <c r="AU92" s="2326"/>
      <c r="AV92" s="2326"/>
      <c r="AW92" s="2326"/>
      <c r="AX92" s="2326"/>
      <c r="AY92" s="2326"/>
      <c r="AZ92" s="2326"/>
      <c r="BA92" s="2326"/>
      <c r="BB92" s="2327"/>
      <c r="BC92" s="1207"/>
      <c r="BD92" s="1207"/>
      <c r="BE92" s="1213"/>
    </row>
    <row r="93" spans="1:57" ht="15.75" customHeight="1" thickBot="1">
      <c r="A93" s="1207"/>
      <c r="B93" s="2266" t="s">
        <v>1900</v>
      </c>
      <c r="C93" s="2267"/>
      <c r="D93" s="2267"/>
      <c r="E93" s="2267"/>
      <c r="F93" s="2267"/>
      <c r="G93" s="2267"/>
      <c r="H93" s="2267"/>
      <c r="I93" s="2331">
        <v>0</v>
      </c>
      <c r="J93" s="2331"/>
      <c r="K93" s="2331"/>
      <c r="L93" s="2331"/>
      <c r="M93" s="2331"/>
      <c r="N93" s="2331"/>
      <c r="O93" s="2331">
        <v>0</v>
      </c>
      <c r="P93" s="2331"/>
      <c r="Q93" s="2331"/>
      <c r="R93" s="2331"/>
      <c r="S93" s="2331"/>
      <c r="T93" s="2331"/>
      <c r="U93" s="2331"/>
      <c r="V93" s="2331">
        <v>0</v>
      </c>
      <c r="W93" s="2331"/>
      <c r="X93" s="2331"/>
      <c r="Y93" s="2331"/>
      <c r="Z93" s="2331"/>
      <c r="AA93" s="2331"/>
      <c r="AB93" s="2331">
        <v>0</v>
      </c>
      <c r="AC93" s="2331"/>
      <c r="AD93" s="2331"/>
      <c r="AE93" s="2331"/>
      <c r="AF93" s="2331"/>
      <c r="AG93" s="2331"/>
      <c r="AH93" s="2332"/>
      <c r="AI93" s="1207"/>
      <c r="AJ93" s="2328"/>
      <c r="AK93" s="2329"/>
      <c r="AL93" s="2329"/>
      <c r="AM93" s="2329"/>
      <c r="AN93" s="2329"/>
      <c r="AO93" s="2329"/>
      <c r="AP93" s="2329"/>
      <c r="AQ93" s="2329"/>
      <c r="AR93" s="2329"/>
      <c r="AS93" s="2329"/>
      <c r="AT93" s="2329"/>
      <c r="AU93" s="2329"/>
      <c r="AV93" s="2329"/>
      <c r="AW93" s="2329"/>
      <c r="AX93" s="2329"/>
      <c r="AY93" s="2329"/>
      <c r="AZ93" s="2329"/>
      <c r="BA93" s="2329"/>
      <c r="BB93" s="233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5" t="s">
        <v>2248</v>
      </c>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41"/>
      <c r="BE96" s="1213"/>
    </row>
    <row r="97" spans="1:57" ht="15.75" customHeight="1">
      <c r="A97" s="1207"/>
      <c r="B97" s="2343" t="s">
        <v>1754</v>
      </c>
      <c r="C97" s="2344"/>
      <c r="D97" s="2344"/>
      <c r="E97" s="2344"/>
      <c r="F97" s="2344"/>
      <c r="G97" s="2344"/>
      <c r="H97" s="2344"/>
      <c r="I97" s="2344"/>
      <c r="J97" s="2344"/>
      <c r="K97" s="2344"/>
      <c r="L97" s="2344"/>
      <c r="M97" s="2344"/>
      <c r="N97" s="2344"/>
      <c r="O97" s="2344"/>
      <c r="P97" s="2344"/>
      <c r="Q97" s="2344"/>
      <c r="R97" s="2344"/>
      <c r="S97" s="2344"/>
      <c r="T97" s="2344"/>
      <c r="U97" s="2345"/>
      <c r="V97" s="1207"/>
      <c r="W97" s="1207"/>
      <c r="X97" s="2317"/>
      <c r="Y97" s="2318"/>
      <c r="Z97" s="2318"/>
      <c r="AA97" s="2318"/>
      <c r="AB97" s="2318"/>
      <c r="AC97" s="2318"/>
      <c r="AD97" s="2318"/>
      <c r="AE97" s="2318"/>
      <c r="AF97" s="2318"/>
      <c r="AG97" s="2318"/>
      <c r="AH97" s="2318"/>
      <c r="AI97" s="2318"/>
      <c r="AJ97" s="2318"/>
      <c r="AK97" s="2318"/>
      <c r="AL97" s="2318"/>
      <c r="AM97" s="2318"/>
      <c r="AN97" s="2318"/>
      <c r="AO97" s="2318"/>
      <c r="AP97" s="2318"/>
      <c r="AQ97" s="2318"/>
      <c r="AR97" s="2318"/>
      <c r="AS97" s="2318"/>
      <c r="AT97" s="2318"/>
      <c r="AU97" s="2318"/>
      <c r="AV97" s="2318"/>
      <c r="AW97" s="2318"/>
      <c r="AX97" s="2318"/>
      <c r="AY97" s="2318"/>
      <c r="AZ97" s="2318"/>
      <c r="BA97" s="2318"/>
      <c r="BB97" s="2318"/>
      <c r="BC97" s="2318"/>
      <c r="BD97" s="2342"/>
      <c r="BE97" s="1213"/>
    </row>
    <row r="98" spans="1:57" ht="15.75" customHeight="1">
      <c r="A98" s="1207"/>
      <c r="B98" s="2337"/>
      <c r="C98" s="2338"/>
      <c r="D98" s="2338"/>
      <c r="E98" s="2338"/>
      <c r="F98" s="2338"/>
      <c r="G98" s="2338"/>
      <c r="H98" s="2338"/>
      <c r="I98" s="2249" t="s">
        <v>2249</v>
      </c>
      <c r="J98" s="2249"/>
      <c r="K98" s="2249"/>
      <c r="L98" s="2249"/>
      <c r="M98" s="2249"/>
      <c r="N98" s="2249"/>
      <c r="O98" s="2346" t="s">
        <v>2250</v>
      </c>
      <c r="P98" s="2346"/>
      <c r="Q98" s="2346"/>
      <c r="R98" s="2346"/>
      <c r="S98" s="2346"/>
      <c r="T98" s="2346"/>
      <c r="U98" s="2347"/>
      <c r="V98" s="1207"/>
      <c r="W98" s="1207"/>
      <c r="X98" s="2301" t="s">
        <v>2262</v>
      </c>
      <c r="Y98" s="2302"/>
      <c r="Z98" s="2302"/>
      <c r="AA98" s="2302"/>
      <c r="AB98" s="2302"/>
      <c r="AC98" s="2302"/>
      <c r="AD98" s="2302"/>
      <c r="AE98" s="2302"/>
      <c r="AF98" s="2302"/>
      <c r="AG98" s="2302"/>
      <c r="AH98" s="2302"/>
      <c r="AI98" s="2302"/>
      <c r="AJ98" s="2302"/>
      <c r="AK98" s="2302"/>
      <c r="AL98" s="2302"/>
      <c r="AM98" s="2302"/>
      <c r="AN98" s="2302"/>
      <c r="AO98" s="2302"/>
      <c r="AP98" s="2302"/>
      <c r="AQ98" s="2302"/>
      <c r="AR98" s="2302"/>
      <c r="AS98" s="2302"/>
      <c r="AT98" s="2302"/>
      <c r="AU98" s="2302"/>
      <c r="AV98" s="2302"/>
      <c r="AW98" s="2302"/>
      <c r="AX98" s="2302"/>
      <c r="AY98" s="2302"/>
      <c r="AZ98" s="2302"/>
      <c r="BA98" s="2302"/>
      <c r="BB98" s="2302"/>
      <c r="BC98" s="2302"/>
      <c r="BD98" s="2303"/>
      <c r="BE98" s="1213"/>
    </row>
    <row r="99" spans="1:57" ht="15.75" customHeight="1">
      <c r="A99" s="1207"/>
      <c r="B99" s="2348" t="s">
        <v>2251</v>
      </c>
      <c r="C99" s="2349"/>
      <c r="D99" s="2349"/>
      <c r="E99" s="2349"/>
      <c r="F99" s="2349"/>
      <c r="G99" s="2349"/>
      <c r="H99" s="2349"/>
      <c r="I99" s="2324">
        <v>0</v>
      </c>
      <c r="J99" s="2324"/>
      <c r="K99" s="2324"/>
      <c r="L99" s="2324"/>
      <c r="M99" s="2324"/>
      <c r="N99" s="2324"/>
      <c r="O99" s="2324">
        <v>0</v>
      </c>
      <c r="P99" s="2324"/>
      <c r="Q99" s="2324"/>
      <c r="R99" s="2324"/>
      <c r="S99" s="2324"/>
      <c r="T99" s="2324"/>
      <c r="U99" s="2333"/>
      <c r="V99" s="1207"/>
      <c r="W99" s="1207"/>
      <c r="X99" s="2301"/>
      <c r="Y99" s="2302"/>
      <c r="Z99" s="2302"/>
      <c r="AA99" s="2302"/>
      <c r="AB99" s="2302"/>
      <c r="AC99" s="2302"/>
      <c r="AD99" s="2302"/>
      <c r="AE99" s="2302"/>
      <c r="AF99" s="2302"/>
      <c r="AG99" s="2302"/>
      <c r="AH99" s="2302"/>
      <c r="AI99" s="2302"/>
      <c r="AJ99" s="2302"/>
      <c r="AK99" s="2302"/>
      <c r="AL99" s="2302"/>
      <c r="AM99" s="2302"/>
      <c r="AN99" s="2302"/>
      <c r="AO99" s="2302"/>
      <c r="AP99" s="2302"/>
      <c r="AQ99" s="2302"/>
      <c r="AR99" s="2302"/>
      <c r="AS99" s="2302"/>
      <c r="AT99" s="2302"/>
      <c r="AU99" s="2302"/>
      <c r="AV99" s="2302"/>
      <c r="AW99" s="2302"/>
      <c r="AX99" s="2302"/>
      <c r="AY99" s="2302"/>
      <c r="AZ99" s="2302"/>
      <c r="BA99" s="2302"/>
      <c r="BB99" s="2302"/>
      <c r="BC99" s="2302"/>
      <c r="BD99" s="2303"/>
      <c r="BE99" s="1213"/>
    </row>
    <row r="100" spans="1:57" ht="15.75" customHeight="1" thickBot="1">
      <c r="A100" s="1207"/>
      <c r="B100" s="2350" t="s">
        <v>2252</v>
      </c>
      <c r="C100" s="2351"/>
      <c r="D100" s="2351"/>
      <c r="E100" s="2351"/>
      <c r="F100" s="2351"/>
      <c r="G100" s="2351"/>
      <c r="H100" s="2351"/>
      <c r="I100" s="2331">
        <v>0</v>
      </c>
      <c r="J100" s="2331"/>
      <c r="K100" s="2331"/>
      <c r="L100" s="2331"/>
      <c r="M100" s="2331"/>
      <c r="N100" s="2331"/>
      <c r="O100" s="2335"/>
      <c r="P100" s="2335"/>
      <c r="Q100" s="2335"/>
      <c r="R100" s="2335"/>
      <c r="S100" s="2335"/>
      <c r="T100" s="2335"/>
      <c r="U100" s="2336"/>
      <c r="V100" s="1207"/>
      <c r="W100" s="1207"/>
      <c r="X100" s="2301"/>
      <c r="Y100" s="2302"/>
      <c r="Z100" s="2302"/>
      <c r="AA100" s="2302"/>
      <c r="AB100" s="2302"/>
      <c r="AC100" s="2302"/>
      <c r="AD100" s="2302"/>
      <c r="AE100" s="2302"/>
      <c r="AF100" s="2302"/>
      <c r="AG100" s="2302"/>
      <c r="AH100" s="2302"/>
      <c r="AI100" s="2302"/>
      <c r="AJ100" s="2302"/>
      <c r="AK100" s="2302"/>
      <c r="AL100" s="2302"/>
      <c r="AM100" s="2302"/>
      <c r="AN100" s="2302"/>
      <c r="AO100" s="2302"/>
      <c r="AP100" s="2302"/>
      <c r="AQ100" s="2302"/>
      <c r="AR100" s="2302"/>
      <c r="AS100" s="2302"/>
      <c r="AT100" s="2302"/>
      <c r="AU100" s="2302"/>
      <c r="AV100" s="2302"/>
      <c r="AW100" s="2302"/>
      <c r="AX100" s="2302"/>
      <c r="AY100" s="2302"/>
      <c r="AZ100" s="2302"/>
      <c r="BA100" s="2302"/>
      <c r="BB100" s="2302"/>
      <c r="BC100" s="2302"/>
      <c r="BD100" s="2303"/>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1"/>
      <c r="Y101" s="2302"/>
      <c r="Z101" s="2302"/>
      <c r="AA101" s="2302"/>
      <c r="AB101" s="2302"/>
      <c r="AC101" s="2302"/>
      <c r="AD101" s="2302"/>
      <c r="AE101" s="2302"/>
      <c r="AF101" s="2302"/>
      <c r="AG101" s="2302"/>
      <c r="AH101" s="2302"/>
      <c r="AI101" s="2302"/>
      <c r="AJ101" s="2302"/>
      <c r="AK101" s="2302"/>
      <c r="AL101" s="2302"/>
      <c r="AM101" s="2302"/>
      <c r="AN101" s="2302"/>
      <c r="AO101" s="2302"/>
      <c r="AP101" s="2302"/>
      <c r="AQ101" s="2302"/>
      <c r="AR101" s="2302"/>
      <c r="AS101" s="2302"/>
      <c r="AT101" s="2302"/>
      <c r="AU101" s="2302"/>
      <c r="AV101" s="2302"/>
      <c r="AW101" s="2302"/>
      <c r="AX101" s="2302"/>
      <c r="AY101" s="2302"/>
      <c r="AZ101" s="2302"/>
      <c r="BA101" s="2302"/>
      <c r="BB101" s="2302"/>
      <c r="BC101" s="2302"/>
      <c r="BD101" s="2303"/>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1"/>
      <c r="Y102" s="2302"/>
      <c r="Z102" s="2302"/>
      <c r="AA102" s="2302"/>
      <c r="AB102" s="2302"/>
      <c r="AC102" s="2302"/>
      <c r="AD102" s="2302"/>
      <c r="AE102" s="2302"/>
      <c r="AF102" s="2302"/>
      <c r="AG102" s="2302"/>
      <c r="AH102" s="2302"/>
      <c r="AI102" s="2302"/>
      <c r="AJ102" s="2302"/>
      <c r="AK102" s="2302"/>
      <c r="AL102" s="2302"/>
      <c r="AM102" s="2302"/>
      <c r="AN102" s="2302"/>
      <c r="AO102" s="2302"/>
      <c r="AP102" s="2302"/>
      <c r="AQ102" s="2302"/>
      <c r="AR102" s="2302"/>
      <c r="AS102" s="2302"/>
      <c r="AT102" s="2302"/>
      <c r="AU102" s="2302"/>
      <c r="AV102" s="2302"/>
      <c r="AW102" s="2302"/>
      <c r="AX102" s="2302"/>
      <c r="AY102" s="2302"/>
      <c r="AZ102" s="2302"/>
      <c r="BA102" s="2302"/>
      <c r="BB102" s="2302"/>
      <c r="BC102" s="2302"/>
      <c r="BD102" s="2303"/>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1"/>
      <c r="Y103" s="2302"/>
      <c r="Z103" s="2302"/>
      <c r="AA103" s="2302"/>
      <c r="AB103" s="2302"/>
      <c r="AC103" s="2302"/>
      <c r="AD103" s="2302"/>
      <c r="AE103" s="2302"/>
      <c r="AF103" s="2302"/>
      <c r="AG103" s="2302"/>
      <c r="AH103" s="2302"/>
      <c r="AI103" s="2302"/>
      <c r="AJ103" s="2302"/>
      <c r="AK103" s="2302"/>
      <c r="AL103" s="2302"/>
      <c r="AM103" s="2302"/>
      <c r="AN103" s="2302"/>
      <c r="AO103" s="2302"/>
      <c r="AP103" s="2302"/>
      <c r="AQ103" s="2302"/>
      <c r="AR103" s="2302"/>
      <c r="AS103" s="2302"/>
      <c r="AT103" s="2302"/>
      <c r="AU103" s="2302"/>
      <c r="AV103" s="2302"/>
      <c r="AW103" s="2302"/>
      <c r="AX103" s="2302"/>
      <c r="AY103" s="2302"/>
      <c r="AZ103" s="2302"/>
      <c r="BA103" s="2302"/>
      <c r="BB103" s="2302"/>
      <c r="BC103" s="2302"/>
      <c r="BD103" s="2303"/>
      <c r="BE103" s="1213"/>
    </row>
    <row r="104" spans="1:57" ht="15.75" customHeight="1">
      <c r="A104" s="1207"/>
      <c r="B104" s="2182" t="s">
        <v>1905</v>
      </c>
      <c r="C104" s="2183"/>
      <c r="D104" s="2183"/>
      <c r="E104" s="2183"/>
      <c r="F104" s="2183"/>
      <c r="G104" s="2183"/>
      <c r="H104" s="2183"/>
      <c r="I104" s="2183"/>
      <c r="J104" s="2183"/>
      <c r="K104" s="2183"/>
      <c r="L104" s="2183"/>
      <c r="M104" s="2183"/>
      <c r="N104" s="2183"/>
      <c r="O104" s="2183"/>
      <c r="P104" s="2183"/>
      <c r="Q104" s="2183"/>
      <c r="R104" s="2183"/>
      <c r="S104" s="2183"/>
      <c r="T104" s="2183"/>
      <c r="U104" s="2184"/>
      <c r="V104" s="1207"/>
      <c r="W104" s="1207"/>
      <c r="X104" s="2301"/>
      <c r="Y104" s="2302"/>
      <c r="Z104" s="2302"/>
      <c r="AA104" s="2302"/>
      <c r="AB104" s="2302"/>
      <c r="AC104" s="2302"/>
      <c r="AD104" s="2302"/>
      <c r="AE104" s="2302"/>
      <c r="AF104" s="2302"/>
      <c r="AG104" s="2302"/>
      <c r="AH104" s="2302"/>
      <c r="AI104" s="2302"/>
      <c r="AJ104" s="2302"/>
      <c r="AK104" s="2302"/>
      <c r="AL104" s="2302"/>
      <c r="AM104" s="2302"/>
      <c r="AN104" s="2302"/>
      <c r="AO104" s="2302"/>
      <c r="AP104" s="2302"/>
      <c r="AQ104" s="2302"/>
      <c r="AR104" s="2302"/>
      <c r="AS104" s="2302"/>
      <c r="AT104" s="2302"/>
      <c r="AU104" s="2302"/>
      <c r="AV104" s="2302"/>
      <c r="AW104" s="2302"/>
      <c r="AX104" s="2302"/>
      <c r="AY104" s="2302"/>
      <c r="AZ104" s="2302"/>
      <c r="BA104" s="2302"/>
      <c r="BB104" s="2302"/>
      <c r="BC104" s="2302"/>
      <c r="BD104" s="2303"/>
      <c r="BE104" s="1213"/>
    </row>
    <row r="105" spans="1:57" ht="15.75" customHeight="1">
      <c r="A105" s="1207"/>
      <c r="B105" s="2337"/>
      <c r="C105" s="2338"/>
      <c r="D105" s="2338"/>
      <c r="E105" s="2338"/>
      <c r="F105" s="2338"/>
      <c r="G105" s="2338"/>
      <c r="H105" s="2338"/>
      <c r="I105" s="2339" t="s">
        <v>1898</v>
      </c>
      <c r="J105" s="2339"/>
      <c r="K105" s="2339"/>
      <c r="L105" s="2339"/>
      <c r="M105" s="2339"/>
      <c r="N105" s="2339"/>
      <c r="O105" s="2339"/>
      <c r="P105" s="2339" t="s">
        <v>2263</v>
      </c>
      <c r="Q105" s="2339"/>
      <c r="R105" s="2339"/>
      <c r="S105" s="2339"/>
      <c r="T105" s="2339"/>
      <c r="U105" s="2340"/>
      <c r="V105" s="1207"/>
      <c r="W105" s="1207"/>
      <c r="X105" s="2301"/>
      <c r="Y105" s="2302"/>
      <c r="Z105" s="2302"/>
      <c r="AA105" s="2302"/>
      <c r="AB105" s="2302"/>
      <c r="AC105" s="2302"/>
      <c r="AD105" s="2302"/>
      <c r="AE105" s="2302"/>
      <c r="AF105" s="2302"/>
      <c r="AG105" s="2302"/>
      <c r="AH105" s="2302"/>
      <c r="AI105" s="2302"/>
      <c r="AJ105" s="2302"/>
      <c r="AK105" s="2302"/>
      <c r="AL105" s="2302"/>
      <c r="AM105" s="2302"/>
      <c r="AN105" s="2302"/>
      <c r="AO105" s="2302"/>
      <c r="AP105" s="2302"/>
      <c r="AQ105" s="2302"/>
      <c r="AR105" s="2302"/>
      <c r="AS105" s="2302"/>
      <c r="AT105" s="2302"/>
      <c r="AU105" s="2302"/>
      <c r="AV105" s="2302"/>
      <c r="AW105" s="2302"/>
      <c r="AX105" s="2302"/>
      <c r="AY105" s="2302"/>
      <c r="AZ105" s="2302"/>
      <c r="BA105" s="2302"/>
      <c r="BB105" s="2302"/>
      <c r="BC105" s="2302"/>
      <c r="BD105" s="2303"/>
      <c r="BE105" s="1213"/>
    </row>
    <row r="106" spans="1:57" ht="15.75" customHeight="1">
      <c r="A106" s="1207"/>
      <c r="B106" s="2337"/>
      <c r="C106" s="2338"/>
      <c r="D106" s="2338"/>
      <c r="E106" s="2338"/>
      <c r="F106" s="2338"/>
      <c r="G106" s="2338"/>
      <c r="H106" s="2338"/>
      <c r="I106" s="2339"/>
      <c r="J106" s="2339"/>
      <c r="K106" s="2339"/>
      <c r="L106" s="2339"/>
      <c r="M106" s="2339"/>
      <c r="N106" s="2339"/>
      <c r="O106" s="2339"/>
      <c r="P106" s="2339"/>
      <c r="Q106" s="2339"/>
      <c r="R106" s="2339"/>
      <c r="S106" s="2339"/>
      <c r="T106" s="2339"/>
      <c r="U106" s="2340"/>
      <c r="V106" s="1207"/>
      <c r="W106" s="1207"/>
      <c r="X106" s="2301"/>
      <c r="Y106" s="2302"/>
      <c r="Z106" s="2302"/>
      <c r="AA106" s="2302"/>
      <c r="AB106" s="2302"/>
      <c r="AC106" s="2302"/>
      <c r="AD106" s="2302"/>
      <c r="AE106" s="2302"/>
      <c r="AF106" s="2302"/>
      <c r="AG106" s="2302"/>
      <c r="AH106" s="2302"/>
      <c r="AI106" s="2302"/>
      <c r="AJ106" s="2302"/>
      <c r="AK106" s="2302"/>
      <c r="AL106" s="2302"/>
      <c r="AM106" s="2302"/>
      <c r="AN106" s="2302"/>
      <c r="AO106" s="2302"/>
      <c r="AP106" s="2302"/>
      <c r="AQ106" s="2302"/>
      <c r="AR106" s="2302"/>
      <c r="AS106" s="2302"/>
      <c r="AT106" s="2302"/>
      <c r="AU106" s="2302"/>
      <c r="AV106" s="2302"/>
      <c r="AW106" s="2302"/>
      <c r="AX106" s="2302"/>
      <c r="AY106" s="2302"/>
      <c r="AZ106" s="2302"/>
      <c r="BA106" s="2302"/>
      <c r="BB106" s="2302"/>
      <c r="BC106" s="2302"/>
      <c r="BD106" s="2303"/>
      <c r="BE106" s="1213"/>
    </row>
    <row r="107" spans="1:57" ht="15.75" customHeight="1">
      <c r="A107" s="1207"/>
      <c r="B107" s="2348" t="s">
        <v>2251</v>
      </c>
      <c r="C107" s="2349"/>
      <c r="D107" s="2349"/>
      <c r="E107" s="2349"/>
      <c r="F107" s="2349"/>
      <c r="G107" s="2349"/>
      <c r="H107" s="2349"/>
      <c r="I107" s="2324">
        <v>0</v>
      </c>
      <c r="J107" s="2324"/>
      <c r="K107" s="2324"/>
      <c r="L107" s="2324"/>
      <c r="M107" s="2324"/>
      <c r="N107" s="2324"/>
      <c r="O107" s="2324"/>
      <c r="P107" s="2324">
        <v>0</v>
      </c>
      <c r="Q107" s="2324"/>
      <c r="R107" s="2324"/>
      <c r="S107" s="2324"/>
      <c r="T107" s="2324"/>
      <c r="U107" s="2333"/>
      <c r="V107" s="1207"/>
      <c r="W107" s="1207"/>
      <c r="X107" s="2301"/>
      <c r="Y107" s="2302"/>
      <c r="Z107" s="2302"/>
      <c r="AA107" s="2302"/>
      <c r="AB107" s="2302"/>
      <c r="AC107" s="2302"/>
      <c r="AD107" s="2302"/>
      <c r="AE107" s="2302"/>
      <c r="AF107" s="2302"/>
      <c r="AG107" s="2302"/>
      <c r="AH107" s="2302"/>
      <c r="AI107" s="2302"/>
      <c r="AJ107" s="2302"/>
      <c r="AK107" s="2302"/>
      <c r="AL107" s="2302"/>
      <c r="AM107" s="2302"/>
      <c r="AN107" s="2302"/>
      <c r="AO107" s="2302"/>
      <c r="AP107" s="2302"/>
      <c r="AQ107" s="2302"/>
      <c r="AR107" s="2302"/>
      <c r="AS107" s="2302"/>
      <c r="AT107" s="2302"/>
      <c r="AU107" s="2302"/>
      <c r="AV107" s="2302"/>
      <c r="AW107" s="2302"/>
      <c r="AX107" s="2302"/>
      <c r="AY107" s="2302"/>
      <c r="AZ107" s="2302"/>
      <c r="BA107" s="2302"/>
      <c r="BB107" s="2302"/>
      <c r="BC107" s="2302"/>
      <c r="BD107" s="2303"/>
      <c r="BE107" s="1213"/>
    </row>
    <row r="108" spans="1:57" ht="15.75" customHeight="1" thickBot="1">
      <c r="A108" s="1207"/>
      <c r="B108" s="2350" t="s">
        <v>2252</v>
      </c>
      <c r="C108" s="2351"/>
      <c r="D108" s="2351"/>
      <c r="E108" s="2351"/>
      <c r="F108" s="2351"/>
      <c r="G108" s="2351"/>
      <c r="H108" s="2351"/>
      <c r="I108" s="2331">
        <v>0</v>
      </c>
      <c r="J108" s="2331"/>
      <c r="K108" s="2331"/>
      <c r="L108" s="2331"/>
      <c r="M108" s="2331"/>
      <c r="N108" s="2331"/>
      <c r="O108" s="2331"/>
      <c r="P108" s="2331">
        <v>0</v>
      </c>
      <c r="Q108" s="2331"/>
      <c r="R108" s="2331"/>
      <c r="S108" s="2331"/>
      <c r="T108" s="2331"/>
      <c r="U108" s="2332"/>
      <c r="V108" s="1207"/>
      <c r="W108" s="1207"/>
      <c r="X108" s="2304"/>
      <c r="Y108" s="2305"/>
      <c r="Z108" s="2305"/>
      <c r="AA108" s="2305"/>
      <c r="AB108" s="2305"/>
      <c r="AC108" s="2305"/>
      <c r="AD108" s="2305"/>
      <c r="AE108" s="2305"/>
      <c r="AF108" s="2305"/>
      <c r="AG108" s="2305"/>
      <c r="AH108" s="2305"/>
      <c r="AI108" s="2305"/>
      <c r="AJ108" s="2305"/>
      <c r="AK108" s="2305"/>
      <c r="AL108" s="2305"/>
      <c r="AM108" s="2305"/>
      <c r="AN108" s="2305"/>
      <c r="AO108" s="2305"/>
      <c r="AP108" s="2305"/>
      <c r="AQ108" s="2305"/>
      <c r="AR108" s="2305"/>
      <c r="AS108" s="2305"/>
      <c r="AT108" s="2305"/>
      <c r="AU108" s="2305"/>
      <c r="AV108" s="2305"/>
      <c r="AW108" s="2305"/>
      <c r="AX108" s="2305"/>
      <c r="AY108" s="2305"/>
      <c r="AZ108" s="2305"/>
      <c r="BA108" s="2305"/>
      <c r="BB108" s="2305"/>
      <c r="BC108" s="2305"/>
      <c r="BD108" s="2306"/>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2" t="s">
        <v>1906</v>
      </c>
      <c r="C110" s="2353"/>
      <c r="D110" s="2353"/>
      <c r="E110" s="2353"/>
      <c r="F110" s="2353"/>
      <c r="G110" s="2353"/>
      <c r="H110" s="2353"/>
      <c r="I110" s="2353"/>
      <c r="J110" s="2353"/>
      <c r="K110" s="2353"/>
      <c r="L110" s="2353"/>
      <c r="M110" s="2353"/>
      <c r="N110" s="2353"/>
      <c r="O110" s="2353"/>
      <c r="P110" s="2353"/>
      <c r="Q110" s="2353"/>
      <c r="R110" s="2353"/>
      <c r="S110" s="2353"/>
      <c r="T110" s="2353"/>
      <c r="U110" s="2353"/>
      <c r="V110" s="2353"/>
      <c r="W110" s="2353"/>
      <c r="X110" s="2353"/>
      <c r="Y110" s="2353"/>
      <c r="Z110" s="2353"/>
      <c r="AA110" s="2353"/>
      <c r="AB110" s="2353"/>
      <c r="AC110" s="2353"/>
      <c r="AD110" s="2353"/>
      <c r="AE110" s="2353"/>
      <c r="AF110" s="2353"/>
      <c r="AG110" s="2353"/>
      <c r="AH110" s="2273" t="s">
        <v>555</v>
      </c>
      <c r="AI110" s="2273"/>
      <c r="AJ110" s="2273"/>
      <c r="AK110" s="2273"/>
      <c r="AL110" s="2273"/>
      <c r="AM110" s="2273"/>
      <c r="AN110" s="2273"/>
      <c r="AO110" s="2273"/>
      <c r="AP110" s="2273"/>
      <c r="AQ110" s="2273"/>
      <c r="AR110" s="2273"/>
      <c r="AS110" s="2273"/>
      <c r="AT110" s="2273"/>
      <c r="AU110" s="2273"/>
      <c r="AV110" s="2273"/>
      <c r="AW110" s="2273"/>
      <c r="AX110" s="2274"/>
      <c r="AY110" s="1207"/>
      <c r="AZ110" s="1207"/>
      <c r="BA110" s="1207"/>
      <c r="BB110" s="1207"/>
      <c r="BC110" s="1207"/>
      <c r="BD110" s="1207"/>
      <c r="BE110" s="1213"/>
    </row>
    <row r="111" spans="1:57" ht="15.75" customHeight="1">
      <c r="A111" s="1207"/>
      <c r="B111" s="2354" t="s">
        <v>1907</v>
      </c>
      <c r="C111" s="2355"/>
      <c r="D111" s="2355"/>
      <c r="E111" s="2355"/>
      <c r="F111" s="2355"/>
      <c r="G111" s="2355"/>
      <c r="H111" s="2355"/>
      <c r="I111" s="2355"/>
      <c r="J111" s="2355"/>
      <c r="K111" s="2355"/>
      <c r="L111" s="2355"/>
      <c r="M111" s="2355"/>
      <c r="N111" s="2355"/>
      <c r="O111" s="2355"/>
      <c r="P111" s="2355"/>
      <c r="Q111" s="2355"/>
      <c r="R111" s="2356" t="s">
        <v>2265</v>
      </c>
      <c r="S111" s="2356"/>
      <c r="T111" s="2356"/>
      <c r="U111" s="2356"/>
      <c r="V111" s="2356"/>
      <c r="W111" s="2356"/>
      <c r="X111" s="2356"/>
      <c r="Y111" s="2356"/>
      <c r="Z111" s="2356"/>
      <c r="AA111" s="2356"/>
      <c r="AB111" s="2356"/>
      <c r="AC111" s="2356"/>
      <c r="AD111" s="2356"/>
      <c r="AE111" s="2356"/>
      <c r="AF111" s="2356"/>
      <c r="AG111" s="2356"/>
      <c r="AH111" s="2356"/>
      <c r="AI111" s="2356"/>
      <c r="AJ111" s="2356"/>
      <c r="AK111" s="2356"/>
      <c r="AL111" s="2356"/>
      <c r="AM111" s="2356"/>
      <c r="AN111" s="2356"/>
      <c r="AO111" s="2356"/>
      <c r="AP111" s="2356"/>
      <c r="AQ111" s="2356"/>
      <c r="AR111" s="2356"/>
      <c r="AS111" s="2356"/>
      <c r="AT111" s="2356"/>
      <c r="AU111" s="2356"/>
      <c r="AV111" s="2356"/>
      <c r="AW111" s="2356"/>
      <c r="AX111" s="2357"/>
      <c r="AY111" s="1207"/>
      <c r="AZ111" s="1207"/>
      <c r="BA111" s="1207"/>
      <c r="BB111" s="1207"/>
      <c r="BC111" s="1207" t="s">
        <v>252</v>
      </c>
      <c r="BD111" s="1207"/>
      <c r="BE111" s="1213"/>
    </row>
    <row r="112" spans="1:57" ht="15.75" customHeight="1">
      <c r="A112" s="1207"/>
      <c r="B112" s="2358" t="s">
        <v>2266</v>
      </c>
      <c r="C112" s="2359"/>
      <c r="D112" s="2359"/>
      <c r="E112" s="2359"/>
      <c r="F112" s="2359"/>
      <c r="G112" s="2359"/>
      <c r="H112" s="2359"/>
      <c r="I112" s="2359"/>
      <c r="J112" s="2359"/>
      <c r="K112" s="2359"/>
      <c r="L112" s="2359"/>
      <c r="M112" s="2359"/>
      <c r="N112" s="2359"/>
      <c r="O112" s="2359"/>
      <c r="P112" s="2359"/>
      <c r="Q112" s="2359"/>
      <c r="R112" s="2359"/>
      <c r="S112" s="2359"/>
      <c r="T112" s="2359"/>
      <c r="U112" s="2359"/>
      <c r="V112" s="2359"/>
      <c r="W112" s="2359"/>
      <c r="X112" s="2359"/>
      <c r="Y112" s="2359"/>
      <c r="Z112" s="2359"/>
      <c r="AA112" s="2359"/>
      <c r="AB112" s="2359"/>
      <c r="AC112" s="2359"/>
      <c r="AD112" s="2359"/>
      <c r="AE112" s="2359"/>
      <c r="AF112" s="2359"/>
      <c r="AG112" s="2359"/>
      <c r="AH112" s="2359"/>
      <c r="AI112" s="2359"/>
      <c r="AJ112" s="2359"/>
      <c r="AK112" s="2359"/>
      <c r="AL112" s="2359"/>
      <c r="AM112" s="2359"/>
      <c r="AN112" s="2359"/>
      <c r="AO112" s="2359"/>
      <c r="AP112" s="2359"/>
      <c r="AQ112" s="2359"/>
      <c r="AR112" s="2359"/>
      <c r="AS112" s="2359"/>
      <c r="AT112" s="2359"/>
      <c r="AU112" s="2359"/>
      <c r="AV112" s="2359"/>
      <c r="AW112" s="2359"/>
      <c r="AX112" s="2360"/>
      <c r="AY112" s="1207"/>
      <c r="AZ112" s="1207"/>
      <c r="BA112" s="1207"/>
      <c r="BB112" s="1207"/>
      <c r="BC112" s="1207"/>
      <c r="BD112" s="1207"/>
      <c r="BE112" s="1213"/>
    </row>
    <row r="113" spans="1:57" ht="15.75" customHeight="1">
      <c r="A113" s="1207"/>
      <c r="B113" s="2358"/>
      <c r="C113" s="2359"/>
      <c r="D113" s="2359"/>
      <c r="E113" s="2359"/>
      <c r="F113" s="2359"/>
      <c r="G113" s="2359"/>
      <c r="H113" s="2359"/>
      <c r="I113" s="2359"/>
      <c r="J113" s="2359"/>
      <c r="K113" s="2359"/>
      <c r="L113" s="2359"/>
      <c r="M113" s="2359"/>
      <c r="N113" s="2359"/>
      <c r="O113" s="2359"/>
      <c r="P113" s="2359"/>
      <c r="Q113" s="2359"/>
      <c r="R113" s="2359"/>
      <c r="S113" s="2359"/>
      <c r="T113" s="2359"/>
      <c r="U113" s="2359"/>
      <c r="V113" s="2359"/>
      <c r="W113" s="2359"/>
      <c r="X113" s="2359"/>
      <c r="Y113" s="2359"/>
      <c r="Z113" s="2359"/>
      <c r="AA113" s="2359"/>
      <c r="AB113" s="2359"/>
      <c r="AC113" s="2359"/>
      <c r="AD113" s="2359"/>
      <c r="AE113" s="2359"/>
      <c r="AF113" s="2359"/>
      <c r="AG113" s="2359"/>
      <c r="AH113" s="2359"/>
      <c r="AI113" s="2359"/>
      <c r="AJ113" s="2359"/>
      <c r="AK113" s="2359"/>
      <c r="AL113" s="2359"/>
      <c r="AM113" s="2359"/>
      <c r="AN113" s="2359"/>
      <c r="AO113" s="2359"/>
      <c r="AP113" s="2359"/>
      <c r="AQ113" s="2359"/>
      <c r="AR113" s="2359"/>
      <c r="AS113" s="2359"/>
      <c r="AT113" s="2359"/>
      <c r="AU113" s="2359"/>
      <c r="AV113" s="2359"/>
      <c r="AW113" s="2359"/>
      <c r="AX113" s="2360"/>
      <c r="AY113" s="1207"/>
      <c r="AZ113" s="1207"/>
      <c r="BA113" s="1207"/>
      <c r="BB113" s="1207"/>
      <c r="BC113" s="1207"/>
      <c r="BD113" s="1207"/>
      <c r="BE113" s="1213"/>
    </row>
    <row r="114" spans="1:57" ht="15.75" customHeight="1">
      <c r="A114" s="1207"/>
      <c r="B114" s="2358"/>
      <c r="C114" s="2359"/>
      <c r="D114" s="2359"/>
      <c r="E114" s="2359"/>
      <c r="F114" s="2359"/>
      <c r="G114" s="2359"/>
      <c r="H114" s="2359"/>
      <c r="I114" s="2359"/>
      <c r="J114" s="2359"/>
      <c r="K114" s="2359"/>
      <c r="L114" s="2359"/>
      <c r="M114" s="2359"/>
      <c r="N114" s="2359"/>
      <c r="O114" s="2359"/>
      <c r="P114" s="2359"/>
      <c r="Q114" s="2359"/>
      <c r="R114" s="2359"/>
      <c r="S114" s="2359"/>
      <c r="T114" s="2359"/>
      <c r="U114" s="2359"/>
      <c r="V114" s="2359"/>
      <c r="W114" s="2359"/>
      <c r="X114" s="2359"/>
      <c r="Y114" s="2359"/>
      <c r="Z114" s="2359"/>
      <c r="AA114" s="2359"/>
      <c r="AB114" s="2359"/>
      <c r="AC114" s="2359"/>
      <c r="AD114" s="2359"/>
      <c r="AE114" s="2359"/>
      <c r="AF114" s="2359"/>
      <c r="AG114" s="2359"/>
      <c r="AH114" s="2359"/>
      <c r="AI114" s="2359"/>
      <c r="AJ114" s="2359"/>
      <c r="AK114" s="2359"/>
      <c r="AL114" s="2359"/>
      <c r="AM114" s="2359"/>
      <c r="AN114" s="2359"/>
      <c r="AO114" s="2359"/>
      <c r="AP114" s="2359"/>
      <c r="AQ114" s="2359"/>
      <c r="AR114" s="2359"/>
      <c r="AS114" s="2359"/>
      <c r="AT114" s="2359"/>
      <c r="AU114" s="2359"/>
      <c r="AV114" s="2359"/>
      <c r="AW114" s="2359"/>
      <c r="AX114" s="2360"/>
      <c r="AY114" s="1207"/>
      <c r="AZ114" s="1207"/>
      <c r="BA114" s="1207"/>
      <c r="BB114" s="1207"/>
      <c r="BC114" s="1207"/>
      <c r="BD114" s="1207"/>
      <c r="BE114" s="1213"/>
    </row>
    <row r="115" spans="1:57" ht="15.75" customHeight="1">
      <c r="A115" s="1207"/>
      <c r="B115" s="2358"/>
      <c r="C115" s="2359"/>
      <c r="D115" s="2359"/>
      <c r="E115" s="2359"/>
      <c r="F115" s="2359"/>
      <c r="G115" s="2359"/>
      <c r="H115" s="2359"/>
      <c r="I115" s="2359"/>
      <c r="J115" s="2359"/>
      <c r="K115" s="2359"/>
      <c r="L115" s="2359"/>
      <c r="M115" s="2359"/>
      <c r="N115" s="2359"/>
      <c r="O115" s="2359"/>
      <c r="P115" s="2359"/>
      <c r="Q115" s="2359"/>
      <c r="R115" s="2359"/>
      <c r="S115" s="2359"/>
      <c r="T115" s="2359"/>
      <c r="U115" s="2359"/>
      <c r="V115" s="2359"/>
      <c r="W115" s="2359"/>
      <c r="X115" s="2359"/>
      <c r="Y115" s="2359"/>
      <c r="Z115" s="2359"/>
      <c r="AA115" s="2359"/>
      <c r="AB115" s="2359"/>
      <c r="AC115" s="2359"/>
      <c r="AD115" s="2359"/>
      <c r="AE115" s="2359"/>
      <c r="AF115" s="2359"/>
      <c r="AG115" s="2359"/>
      <c r="AH115" s="2359"/>
      <c r="AI115" s="2359"/>
      <c r="AJ115" s="2359"/>
      <c r="AK115" s="2359"/>
      <c r="AL115" s="2359"/>
      <c r="AM115" s="2359"/>
      <c r="AN115" s="2359"/>
      <c r="AO115" s="2359"/>
      <c r="AP115" s="2359"/>
      <c r="AQ115" s="2359"/>
      <c r="AR115" s="2359"/>
      <c r="AS115" s="2359"/>
      <c r="AT115" s="2359"/>
      <c r="AU115" s="2359"/>
      <c r="AV115" s="2359"/>
      <c r="AW115" s="2359"/>
      <c r="AX115" s="2360"/>
      <c r="AY115" s="1207"/>
      <c r="AZ115" s="1207"/>
      <c r="BA115" s="1207"/>
      <c r="BB115" s="1207"/>
      <c r="BC115" s="1207"/>
      <c r="BD115" s="1207"/>
      <c r="BE115" s="1213"/>
    </row>
    <row r="116" spans="1:57" ht="15.75" customHeight="1">
      <c r="A116" s="1207"/>
      <c r="B116" s="2358"/>
      <c r="C116" s="2359"/>
      <c r="D116" s="2359"/>
      <c r="E116" s="2359"/>
      <c r="F116" s="2359"/>
      <c r="G116" s="2359"/>
      <c r="H116" s="2359"/>
      <c r="I116" s="2359"/>
      <c r="J116" s="2359"/>
      <c r="K116" s="2359"/>
      <c r="L116" s="2359"/>
      <c r="M116" s="2359"/>
      <c r="N116" s="2359"/>
      <c r="O116" s="2359"/>
      <c r="P116" s="2359"/>
      <c r="Q116" s="2359"/>
      <c r="R116" s="2359"/>
      <c r="S116" s="2359"/>
      <c r="T116" s="2359"/>
      <c r="U116" s="2359"/>
      <c r="V116" s="2359"/>
      <c r="W116" s="2359"/>
      <c r="X116" s="2359"/>
      <c r="Y116" s="2359"/>
      <c r="Z116" s="2359"/>
      <c r="AA116" s="2359"/>
      <c r="AB116" s="2359"/>
      <c r="AC116" s="2359"/>
      <c r="AD116" s="2359"/>
      <c r="AE116" s="2359"/>
      <c r="AF116" s="2359"/>
      <c r="AG116" s="2359"/>
      <c r="AH116" s="2359"/>
      <c r="AI116" s="2359"/>
      <c r="AJ116" s="2359"/>
      <c r="AK116" s="2359"/>
      <c r="AL116" s="2359"/>
      <c r="AM116" s="2359"/>
      <c r="AN116" s="2359"/>
      <c r="AO116" s="2359"/>
      <c r="AP116" s="2359"/>
      <c r="AQ116" s="2359"/>
      <c r="AR116" s="2359"/>
      <c r="AS116" s="2359"/>
      <c r="AT116" s="2359"/>
      <c r="AU116" s="2359"/>
      <c r="AV116" s="2359"/>
      <c r="AW116" s="2359"/>
      <c r="AX116" s="2360"/>
      <c r="AY116" s="1207"/>
      <c r="AZ116" s="1207"/>
      <c r="BA116" s="1207"/>
      <c r="BB116" s="1207"/>
      <c r="BC116" s="1207"/>
      <c r="BD116" s="1207"/>
      <c r="BE116" s="1213"/>
    </row>
    <row r="117" spans="1:57" ht="15.75" customHeight="1">
      <c r="A117" s="1207"/>
      <c r="B117" s="2358"/>
      <c r="C117" s="2359"/>
      <c r="D117" s="2359"/>
      <c r="E117" s="2359"/>
      <c r="F117" s="2359"/>
      <c r="G117" s="2359"/>
      <c r="H117" s="2359"/>
      <c r="I117" s="2359"/>
      <c r="J117" s="2359"/>
      <c r="K117" s="2359"/>
      <c r="L117" s="2359"/>
      <c r="M117" s="2359"/>
      <c r="N117" s="2359"/>
      <c r="O117" s="2359"/>
      <c r="P117" s="2359"/>
      <c r="Q117" s="2359"/>
      <c r="R117" s="2359"/>
      <c r="S117" s="2359"/>
      <c r="T117" s="2359"/>
      <c r="U117" s="2359"/>
      <c r="V117" s="2359"/>
      <c r="W117" s="2359"/>
      <c r="X117" s="2359"/>
      <c r="Y117" s="2359"/>
      <c r="Z117" s="2359"/>
      <c r="AA117" s="2359"/>
      <c r="AB117" s="2359"/>
      <c r="AC117" s="2359"/>
      <c r="AD117" s="2359"/>
      <c r="AE117" s="2359"/>
      <c r="AF117" s="2359"/>
      <c r="AG117" s="2359"/>
      <c r="AH117" s="2359"/>
      <c r="AI117" s="2359"/>
      <c r="AJ117" s="2359"/>
      <c r="AK117" s="2359"/>
      <c r="AL117" s="2359"/>
      <c r="AM117" s="2359"/>
      <c r="AN117" s="2359"/>
      <c r="AO117" s="2359"/>
      <c r="AP117" s="2359"/>
      <c r="AQ117" s="2359"/>
      <c r="AR117" s="2359"/>
      <c r="AS117" s="2359"/>
      <c r="AT117" s="2359"/>
      <c r="AU117" s="2359"/>
      <c r="AV117" s="2359"/>
      <c r="AW117" s="2359"/>
      <c r="AX117" s="2360"/>
      <c r="AY117" s="1207"/>
      <c r="AZ117" s="1207"/>
      <c r="BA117" s="1207"/>
      <c r="BB117" s="1207"/>
      <c r="BC117" s="1207"/>
      <c r="BD117" s="1207"/>
      <c r="BE117" s="1213"/>
    </row>
    <row r="118" spans="1:57" ht="15.75" customHeight="1">
      <c r="A118" s="1207"/>
      <c r="B118" s="2358"/>
      <c r="C118" s="2359"/>
      <c r="D118" s="2359"/>
      <c r="E118" s="2359"/>
      <c r="F118" s="2359"/>
      <c r="G118" s="2359"/>
      <c r="H118" s="2359"/>
      <c r="I118" s="2359"/>
      <c r="J118" s="2359"/>
      <c r="K118" s="2359"/>
      <c r="L118" s="2359"/>
      <c r="M118" s="2359"/>
      <c r="N118" s="2359"/>
      <c r="O118" s="2359"/>
      <c r="P118" s="2359"/>
      <c r="Q118" s="2359"/>
      <c r="R118" s="2359"/>
      <c r="S118" s="2359"/>
      <c r="T118" s="2359"/>
      <c r="U118" s="2359"/>
      <c r="V118" s="2359"/>
      <c r="W118" s="2359"/>
      <c r="X118" s="2359"/>
      <c r="Y118" s="2359"/>
      <c r="Z118" s="2359"/>
      <c r="AA118" s="2359"/>
      <c r="AB118" s="2359"/>
      <c r="AC118" s="2359"/>
      <c r="AD118" s="2359"/>
      <c r="AE118" s="2359"/>
      <c r="AF118" s="2359"/>
      <c r="AG118" s="2359"/>
      <c r="AH118" s="2359"/>
      <c r="AI118" s="2359"/>
      <c r="AJ118" s="2359"/>
      <c r="AK118" s="2359"/>
      <c r="AL118" s="2359"/>
      <c r="AM118" s="2359"/>
      <c r="AN118" s="2359"/>
      <c r="AO118" s="2359"/>
      <c r="AP118" s="2359"/>
      <c r="AQ118" s="2359"/>
      <c r="AR118" s="2359"/>
      <c r="AS118" s="2359"/>
      <c r="AT118" s="2359"/>
      <c r="AU118" s="2359"/>
      <c r="AV118" s="2359"/>
      <c r="AW118" s="2359"/>
      <c r="AX118" s="2360"/>
      <c r="AY118" s="1207"/>
      <c r="AZ118" s="1207"/>
      <c r="BA118" s="1207"/>
      <c r="BB118" s="1207"/>
      <c r="BC118" s="1207"/>
      <c r="BD118" s="1207"/>
      <c r="BE118" s="1213"/>
    </row>
    <row r="119" spans="1:57" ht="15.75" customHeight="1">
      <c r="A119" s="1207"/>
      <c r="B119" s="2358"/>
      <c r="C119" s="2359"/>
      <c r="D119" s="2359"/>
      <c r="E119" s="2359"/>
      <c r="F119" s="2359"/>
      <c r="G119" s="2359"/>
      <c r="H119" s="2359"/>
      <c r="I119" s="2359"/>
      <c r="J119" s="2359"/>
      <c r="K119" s="2359"/>
      <c r="L119" s="2359"/>
      <c r="M119" s="2359"/>
      <c r="N119" s="2359"/>
      <c r="O119" s="2359"/>
      <c r="P119" s="2359"/>
      <c r="Q119" s="2359"/>
      <c r="R119" s="2359"/>
      <c r="S119" s="2359"/>
      <c r="T119" s="2359"/>
      <c r="U119" s="2359"/>
      <c r="V119" s="2359"/>
      <c r="W119" s="2359"/>
      <c r="X119" s="2359"/>
      <c r="Y119" s="2359"/>
      <c r="Z119" s="2359"/>
      <c r="AA119" s="2359"/>
      <c r="AB119" s="2359"/>
      <c r="AC119" s="2359"/>
      <c r="AD119" s="2359"/>
      <c r="AE119" s="2359"/>
      <c r="AF119" s="2359"/>
      <c r="AG119" s="2359"/>
      <c r="AH119" s="2359"/>
      <c r="AI119" s="2359"/>
      <c r="AJ119" s="2359"/>
      <c r="AK119" s="2359"/>
      <c r="AL119" s="2359"/>
      <c r="AM119" s="2359"/>
      <c r="AN119" s="2359"/>
      <c r="AO119" s="2359"/>
      <c r="AP119" s="2359"/>
      <c r="AQ119" s="2359"/>
      <c r="AR119" s="2359"/>
      <c r="AS119" s="2359"/>
      <c r="AT119" s="2359"/>
      <c r="AU119" s="2359"/>
      <c r="AV119" s="2359"/>
      <c r="AW119" s="2359"/>
      <c r="AX119" s="2360"/>
      <c r="AY119" s="1207"/>
      <c r="AZ119" s="1207"/>
      <c r="BA119" s="1207"/>
      <c r="BB119" s="1207"/>
      <c r="BC119" s="1207"/>
      <c r="BD119" s="1207"/>
      <c r="BE119" s="1213"/>
    </row>
    <row r="120" spans="1:57" ht="15.75" customHeight="1">
      <c r="A120" s="1207"/>
      <c r="B120" s="2358"/>
      <c r="C120" s="2359"/>
      <c r="D120" s="2359"/>
      <c r="E120" s="2359"/>
      <c r="F120" s="2359"/>
      <c r="G120" s="2359"/>
      <c r="H120" s="2359"/>
      <c r="I120" s="2359"/>
      <c r="J120" s="2359"/>
      <c r="K120" s="2359"/>
      <c r="L120" s="2359"/>
      <c r="M120" s="2359"/>
      <c r="N120" s="2359"/>
      <c r="O120" s="2359"/>
      <c r="P120" s="2359"/>
      <c r="Q120" s="2359"/>
      <c r="R120" s="2359"/>
      <c r="S120" s="2359"/>
      <c r="T120" s="2359"/>
      <c r="U120" s="2359"/>
      <c r="V120" s="2359"/>
      <c r="W120" s="2359"/>
      <c r="X120" s="2359"/>
      <c r="Y120" s="2359"/>
      <c r="Z120" s="2359"/>
      <c r="AA120" s="2359"/>
      <c r="AB120" s="2359"/>
      <c r="AC120" s="2359"/>
      <c r="AD120" s="2359"/>
      <c r="AE120" s="2359"/>
      <c r="AF120" s="2359"/>
      <c r="AG120" s="2359"/>
      <c r="AH120" s="2359"/>
      <c r="AI120" s="2359"/>
      <c r="AJ120" s="2359"/>
      <c r="AK120" s="2359"/>
      <c r="AL120" s="2359"/>
      <c r="AM120" s="2359"/>
      <c r="AN120" s="2359"/>
      <c r="AO120" s="2359"/>
      <c r="AP120" s="2359"/>
      <c r="AQ120" s="2359"/>
      <c r="AR120" s="2359"/>
      <c r="AS120" s="2359"/>
      <c r="AT120" s="2359"/>
      <c r="AU120" s="2359"/>
      <c r="AV120" s="2359"/>
      <c r="AW120" s="2359"/>
      <c r="AX120" s="2360"/>
      <c r="AY120" s="1207"/>
      <c r="AZ120" s="1207"/>
      <c r="BA120" s="1207"/>
      <c r="BB120" s="1207"/>
      <c r="BC120" s="1207"/>
      <c r="BD120" s="1207"/>
      <c r="BE120" s="1213"/>
    </row>
    <row r="121" spans="1:57" ht="15.75" customHeight="1" thickBot="1">
      <c r="A121" s="1207"/>
      <c r="B121" s="2361"/>
      <c r="C121" s="2362"/>
      <c r="D121" s="2362"/>
      <c r="E121" s="2362"/>
      <c r="F121" s="2362"/>
      <c r="G121" s="2362"/>
      <c r="H121" s="2362"/>
      <c r="I121" s="2362"/>
      <c r="J121" s="2362"/>
      <c r="K121" s="2362"/>
      <c r="L121" s="2362"/>
      <c r="M121" s="2362"/>
      <c r="N121" s="2362"/>
      <c r="O121" s="2362"/>
      <c r="P121" s="2362"/>
      <c r="Q121" s="2362"/>
      <c r="R121" s="2362"/>
      <c r="S121" s="2362"/>
      <c r="T121" s="2362"/>
      <c r="U121" s="2362"/>
      <c r="V121" s="2362"/>
      <c r="W121" s="2362"/>
      <c r="X121" s="2362"/>
      <c r="Y121" s="2362"/>
      <c r="Z121" s="2362"/>
      <c r="AA121" s="2362"/>
      <c r="AB121" s="2362"/>
      <c r="AC121" s="2362"/>
      <c r="AD121" s="2362"/>
      <c r="AE121" s="2362"/>
      <c r="AF121" s="2362"/>
      <c r="AG121" s="2362"/>
      <c r="AH121" s="2362"/>
      <c r="AI121" s="2362"/>
      <c r="AJ121" s="2362"/>
      <c r="AK121" s="2362"/>
      <c r="AL121" s="2362"/>
      <c r="AM121" s="2362"/>
      <c r="AN121" s="2362"/>
      <c r="AO121" s="2362"/>
      <c r="AP121" s="2362"/>
      <c r="AQ121" s="2362"/>
      <c r="AR121" s="2362"/>
      <c r="AS121" s="2362"/>
      <c r="AT121" s="2362"/>
      <c r="AU121" s="2362"/>
      <c r="AV121" s="2362"/>
      <c r="AW121" s="2362"/>
      <c r="AX121" s="2363"/>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0" t="s">
        <v>1909</v>
      </c>
      <c r="C125" s="2221"/>
      <c r="D125" s="2221"/>
      <c r="E125" s="2221"/>
      <c r="F125" s="2221"/>
      <c r="G125" s="2221"/>
      <c r="H125" s="2221"/>
      <c r="I125" s="2221"/>
      <c r="J125" s="2221"/>
      <c r="K125" s="2221"/>
      <c r="L125" s="2221"/>
      <c r="M125" s="2221"/>
      <c r="N125" s="2221"/>
      <c r="O125" s="2221"/>
      <c r="P125" s="2221"/>
      <c r="Q125" s="2221"/>
      <c r="R125" s="2221"/>
      <c r="S125" s="2221"/>
      <c r="T125" s="2221"/>
      <c r="U125" s="2222"/>
      <c r="V125" s="1207"/>
      <c r="W125" s="1209"/>
      <c r="X125" s="2220" t="s">
        <v>2268</v>
      </c>
      <c r="Y125" s="2221"/>
      <c r="Z125" s="2221"/>
      <c r="AA125" s="2221"/>
      <c r="AB125" s="2221"/>
      <c r="AC125" s="2221"/>
      <c r="AD125" s="2221"/>
      <c r="AE125" s="2221"/>
      <c r="AF125" s="2221"/>
      <c r="AG125" s="2221"/>
      <c r="AH125" s="2221"/>
      <c r="AI125" s="2221"/>
      <c r="AJ125" s="2221"/>
      <c r="AK125" s="2221"/>
      <c r="AL125" s="2221"/>
      <c r="AM125" s="2221"/>
      <c r="AN125" s="2221"/>
      <c r="AO125" s="2221"/>
      <c r="AP125" s="2221"/>
      <c r="AQ125" s="2222"/>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7"/>
      <c r="C126" s="2338"/>
      <c r="D126" s="2338"/>
      <c r="E126" s="2338"/>
      <c r="F126" s="2338"/>
      <c r="G126" s="2338"/>
      <c r="H126" s="2338"/>
      <c r="I126" s="2339" t="s">
        <v>1898</v>
      </c>
      <c r="J126" s="2339"/>
      <c r="K126" s="2339"/>
      <c r="L126" s="2339"/>
      <c r="M126" s="2339"/>
      <c r="N126" s="2339"/>
      <c r="O126" s="2339"/>
      <c r="P126" s="2339" t="s">
        <v>2269</v>
      </c>
      <c r="Q126" s="2339"/>
      <c r="R126" s="2339"/>
      <c r="S126" s="2339"/>
      <c r="T126" s="2339"/>
      <c r="U126" s="2340"/>
      <c r="V126" s="1207"/>
      <c r="W126" s="1207"/>
      <c r="X126" s="2337"/>
      <c r="Y126" s="2338"/>
      <c r="Z126" s="2338"/>
      <c r="AA126" s="2338"/>
      <c r="AB126" s="2338"/>
      <c r="AC126" s="2338"/>
      <c r="AD126" s="2338"/>
      <c r="AE126" s="2339" t="s">
        <v>1898</v>
      </c>
      <c r="AF126" s="2339"/>
      <c r="AG126" s="2339"/>
      <c r="AH126" s="2339"/>
      <c r="AI126" s="2339"/>
      <c r="AJ126" s="2339"/>
      <c r="AK126" s="2339"/>
      <c r="AL126" s="2339" t="s">
        <v>2263</v>
      </c>
      <c r="AM126" s="2339"/>
      <c r="AN126" s="2339"/>
      <c r="AO126" s="2339"/>
      <c r="AP126" s="2339"/>
      <c r="AQ126" s="2340"/>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7"/>
      <c r="C127" s="2338"/>
      <c r="D127" s="2338"/>
      <c r="E127" s="2338"/>
      <c r="F127" s="2338"/>
      <c r="G127" s="2338"/>
      <c r="H127" s="2338"/>
      <c r="I127" s="2339"/>
      <c r="J127" s="2339"/>
      <c r="K127" s="2339"/>
      <c r="L127" s="2339"/>
      <c r="M127" s="2339"/>
      <c r="N127" s="2339"/>
      <c r="O127" s="2339"/>
      <c r="P127" s="2339"/>
      <c r="Q127" s="2339"/>
      <c r="R127" s="2339"/>
      <c r="S127" s="2339"/>
      <c r="T127" s="2339"/>
      <c r="U127" s="2340"/>
      <c r="V127" s="1207"/>
      <c r="W127" s="1207"/>
      <c r="X127" s="2337"/>
      <c r="Y127" s="2338"/>
      <c r="Z127" s="2338"/>
      <c r="AA127" s="2338"/>
      <c r="AB127" s="2338"/>
      <c r="AC127" s="2338"/>
      <c r="AD127" s="2338"/>
      <c r="AE127" s="2339"/>
      <c r="AF127" s="2339"/>
      <c r="AG127" s="2339"/>
      <c r="AH127" s="2339"/>
      <c r="AI127" s="2339"/>
      <c r="AJ127" s="2339"/>
      <c r="AK127" s="2339"/>
      <c r="AL127" s="2339"/>
      <c r="AM127" s="2339"/>
      <c r="AN127" s="2339"/>
      <c r="AO127" s="2339"/>
      <c r="AP127" s="2339"/>
      <c r="AQ127" s="234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8" t="s">
        <v>2251</v>
      </c>
      <c r="C128" s="2349"/>
      <c r="D128" s="2349"/>
      <c r="E128" s="2349"/>
      <c r="F128" s="2349"/>
      <c r="G128" s="2349"/>
      <c r="H128" s="2349"/>
      <c r="I128" s="2324">
        <v>0</v>
      </c>
      <c r="J128" s="2324"/>
      <c r="K128" s="2324"/>
      <c r="L128" s="2324"/>
      <c r="M128" s="2324"/>
      <c r="N128" s="2324"/>
      <c r="O128" s="2324"/>
      <c r="P128" s="2324">
        <v>0</v>
      </c>
      <c r="Q128" s="2324"/>
      <c r="R128" s="2324"/>
      <c r="S128" s="2324"/>
      <c r="T128" s="2324"/>
      <c r="U128" s="2333"/>
      <c r="V128" s="1207"/>
      <c r="W128" s="1207"/>
      <c r="X128" s="2350" t="s">
        <v>2251</v>
      </c>
      <c r="Y128" s="2351"/>
      <c r="Z128" s="2351"/>
      <c r="AA128" s="2351"/>
      <c r="AB128" s="2351"/>
      <c r="AC128" s="2351"/>
      <c r="AD128" s="2351"/>
      <c r="AE128" s="2331">
        <v>0</v>
      </c>
      <c r="AF128" s="2331"/>
      <c r="AG128" s="2331"/>
      <c r="AH128" s="2331"/>
      <c r="AI128" s="2331"/>
      <c r="AJ128" s="2331"/>
      <c r="AK128" s="2331"/>
      <c r="AL128" s="2331">
        <v>0</v>
      </c>
      <c r="AM128" s="2331"/>
      <c r="AN128" s="2331"/>
      <c r="AO128" s="2331"/>
      <c r="AP128" s="2331"/>
      <c r="AQ128" s="233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0" t="s">
        <v>2252</v>
      </c>
      <c r="C129" s="2351"/>
      <c r="D129" s="2351"/>
      <c r="E129" s="2351"/>
      <c r="F129" s="2351"/>
      <c r="G129" s="2351"/>
      <c r="H129" s="2351"/>
      <c r="I129" s="2331">
        <v>0</v>
      </c>
      <c r="J129" s="2331"/>
      <c r="K129" s="2331"/>
      <c r="L129" s="2331"/>
      <c r="M129" s="2331"/>
      <c r="N129" s="2331"/>
      <c r="O129" s="2331"/>
      <c r="P129" s="2331">
        <v>0</v>
      </c>
      <c r="Q129" s="2331"/>
      <c r="R129" s="2331"/>
      <c r="S129" s="2331"/>
      <c r="T129" s="2331"/>
      <c r="U129" s="233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0" t="s">
        <v>2253</v>
      </c>
      <c r="D131" s="2221"/>
      <c r="E131" s="2221"/>
      <c r="F131" s="2221"/>
      <c r="G131" s="2221"/>
      <c r="H131" s="2221"/>
      <c r="I131" s="2221"/>
      <c r="J131" s="2221"/>
      <c r="K131" s="2221"/>
      <c r="L131" s="2221"/>
      <c r="M131" s="2221"/>
      <c r="N131" s="2221"/>
      <c r="O131" s="2221"/>
      <c r="P131" s="2221"/>
      <c r="Q131" s="2221"/>
      <c r="R131" s="2221"/>
      <c r="S131" s="2221"/>
      <c r="T131" s="2221"/>
      <c r="U131" s="2221"/>
      <c r="V131" s="2221"/>
      <c r="W131" s="2221"/>
      <c r="X131" s="2221"/>
      <c r="Y131" s="2221"/>
      <c r="Z131" s="2221"/>
      <c r="AA131" s="2221"/>
      <c r="AB131" s="2221"/>
      <c r="AC131" s="2221"/>
      <c r="AD131" s="2221"/>
      <c r="AE131" s="2221"/>
      <c r="AF131" s="2221"/>
      <c r="AG131" s="222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7" t="s">
        <v>1910</v>
      </c>
      <c r="D132" s="2338"/>
      <c r="E132" s="2338"/>
      <c r="F132" s="2338"/>
      <c r="G132" s="2338"/>
      <c r="H132" s="2338"/>
      <c r="I132" s="2338"/>
      <c r="J132" s="2338"/>
      <c r="K132" s="2338"/>
      <c r="L132" s="2338"/>
      <c r="M132" s="2338"/>
      <c r="N132" s="2338"/>
      <c r="O132" s="2338"/>
      <c r="P132" s="2338"/>
      <c r="Q132" s="2338" t="s">
        <v>1911</v>
      </c>
      <c r="R132" s="2338"/>
      <c r="S132" s="2338"/>
      <c r="T132" s="2228" t="s">
        <v>2254</v>
      </c>
      <c r="U132" s="2228"/>
      <c r="V132" s="2228"/>
      <c r="W132" s="2228"/>
      <c r="X132" s="2228"/>
      <c r="Y132" s="2228"/>
      <c r="Z132" s="2228"/>
      <c r="AA132" s="2228"/>
      <c r="AB132" s="2338" t="s">
        <v>1912</v>
      </c>
      <c r="AC132" s="2338"/>
      <c r="AD132" s="2338"/>
      <c r="AE132" s="2338"/>
      <c r="AF132" s="2338"/>
      <c r="AG132" s="236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4" t="s">
        <v>1913</v>
      </c>
      <c r="D133" s="2365"/>
      <c r="E133" s="2365"/>
      <c r="F133" s="2365"/>
      <c r="G133" s="2365"/>
      <c r="H133" s="2365"/>
      <c r="I133" s="2365"/>
      <c r="J133" s="2365"/>
      <c r="K133" s="2365"/>
      <c r="L133" s="2365"/>
      <c r="M133" s="2365"/>
      <c r="N133" s="2365"/>
      <c r="O133" s="2365"/>
      <c r="P133" s="2365"/>
      <c r="Q133" s="2366">
        <v>55</v>
      </c>
      <c r="R133" s="2366"/>
      <c r="S133" s="2366"/>
      <c r="T133" s="2367"/>
      <c r="U133" s="2367"/>
      <c r="V133" s="2367"/>
      <c r="W133" s="2367"/>
      <c r="X133" s="2367"/>
      <c r="Y133" s="2367"/>
      <c r="Z133" s="2367"/>
      <c r="AA133" s="2367"/>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4" t="s">
        <v>1914</v>
      </c>
      <c r="D134" s="2365"/>
      <c r="E134" s="2365"/>
      <c r="F134" s="2365"/>
      <c r="G134" s="2365"/>
      <c r="H134" s="2365"/>
      <c r="I134" s="2365"/>
      <c r="J134" s="2365"/>
      <c r="K134" s="2365"/>
      <c r="L134" s="2365"/>
      <c r="M134" s="2365"/>
      <c r="N134" s="2365"/>
      <c r="O134" s="2365"/>
      <c r="P134" s="2365"/>
      <c r="Q134" s="2366">
        <v>55</v>
      </c>
      <c r="R134" s="2366"/>
      <c r="S134" s="2366"/>
      <c r="T134" s="2368"/>
      <c r="U134" s="2368"/>
      <c r="V134" s="2368"/>
      <c r="W134" s="2368"/>
      <c r="X134" s="2368"/>
      <c r="Y134" s="2368"/>
      <c r="Z134" s="2368"/>
      <c r="AA134" s="236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4" t="s">
        <v>1915</v>
      </c>
      <c r="D135" s="2365"/>
      <c r="E135" s="2365"/>
      <c r="F135" s="2365"/>
      <c r="G135" s="2365"/>
      <c r="H135" s="2365"/>
      <c r="I135" s="2365"/>
      <c r="J135" s="2365"/>
      <c r="K135" s="2365"/>
      <c r="L135" s="2365"/>
      <c r="M135" s="2365"/>
      <c r="N135" s="2365"/>
      <c r="O135" s="2365"/>
      <c r="P135" s="2365"/>
      <c r="Q135" s="2366">
        <v>55</v>
      </c>
      <c r="R135" s="2366"/>
      <c r="S135" s="2366"/>
      <c r="T135" s="2367"/>
      <c r="U135" s="2367"/>
      <c r="V135" s="2367"/>
      <c r="W135" s="2367"/>
      <c r="X135" s="2367"/>
      <c r="Y135" s="2367"/>
      <c r="Z135" s="2367"/>
      <c r="AA135" s="236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4" t="s">
        <v>1883</v>
      </c>
      <c r="D136" s="2365"/>
      <c r="E136" s="2365"/>
      <c r="F136" s="2365"/>
      <c r="G136" s="2365"/>
      <c r="H136" s="2365"/>
      <c r="I136" s="2365"/>
      <c r="J136" s="2365"/>
      <c r="K136" s="2365"/>
      <c r="L136" s="2365"/>
      <c r="M136" s="2365"/>
      <c r="N136" s="2365"/>
      <c r="O136" s="2365"/>
      <c r="P136" s="2365"/>
      <c r="Q136" s="2366">
        <v>55</v>
      </c>
      <c r="R136" s="2366"/>
      <c r="S136" s="2366"/>
      <c r="T136" s="2367"/>
      <c r="U136" s="2367"/>
      <c r="V136" s="2367"/>
      <c r="W136" s="2367"/>
      <c r="X136" s="2367"/>
      <c r="Y136" s="2367"/>
      <c r="Z136" s="2367"/>
      <c r="AA136" s="2367"/>
      <c r="AB136" s="2370">
        <v>0</v>
      </c>
      <c r="AC136" s="2370"/>
      <c r="AD136" s="2370"/>
      <c r="AE136" s="2370"/>
      <c r="AF136" s="2370"/>
      <c r="AG136" s="237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4" t="s">
        <v>171</v>
      </c>
      <c r="D137" s="2365"/>
      <c r="E137" s="2365"/>
      <c r="F137" s="2372" t="s">
        <v>1916</v>
      </c>
      <c r="G137" s="2372"/>
      <c r="H137" s="2372"/>
      <c r="I137" s="2372"/>
      <c r="J137" s="2372"/>
      <c r="K137" s="2372"/>
      <c r="L137" s="2372"/>
      <c r="M137" s="2372"/>
      <c r="N137" s="2372"/>
      <c r="O137" s="2372"/>
      <c r="P137" s="2372"/>
      <c r="Q137" s="2366">
        <v>55</v>
      </c>
      <c r="R137" s="2366"/>
      <c r="S137" s="2366"/>
      <c r="T137" s="2368"/>
      <c r="U137" s="2368"/>
      <c r="V137" s="2368"/>
      <c r="W137" s="2368"/>
      <c r="X137" s="2368"/>
      <c r="Y137" s="2368"/>
      <c r="Z137" s="2368"/>
      <c r="AA137" s="2368"/>
      <c r="AB137" s="2370">
        <v>0</v>
      </c>
      <c r="AC137" s="2370"/>
      <c r="AD137" s="2370"/>
      <c r="AE137" s="2370"/>
      <c r="AF137" s="2370"/>
      <c r="AG137" s="237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4" t="s">
        <v>171</v>
      </c>
      <c r="D138" s="2365"/>
      <c r="E138" s="2365"/>
      <c r="F138" s="2372" t="s">
        <v>1916</v>
      </c>
      <c r="G138" s="2372"/>
      <c r="H138" s="2372"/>
      <c r="I138" s="2372"/>
      <c r="J138" s="2372"/>
      <c r="K138" s="2372"/>
      <c r="L138" s="2372"/>
      <c r="M138" s="2372"/>
      <c r="N138" s="2372"/>
      <c r="O138" s="2372"/>
      <c r="P138" s="2372"/>
      <c r="Q138" s="2366">
        <v>55</v>
      </c>
      <c r="R138" s="2366"/>
      <c r="S138" s="2366"/>
      <c r="T138" s="2368"/>
      <c r="U138" s="2368"/>
      <c r="V138" s="2368"/>
      <c r="W138" s="2368"/>
      <c r="X138" s="2368"/>
      <c r="Y138" s="2368"/>
      <c r="Z138" s="2368"/>
      <c r="AA138" s="2368"/>
      <c r="AB138" s="2370">
        <v>0</v>
      </c>
      <c r="AC138" s="2370"/>
      <c r="AD138" s="2370"/>
      <c r="AE138" s="2370"/>
      <c r="AF138" s="2370"/>
      <c r="AG138" s="2371"/>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3" t="s">
        <v>171</v>
      </c>
      <c r="D139" s="2374"/>
      <c r="E139" s="2374"/>
      <c r="F139" s="2375" t="s">
        <v>1916</v>
      </c>
      <c r="G139" s="2375"/>
      <c r="H139" s="2375"/>
      <c r="I139" s="2375"/>
      <c r="J139" s="2375"/>
      <c r="K139" s="2375"/>
      <c r="L139" s="2375"/>
      <c r="M139" s="2375"/>
      <c r="N139" s="2375"/>
      <c r="O139" s="2375"/>
      <c r="P139" s="2375"/>
      <c r="Q139" s="2376">
        <v>55</v>
      </c>
      <c r="R139" s="2376"/>
      <c r="S139" s="2376"/>
      <c r="T139" s="2377"/>
      <c r="U139" s="2377"/>
      <c r="V139" s="2377"/>
      <c r="W139" s="2377"/>
      <c r="X139" s="2377"/>
      <c r="Y139" s="2377"/>
      <c r="Z139" s="2377"/>
      <c r="AA139" s="2377"/>
      <c r="AB139" s="2378">
        <v>0</v>
      </c>
      <c r="AC139" s="2378"/>
      <c r="AD139" s="2378"/>
      <c r="AE139" s="2378"/>
      <c r="AF139" s="2378"/>
      <c r="AG139" s="2379"/>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7" t="s">
        <v>1917</v>
      </c>
      <c r="D141" s="2298"/>
      <c r="E141" s="2298"/>
      <c r="F141" s="2298"/>
      <c r="G141" s="2298"/>
      <c r="H141" s="2298"/>
      <c r="I141" s="2298"/>
      <c r="J141" s="2298"/>
      <c r="K141" s="2298"/>
      <c r="L141" s="2298"/>
      <c r="M141" s="2298"/>
      <c r="N141" s="2334"/>
      <c r="O141" s="1207"/>
      <c r="P141" s="2352" t="s">
        <v>1918</v>
      </c>
      <c r="Q141" s="2353"/>
      <c r="R141" s="2353"/>
      <c r="S141" s="2353"/>
      <c r="T141" s="2353"/>
      <c r="U141" s="2353"/>
      <c r="V141" s="2353"/>
      <c r="W141" s="2353"/>
      <c r="X141" s="2353"/>
      <c r="Y141" s="2353"/>
      <c r="Z141" s="2353"/>
      <c r="AA141" s="2353"/>
      <c r="AB141" s="2353"/>
      <c r="AC141" s="2353"/>
      <c r="AD141" s="2353"/>
      <c r="AE141" s="2353"/>
      <c r="AF141" s="2353"/>
      <c r="AG141" s="2353"/>
      <c r="AH141" s="2353"/>
      <c r="AI141" s="2353"/>
      <c r="AJ141" s="2353"/>
      <c r="AK141" s="2353"/>
      <c r="AL141" s="2353"/>
      <c r="AM141" s="2353"/>
      <c r="AN141" s="2353"/>
      <c r="AO141" s="238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7" t="s">
        <v>1919</v>
      </c>
      <c r="D142" s="2338"/>
      <c r="E142" s="2338"/>
      <c r="F142" s="2338"/>
      <c r="G142" s="2338"/>
      <c r="H142" s="2338"/>
      <c r="I142" s="2338" t="s">
        <v>1920</v>
      </c>
      <c r="J142" s="2338"/>
      <c r="K142" s="2338"/>
      <c r="L142" s="2338"/>
      <c r="M142" s="2338"/>
      <c r="N142" s="2369"/>
      <c r="O142" s="1207"/>
      <c r="P142" s="2301" t="s">
        <v>2262</v>
      </c>
      <c r="Q142" s="2302"/>
      <c r="R142" s="2302"/>
      <c r="S142" s="2302"/>
      <c r="T142" s="2302"/>
      <c r="U142" s="2302"/>
      <c r="V142" s="2302"/>
      <c r="W142" s="2302"/>
      <c r="X142" s="2302"/>
      <c r="Y142" s="2302"/>
      <c r="Z142" s="2302"/>
      <c r="AA142" s="2302"/>
      <c r="AB142" s="2302"/>
      <c r="AC142" s="2302"/>
      <c r="AD142" s="2302"/>
      <c r="AE142" s="2302"/>
      <c r="AF142" s="2302"/>
      <c r="AG142" s="2302"/>
      <c r="AH142" s="2302"/>
      <c r="AI142" s="2302"/>
      <c r="AJ142" s="2302"/>
      <c r="AK142" s="2302"/>
      <c r="AL142" s="2302"/>
      <c r="AM142" s="2302"/>
      <c r="AN142" s="2302"/>
      <c r="AO142" s="2303"/>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7"/>
      <c r="D143" s="2252"/>
      <c r="E143" s="2252"/>
      <c r="F143" s="2252"/>
      <c r="G143" s="2252"/>
      <c r="H143" s="2252"/>
      <c r="I143" s="2367"/>
      <c r="J143" s="2367"/>
      <c r="K143" s="2367"/>
      <c r="L143" s="2367"/>
      <c r="M143" s="2367"/>
      <c r="N143" s="2380"/>
      <c r="O143" s="1207"/>
      <c r="P143" s="2301"/>
      <c r="Q143" s="2302"/>
      <c r="R143" s="2302"/>
      <c r="S143" s="2302"/>
      <c r="T143" s="2302"/>
      <c r="U143" s="2302"/>
      <c r="V143" s="2302"/>
      <c r="W143" s="2302"/>
      <c r="X143" s="2302"/>
      <c r="Y143" s="2302"/>
      <c r="Z143" s="2302"/>
      <c r="AA143" s="2302"/>
      <c r="AB143" s="2302"/>
      <c r="AC143" s="2302"/>
      <c r="AD143" s="2302"/>
      <c r="AE143" s="2302"/>
      <c r="AF143" s="2302"/>
      <c r="AG143" s="2302"/>
      <c r="AH143" s="2302"/>
      <c r="AI143" s="2302"/>
      <c r="AJ143" s="2302"/>
      <c r="AK143" s="2302"/>
      <c r="AL143" s="2302"/>
      <c r="AM143" s="2302"/>
      <c r="AN143" s="2302"/>
      <c r="AO143" s="2303"/>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7"/>
      <c r="D144" s="2252"/>
      <c r="E144" s="2252"/>
      <c r="F144" s="2252"/>
      <c r="G144" s="2252"/>
      <c r="H144" s="2252"/>
      <c r="I144" s="2367"/>
      <c r="J144" s="2367"/>
      <c r="K144" s="2367"/>
      <c r="L144" s="2367"/>
      <c r="M144" s="2367"/>
      <c r="N144" s="2380"/>
      <c r="O144" s="1207"/>
      <c r="P144" s="2301"/>
      <c r="Q144" s="2302"/>
      <c r="R144" s="2302"/>
      <c r="S144" s="2302"/>
      <c r="T144" s="2302"/>
      <c r="U144" s="2302"/>
      <c r="V144" s="2302"/>
      <c r="W144" s="2302"/>
      <c r="X144" s="2302"/>
      <c r="Y144" s="2302"/>
      <c r="Z144" s="2302"/>
      <c r="AA144" s="2302"/>
      <c r="AB144" s="2302"/>
      <c r="AC144" s="2302"/>
      <c r="AD144" s="2302"/>
      <c r="AE144" s="2302"/>
      <c r="AF144" s="2302"/>
      <c r="AG144" s="2302"/>
      <c r="AH144" s="2302"/>
      <c r="AI144" s="2302"/>
      <c r="AJ144" s="2302"/>
      <c r="AK144" s="2302"/>
      <c r="AL144" s="2302"/>
      <c r="AM144" s="2302"/>
      <c r="AN144" s="2302"/>
      <c r="AO144" s="2303"/>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7"/>
      <c r="D145" s="2252"/>
      <c r="E145" s="2252"/>
      <c r="F145" s="2252"/>
      <c r="G145" s="2252"/>
      <c r="H145" s="2252"/>
      <c r="I145" s="2367"/>
      <c r="J145" s="2367"/>
      <c r="K145" s="2367"/>
      <c r="L145" s="2367"/>
      <c r="M145" s="2367"/>
      <c r="N145" s="2380"/>
      <c r="O145" s="1207"/>
      <c r="P145" s="2301"/>
      <c r="Q145" s="2302"/>
      <c r="R145" s="2302"/>
      <c r="S145" s="2302"/>
      <c r="T145" s="2302"/>
      <c r="U145" s="2302"/>
      <c r="V145" s="2302"/>
      <c r="W145" s="2302"/>
      <c r="X145" s="2302"/>
      <c r="Y145" s="2302"/>
      <c r="Z145" s="2302"/>
      <c r="AA145" s="2302"/>
      <c r="AB145" s="2302"/>
      <c r="AC145" s="2302"/>
      <c r="AD145" s="2302"/>
      <c r="AE145" s="2302"/>
      <c r="AF145" s="2302"/>
      <c r="AG145" s="2302"/>
      <c r="AH145" s="2302"/>
      <c r="AI145" s="2302"/>
      <c r="AJ145" s="2302"/>
      <c r="AK145" s="2302"/>
      <c r="AL145" s="2302"/>
      <c r="AM145" s="2302"/>
      <c r="AN145" s="2302"/>
      <c r="AO145" s="2303"/>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7"/>
      <c r="D146" s="2252"/>
      <c r="E146" s="2252"/>
      <c r="F146" s="2252"/>
      <c r="G146" s="2252"/>
      <c r="H146" s="2252"/>
      <c r="I146" s="2367"/>
      <c r="J146" s="2367"/>
      <c r="K146" s="2367"/>
      <c r="L146" s="2367"/>
      <c r="M146" s="2367"/>
      <c r="N146" s="2380"/>
      <c r="O146" s="1207"/>
      <c r="P146" s="2301"/>
      <c r="Q146" s="2302"/>
      <c r="R146" s="2302"/>
      <c r="S146" s="2302"/>
      <c r="T146" s="2302"/>
      <c r="U146" s="2302"/>
      <c r="V146" s="2302"/>
      <c r="W146" s="2302"/>
      <c r="X146" s="2302"/>
      <c r="Y146" s="2302"/>
      <c r="Z146" s="2302"/>
      <c r="AA146" s="2302"/>
      <c r="AB146" s="2302"/>
      <c r="AC146" s="2302"/>
      <c r="AD146" s="2302"/>
      <c r="AE146" s="2302"/>
      <c r="AF146" s="2302"/>
      <c r="AG146" s="2302"/>
      <c r="AH146" s="2302"/>
      <c r="AI146" s="2302"/>
      <c r="AJ146" s="2302"/>
      <c r="AK146" s="2302"/>
      <c r="AL146" s="2302"/>
      <c r="AM146" s="2302"/>
      <c r="AN146" s="2302"/>
      <c r="AO146" s="2303"/>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7"/>
      <c r="D147" s="2252"/>
      <c r="E147" s="2252"/>
      <c r="F147" s="2252"/>
      <c r="G147" s="2252"/>
      <c r="H147" s="2252"/>
      <c r="I147" s="2367"/>
      <c r="J147" s="2367"/>
      <c r="K147" s="2367"/>
      <c r="L147" s="2367"/>
      <c r="M147" s="2367"/>
      <c r="N147" s="2380"/>
      <c r="O147" s="1207"/>
      <c r="P147" s="2301"/>
      <c r="Q147" s="2302"/>
      <c r="R147" s="2302"/>
      <c r="S147" s="2302"/>
      <c r="T147" s="2302"/>
      <c r="U147" s="2302"/>
      <c r="V147" s="2302"/>
      <c r="W147" s="2302"/>
      <c r="X147" s="2302"/>
      <c r="Y147" s="2302"/>
      <c r="Z147" s="2302"/>
      <c r="AA147" s="2302"/>
      <c r="AB147" s="2302"/>
      <c r="AC147" s="2302"/>
      <c r="AD147" s="2302"/>
      <c r="AE147" s="2302"/>
      <c r="AF147" s="2302"/>
      <c r="AG147" s="2302"/>
      <c r="AH147" s="2302"/>
      <c r="AI147" s="2302"/>
      <c r="AJ147" s="2302"/>
      <c r="AK147" s="2302"/>
      <c r="AL147" s="2302"/>
      <c r="AM147" s="2302"/>
      <c r="AN147" s="2302"/>
      <c r="AO147" s="2303"/>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7"/>
      <c r="D148" s="2252"/>
      <c r="E148" s="2252"/>
      <c r="F148" s="2252"/>
      <c r="G148" s="2252"/>
      <c r="H148" s="2252"/>
      <c r="I148" s="2367"/>
      <c r="J148" s="2367"/>
      <c r="K148" s="2367"/>
      <c r="L148" s="2367"/>
      <c r="M148" s="2367"/>
      <c r="N148" s="2380"/>
      <c r="O148" s="1207"/>
      <c r="P148" s="2301"/>
      <c r="Q148" s="2302"/>
      <c r="R148" s="2302"/>
      <c r="S148" s="2302"/>
      <c r="T148" s="2302"/>
      <c r="U148" s="2302"/>
      <c r="V148" s="2302"/>
      <c r="W148" s="2302"/>
      <c r="X148" s="2302"/>
      <c r="Y148" s="2302"/>
      <c r="Z148" s="2302"/>
      <c r="AA148" s="2302"/>
      <c r="AB148" s="2302"/>
      <c r="AC148" s="2302"/>
      <c r="AD148" s="2302"/>
      <c r="AE148" s="2302"/>
      <c r="AF148" s="2302"/>
      <c r="AG148" s="2302"/>
      <c r="AH148" s="2302"/>
      <c r="AI148" s="2302"/>
      <c r="AJ148" s="2302"/>
      <c r="AK148" s="2302"/>
      <c r="AL148" s="2302"/>
      <c r="AM148" s="2302"/>
      <c r="AN148" s="2302"/>
      <c r="AO148" s="2303"/>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9"/>
      <c r="D149" s="2390"/>
      <c r="E149" s="2390"/>
      <c r="F149" s="2390"/>
      <c r="G149" s="2390"/>
      <c r="H149" s="2390"/>
      <c r="I149" s="2391"/>
      <c r="J149" s="2391"/>
      <c r="K149" s="2391"/>
      <c r="L149" s="2391"/>
      <c r="M149" s="2391"/>
      <c r="N149" s="2392"/>
      <c r="O149" s="1207"/>
      <c r="P149" s="2304"/>
      <c r="Q149" s="2305"/>
      <c r="R149" s="2305"/>
      <c r="S149" s="2305"/>
      <c r="T149" s="2305"/>
      <c r="U149" s="2305"/>
      <c r="V149" s="2305"/>
      <c r="W149" s="2305"/>
      <c r="X149" s="2305"/>
      <c r="Y149" s="2305"/>
      <c r="Z149" s="2305"/>
      <c r="AA149" s="2305"/>
      <c r="AB149" s="2305"/>
      <c r="AC149" s="2305"/>
      <c r="AD149" s="2305"/>
      <c r="AE149" s="2305"/>
      <c r="AF149" s="2305"/>
      <c r="AG149" s="2305"/>
      <c r="AH149" s="2305"/>
      <c r="AI149" s="2305"/>
      <c r="AJ149" s="2305"/>
      <c r="AK149" s="2305"/>
      <c r="AL149" s="2305"/>
      <c r="AM149" s="2305"/>
      <c r="AN149" s="2305"/>
      <c r="AO149" s="2306"/>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3" t="s">
        <v>2599</v>
      </c>
      <c r="D151" s="2393"/>
      <c r="E151" s="2393"/>
      <c r="F151" s="2393"/>
      <c r="G151" s="2393"/>
      <c r="H151" s="2393"/>
      <c r="I151" s="2393"/>
      <c r="J151" s="2393"/>
      <c r="K151" s="2393"/>
      <c r="L151" s="2393"/>
      <c r="M151" s="2393"/>
      <c r="N151" s="2393"/>
      <c r="O151" s="2393"/>
      <c r="P151" s="2393"/>
      <c r="Q151" s="2393"/>
      <c r="R151" s="2393"/>
      <c r="S151" s="2393"/>
      <c r="T151" s="2393"/>
      <c r="U151" s="2393"/>
      <c r="V151" s="2393"/>
      <c r="W151" s="2393"/>
      <c r="X151" s="2393"/>
      <c r="Y151" s="2393"/>
      <c r="Z151" s="2393"/>
      <c r="AA151" s="2393"/>
      <c r="AB151" s="2393"/>
      <c r="AC151" s="2393"/>
      <c r="AD151" s="2393"/>
      <c r="AE151" s="2393"/>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3"/>
      <c r="D152" s="2393"/>
      <c r="E152" s="2393"/>
      <c r="F152" s="2393"/>
      <c r="G152" s="2393"/>
      <c r="H152" s="2393"/>
      <c r="I152" s="2393"/>
      <c r="J152" s="2393"/>
      <c r="K152" s="2393"/>
      <c r="L152" s="2393"/>
      <c r="M152" s="2393"/>
      <c r="N152" s="2393"/>
      <c r="O152" s="2393"/>
      <c r="P152" s="2393"/>
      <c r="Q152" s="2393"/>
      <c r="R152" s="2393"/>
      <c r="S152" s="2393"/>
      <c r="T152" s="2393"/>
      <c r="U152" s="2393"/>
      <c r="V152" s="2393"/>
      <c r="W152" s="2393"/>
      <c r="X152" s="2393"/>
      <c r="Y152" s="2393"/>
      <c r="Z152" s="2393"/>
      <c r="AA152" s="2393"/>
      <c r="AB152" s="2393"/>
      <c r="AC152" s="2393"/>
      <c r="AD152" s="2393"/>
      <c r="AE152" s="2393"/>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7" t="s">
        <v>1910</v>
      </c>
      <c r="D153" s="2298"/>
      <c r="E153" s="2298"/>
      <c r="F153" s="2298"/>
      <c r="G153" s="2298"/>
      <c r="H153" s="2298"/>
      <c r="I153" s="2298"/>
      <c r="J153" s="2298"/>
      <c r="K153" s="2298"/>
      <c r="L153" s="2298"/>
      <c r="M153" s="2298"/>
      <c r="N153" s="2298" t="s">
        <v>1921</v>
      </c>
      <c r="O153" s="2298"/>
      <c r="P153" s="2298"/>
      <c r="Q153" s="2298"/>
      <c r="R153" s="2298"/>
      <c r="S153" s="2298"/>
      <c r="T153" s="2298"/>
      <c r="U153" s="2221" t="s">
        <v>1910</v>
      </c>
      <c r="V153" s="2221"/>
      <c r="W153" s="2221"/>
      <c r="X153" s="2221"/>
      <c r="Y153" s="2221"/>
      <c r="Z153" s="2221"/>
      <c r="AA153" s="2221"/>
      <c r="AB153" s="2221"/>
      <c r="AC153" s="2221"/>
      <c r="AD153" s="2221"/>
      <c r="AE153" s="2222"/>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2" t="s">
        <v>2600</v>
      </c>
      <c r="D154" s="2383"/>
      <c r="E154" s="2383"/>
      <c r="F154" s="2383"/>
      <c r="G154" s="2383"/>
      <c r="H154" s="2383"/>
      <c r="I154" s="2383"/>
      <c r="J154" s="2383"/>
      <c r="K154" s="2383"/>
      <c r="L154" s="2383"/>
      <c r="M154" s="2383"/>
      <c r="N154" s="2384">
        <f>'Sources and Uses Budget'!B105</f>
        <v>40170277</v>
      </c>
      <c r="O154" s="2384"/>
      <c r="P154" s="2384"/>
      <c r="Q154" s="2384"/>
      <c r="R154" s="2384"/>
      <c r="S154" s="2384"/>
      <c r="T154" s="2384"/>
      <c r="U154" s="2385"/>
      <c r="V154" s="2385"/>
      <c r="W154" s="2385"/>
      <c r="X154" s="2385"/>
      <c r="Y154" s="2385"/>
      <c r="Z154" s="2385"/>
      <c r="AA154" s="2385"/>
      <c r="AB154" s="2385"/>
      <c r="AC154" s="2385"/>
      <c r="AD154" s="2385"/>
      <c r="AE154" s="2386"/>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2" t="s">
        <v>2602</v>
      </c>
      <c r="D155" s="2383"/>
      <c r="E155" s="2383"/>
      <c r="F155" s="2383"/>
      <c r="G155" s="2383"/>
      <c r="H155" s="2383"/>
      <c r="I155" s="2383"/>
      <c r="J155" s="2383"/>
      <c r="K155" s="2383"/>
      <c r="L155" s="2383"/>
      <c r="M155" s="2383"/>
      <c r="N155" s="2384">
        <f>N154/J29</f>
        <v>535603.69333333336</v>
      </c>
      <c r="O155" s="2384"/>
      <c r="P155" s="2384"/>
      <c r="Q155" s="2384"/>
      <c r="R155" s="2384"/>
      <c r="S155" s="2384"/>
      <c r="T155" s="238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7" t="s">
        <v>2603</v>
      </c>
      <c r="D156" s="2388"/>
      <c r="E156" s="2388"/>
      <c r="F156" s="2388"/>
      <c r="G156" s="2388"/>
      <c r="H156" s="2388"/>
      <c r="I156" s="2388"/>
      <c r="J156" s="2388"/>
      <c r="K156" s="2388"/>
      <c r="L156" s="2388"/>
      <c r="M156" s="2388"/>
      <c r="N156" s="2291">
        <v>0</v>
      </c>
      <c r="O156" s="2291"/>
      <c r="P156" s="2291"/>
      <c r="Q156" s="2291"/>
      <c r="R156" s="2291"/>
      <c r="S156" s="2291"/>
      <c r="T156" s="2291"/>
      <c r="U156" s="2264"/>
      <c r="V156" s="2264"/>
      <c r="W156" s="2264"/>
      <c r="X156" s="2264"/>
      <c r="Y156" s="2264"/>
      <c r="Z156" s="2264"/>
      <c r="AA156" s="2264"/>
      <c r="AB156" s="2264"/>
      <c r="AC156" s="2264"/>
      <c r="AD156" s="2264"/>
      <c r="AE156" s="2265"/>
      <c r="AF156" s="1207"/>
      <c r="AG156" s="1207"/>
      <c r="AH156" s="2394" t="s">
        <v>2270</v>
      </c>
      <c r="AI156" s="2395"/>
      <c r="AJ156" s="2395"/>
      <c r="AK156" s="2395"/>
      <c r="AL156" s="2395"/>
      <c r="AM156" s="2395"/>
      <c r="AN156" s="2395"/>
      <c r="AO156" s="2395"/>
      <c r="AP156" s="2395"/>
      <c r="AQ156" s="2395"/>
      <c r="AR156" s="2395"/>
      <c r="AS156" s="2396">
        <f>SUM(AS152:AW154)</f>
        <v>0</v>
      </c>
      <c r="AT156" s="2396"/>
      <c r="AU156" s="2396"/>
      <c r="AV156" s="2396"/>
      <c r="AW156" s="2397"/>
      <c r="AX156" s="1207"/>
      <c r="AY156" s="1207"/>
      <c r="AZ156" s="1207"/>
      <c r="BA156" s="1207"/>
      <c r="BB156" s="1207"/>
      <c r="BC156" s="1207"/>
      <c r="BD156" s="1207"/>
      <c r="BE156" s="1213"/>
    </row>
    <row r="157" spans="1:57" ht="15.75" customHeight="1" thickBot="1">
      <c r="A157" s="1207"/>
      <c r="B157" s="1207"/>
      <c r="C157" s="2382" t="s">
        <v>2604</v>
      </c>
      <c r="D157" s="2383"/>
      <c r="E157" s="2383"/>
      <c r="F157" s="2383"/>
      <c r="G157" s="2383"/>
      <c r="H157" s="2383"/>
      <c r="I157" s="2383"/>
      <c r="J157" s="2383"/>
      <c r="K157" s="2383"/>
      <c r="L157" s="2383"/>
      <c r="M157" s="2383"/>
      <c r="N157" s="2398">
        <f>SUM('Sources and Uses Budget'!B85:B86)</f>
        <v>2586525</v>
      </c>
      <c r="O157" s="2398"/>
      <c r="P157" s="2398"/>
      <c r="Q157" s="2398"/>
      <c r="R157" s="2398"/>
      <c r="S157" s="2398"/>
      <c r="T157" s="2398"/>
      <c r="U157" s="2264"/>
      <c r="V157" s="2264"/>
      <c r="W157" s="2264"/>
      <c r="X157" s="2264"/>
      <c r="Y157" s="2264"/>
      <c r="Z157" s="2264"/>
      <c r="AA157" s="2264"/>
      <c r="AB157" s="2264"/>
      <c r="AC157" s="2264"/>
      <c r="AD157" s="2264"/>
      <c r="AE157" s="2265"/>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2" t="s">
        <v>2606</v>
      </c>
      <c r="D158" s="2383"/>
      <c r="E158" s="2383"/>
      <c r="F158" s="2383"/>
      <c r="G158" s="2383"/>
      <c r="H158" s="2383"/>
      <c r="I158" s="2383"/>
      <c r="J158" s="2383"/>
      <c r="K158" s="2383"/>
      <c r="L158" s="2383"/>
      <c r="M158" s="2383"/>
      <c r="N158" s="2398">
        <f>'Sources and Uses Budget'!B8</f>
        <v>2710000</v>
      </c>
      <c r="O158" s="2398"/>
      <c r="P158" s="2398"/>
      <c r="Q158" s="2398"/>
      <c r="R158" s="2398"/>
      <c r="S158" s="2398"/>
      <c r="T158" s="2398"/>
      <c r="U158" s="2264"/>
      <c r="V158" s="2264"/>
      <c r="W158" s="2264"/>
      <c r="X158" s="2264"/>
      <c r="Y158" s="2264"/>
      <c r="Z158" s="2264"/>
      <c r="AA158" s="2264"/>
      <c r="AB158" s="2264"/>
      <c r="AC158" s="2264"/>
      <c r="AD158" s="2264"/>
      <c r="AE158" s="2265"/>
      <c r="AF158" s="1207"/>
      <c r="AG158" s="1207"/>
      <c r="AH158" s="2399" t="s">
        <v>2607</v>
      </c>
      <c r="AI158" s="2400"/>
      <c r="AJ158" s="2400"/>
      <c r="AK158" s="2400"/>
      <c r="AL158" s="2400"/>
      <c r="AM158" s="2400"/>
      <c r="AN158" s="2400"/>
      <c r="AO158" s="2400"/>
      <c r="AP158" s="2400"/>
      <c r="AQ158" s="2400"/>
      <c r="AR158" s="2401"/>
      <c r="AS158" s="2405" t="s">
        <v>2608</v>
      </c>
      <c r="AT158" s="2406"/>
      <c r="AU158" s="2406"/>
      <c r="AV158" s="2406"/>
      <c r="AW158" s="2406"/>
      <c r="AX158" s="2407"/>
      <c r="AY158" s="2406" t="s">
        <v>2609</v>
      </c>
      <c r="AZ158" s="2406"/>
      <c r="BA158" s="2406"/>
      <c r="BB158" s="2406"/>
      <c r="BC158" s="2406"/>
      <c r="BD158" s="2411"/>
      <c r="BE158" s="1213"/>
    </row>
    <row r="159" spans="1:57" ht="15.75" customHeight="1">
      <c r="A159" s="1207"/>
      <c r="B159" s="1207"/>
      <c r="C159" s="2382" t="s">
        <v>2610</v>
      </c>
      <c r="D159" s="2383"/>
      <c r="E159" s="2383"/>
      <c r="F159" s="2383"/>
      <c r="G159" s="2383"/>
      <c r="H159" s="2383"/>
      <c r="I159" s="2383"/>
      <c r="J159" s="2383"/>
      <c r="K159" s="2383"/>
      <c r="L159" s="2383"/>
      <c r="M159" s="2383"/>
      <c r="N159" s="2413">
        <v>0</v>
      </c>
      <c r="O159" s="2413"/>
      <c r="P159" s="2413"/>
      <c r="Q159" s="2413"/>
      <c r="R159" s="2413"/>
      <c r="S159" s="2413"/>
      <c r="T159" s="2413"/>
      <c r="U159" s="2264"/>
      <c r="V159" s="2264"/>
      <c r="W159" s="2264"/>
      <c r="X159" s="2264"/>
      <c r="Y159" s="2264"/>
      <c r="Z159" s="2264"/>
      <c r="AA159" s="2264"/>
      <c r="AB159" s="2264"/>
      <c r="AC159" s="2264"/>
      <c r="AD159" s="2264"/>
      <c r="AE159" s="2265"/>
      <c r="AF159" s="1207"/>
      <c r="AG159" s="1207"/>
      <c r="AH159" s="2402"/>
      <c r="AI159" s="2403"/>
      <c r="AJ159" s="2403"/>
      <c r="AK159" s="2403"/>
      <c r="AL159" s="2403"/>
      <c r="AM159" s="2403"/>
      <c r="AN159" s="2403"/>
      <c r="AO159" s="2403"/>
      <c r="AP159" s="2403"/>
      <c r="AQ159" s="2403"/>
      <c r="AR159" s="2404"/>
      <c r="AS159" s="2408"/>
      <c r="AT159" s="2409"/>
      <c r="AU159" s="2409"/>
      <c r="AV159" s="2409"/>
      <c r="AW159" s="2409"/>
      <c r="AX159" s="2410"/>
      <c r="AY159" s="2409"/>
      <c r="AZ159" s="2409"/>
      <c r="BA159" s="2409"/>
      <c r="BB159" s="2409"/>
      <c r="BC159" s="2409"/>
      <c r="BD159" s="2412"/>
      <c r="BE159" s="1213"/>
    </row>
    <row r="160" spans="1:57" ht="15.75" customHeight="1">
      <c r="A160" s="1207"/>
      <c r="B160" s="1207"/>
      <c r="C160" s="2382" t="s">
        <v>2611</v>
      </c>
      <c r="D160" s="2383"/>
      <c r="E160" s="2383"/>
      <c r="F160" s="2383"/>
      <c r="G160" s="2383"/>
      <c r="H160" s="2383"/>
      <c r="I160" s="2383"/>
      <c r="J160" s="2383"/>
      <c r="K160" s="2383"/>
      <c r="L160" s="2383"/>
      <c r="M160" s="2383"/>
      <c r="N160" s="2413">
        <v>0</v>
      </c>
      <c r="O160" s="2413"/>
      <c r="P160" s="2413"/>
      <c r="Q160" s="2413"/>
      <c r="R160" s="2413"/>
      <c r="S160" s="2413"/>
      <c r="T160" s="2413"/>
      <c r="U160" s="2264"/>
      <c r="V160" s="2264"/>
      <c r="W160" s="2264"/>
      <c r="X160" s="2264"/>
      <c r="Y160" s="2264"/>
      <c r="Z160" s="2264"/>
      <c r="AA160" s="2264"/>
      <c r="AB160" s="2264"/>
      <c r="AC160" s="2264"/>
      <c r="AD160" s="2264"/>
      <c r="AE160" s="2265"/>
      <c r="AF160" s="1207"/>
      <c r="AG160" s="1207"/>
      <c r="AH160" s="2414" t="s">
        <v>2271</v>
      </c>
      <c r="AI160" s="2415"/>
      <c r="AJ160" s="2415"/>
      <c r="AK160" s="2415"/>
      <c r="AL160" s="2415"/>
      <c r="AM160" s="2415"/>
      <c r="AN160" s="2415"/>
      <c r="AO160" s="2415"/>
      <c r="AP160" s="2415"/>
      <c r="AQ160" s="2415"/>
      <c r="AR160" s="2415"/>
      <c r="AS160" s="2416">
        <v>0</v>
      </c>
      <c r="AT160" s="2416"/>
      <c r="AU160" s="2416"/>
      <c r="AV160" s="2416"/>
      <c r="AW160" s="2416"/>
      <c r="AX160" s="2416"/>
      <c r="AY160" s="2416">
        <v>0</v>
      </c>
      <c r="AZ160" s="2416"/>
      <c r="BA160" s="2416"/>
      <c r="BB160" s="2416"/>
      <c r="BC160" s="2416"/>
      <c r="BD160" s="2417"/>
      <c r="BE160" s="1213"/>
    </row>
    <row r="161" spans="1:57" ht="15.75" customHeight="1">
      <c r="A161" s="1207"/>
      <c r="B161" s="1207"/>
      <c r="C161" s="2419" t="s">
        <v>302</v>
      </c>
      <c r="D161" s="2366"/>
      <c r="E161" s="2418" t="s">
        <v>1916</v>
      </c>
      <c r="F161" s="2418"/>
      <c r="G161" s="2418"/>
      <c r="H161" s="2418"/>
      <c r="I161" s="2418"/>
      <c r="J161" s="2418"/>
      <c r="K161" s="2418"/>
      <c r="L161" s="2418"/>
      <c r="M161" s="2418"/>
      <c r="N161" s="2413">
        <v>0</v>
      </c>
      <c r="O161" s="2413"/>
      <c r="P161" s="2413"/>
      <c r="Q161" s="2413"/>
      <c r="R161" s="2413"/>
      <c r="S161" s="2413"/>
      <c r="T161" s="2413"/>
      <c r="U161" s="2264"/>
      <c r="V161" s="2264"/>
      <c r="W161" s="2264"/>
      <c r="X161" s="2264"/>
      <c r="Y161" s="2264"/>
      <c r="Z161" s="2264"/>
      <c r="AA161" s="2264"/>
      <c r="AB161" s="2264"/>
      <c r="AC161" s="2264"/>
      <c r="AD161" s="2264"/>
      <c r="AE161" s="2265"/>
      <c r="AF161" s="1207"/>
      <c r="AG161" s="1207"/>
      <c r="AH161" s="2414" t="s">
        <v>2272</v>
      </c>
      <c r="AI161" s="2415"/>
      <c r="AJ161" s="2415"/>
      <c r="AK161" s="2415"/>
      <c r="AL161" s="2415"/>
      <c r="AM161" s="2415"/>
      <c r="AN161" s="2415"/>
      <c r="AO161" s="2415"/>
      <c r="AP161" s="2415"/>
      <c r="AQ161" s="2415"/>
      <c r="AR161" s="2415"/>
      <c r="AS161" s="2416">
        <v>0</v>
      </c>
      <c r="AT161" s="2416"/>
      <c r="AU161" s="2416"/>
      <c r="AV161" s="2416"/>
      <c r="AW161" s="2416"/>
      <c r="AX161" s="2416"/>
      <c r="AY161" s="2416">
        <v>0</v>
      </c>
      <c r="AZ161" s="2416"/>
      <c r="BA161" s="2416"/>
      <c r="BB161" s="2416"/>
      <c r="BC161" s="2416"/>
      <c r="BD161" s="2417"/>
      <c r="BE161" s="1213"/>
    </row>
    <row r="162" spans="1:57" ht="15.75" customHeight="1">
      <c r="A162" s="1207"/>
      <c r="B162" s="1207"/>
      <c r="C162" s="2307" t="s">
        <v>302</v>
      </c>
      <c r="D162" s="2252"/>
      <c r="E162" s="2418" t="s">
        <v>1916</v>
      </c>
      <c r="F162" s="2418"/>
      <c r="G162" s="2418"/>
      <c r="H162" s="2418"/>
      <c r="I162" s="2418"/>
      <c r="J162" s="2418"/>
      <c r="K162" s="2418"/>
      <c r="L162" s="2418"/>
      <c r="M162" s="2418"/>
      <c r="N162" s="2413">
        <v>0</v>
      </c>
      <c r="O162" s="2413"/>
      <c r="P162" s="2413"/>
      <c r="Q162" s="2413"/>
      <c r="R162" s="2413"/>
      <c r="S162" s="2413"/>
      <c r="T162" s="2413"/>
      <c r="U162" s="2264"/>
      <c r="V162" s="2264"/>
      <c r="W162" s="2264"/>
      <c r="X162" s="2264"/>
      <c r="Y162" s="2264"/>
      <c r="Z162" s="2264"/>
      <c r="AA162" s="2264"/>
      <c r="AB162" s="2264"/>
      <c r="AC162" s="2264"/>
      <c r="AD162" s="2264"/>
      <c r="AE162" s="2265"/>
      <c r="AF162" s="1207"/>
      <c r="AG162" s="1207"/>
      <c r="AH162" s="2414" t="s">
        <v>2273</v>
      </c>
      <c r="AI162" s="2415"/>
      <c r="AJ162" s="2415"/>
      <c r="AK162" s="2415"/>
      <c r="AL162" s="2415"/>
      <c r="AM162" s="2415"/>
      <c r="AN162" s="2415"/>
      <c r="AO162" s="2415"/>
      <c r="AP162" s="2415"/>
      <c r="AQ162" s="2415"/>
      <c r="AR162" s="2415"/>
      <c r="AS162" s="2416">
        <v>0</v>
      </c>
      <c r="AT162" s="2416"/>
      <c r="AU162" s="2416"/>
      <c r="AV162" s="2416"/>
      <c r="AW162" s="2416"/>
      <c r="AX162" s="2416"/>
      <c r="AY162" s="2416">
        <v>0</v>
      </c>
      <c r="AZ162" s="2416"/>
      <c r="BA162" s="2416"/>
      <c r="BB162" s="2416"/>
      <c r="BC162" s="2416"/>
      <c r="BD162" s="2417"/>
      <c r="BE162" s="1213"/>
    </row>
    <row r="163" spans="1:57" ht="15.75" customHeight="1" thickBot="1">
      <c r="A163" s="1207"/>
      <c r="B163" s="1207"/>
      <c r="C163" s="2424" t="s">
        <v>302</v>
      </c>
      <c r="D163" s="2425"/>
      <c r="E163" s="2426" t="s">
        <v>1916</v>
      </c>
      <c r="F163" s="2426"/>
      <c r="G163" s="2426"/>
      <c r="H163" s="2426"/>
      <c r="I163" s="2426"/>
      <c r="J163" s="2426"/>
      <c r="K163" s="2426"/>
      <c r="L163" s="2426"/>
      <c r="M163" s="2427"/>
      <c r="N163" s="2428">
        <v>0</v>
      </c>
      <c r="O163" s="2428"/>
      <c r="P163" s="2428"/>
      <c r="Q163" s="2428"/>
      <c r="R163" s="2428"/>
      <c r="S163" s="2428"/>
      <c r="T163" s="2429"/>
      <c r="U163" s="2430"/>
      <c r="V163" s="2431"/>
      <c r="W163" s="2431"/>
      <c r="X163" s="2431"/>
      <c r="Y163" s="2431"/>
      <c r="Z163" s="2431"/>
      <c r="AA163" s="2431"/>
      <c r="AB163" s="2431"/>
      <c r="AC163" s="2431"/>
      <c r="AD163" s="2431"/>
      <c r="AE163" s="2432"/>
      <c r="AF163" s="1207"/>
      <c r="AG163" s="1207"/>
      <c r="AH163" s="2414" t="s">
        <v>2274</v>
      </c>
      <c r="AI163" s="2415"/>
      <c r="AJ163" s="2415"/>
      <c r="AK163" s="2415"/>
      <c r="AL163" s="2415"/>
      <c r="AM163" s="2415"/>
      <c r="AN163" s="2415"/>
      <c r="AO163" s="2415"/>
      <c r="AP163" s="2415"/>
      <c r="AQ163" s="2415"/>
      <c r="AR163" s="2415"/>
      <c r="AS163" s="2416">
        <v>0</v>
      </c>
      <c r="AT163" s="2416"/>
      <c r="AU163" s="2416"/>
      <c r="AV163" s="2416"/>
      <c r="AW163" s="2416"/>
      <c r="AX163" s="2416"/>
      <c r="AY163" s="2416">
        <v>0</v>
      </c>
      <c r="AZ163" s="2416"/>
      <c r="BA163" s="2416"/>
      <c r="BB163" s="2416"/>
      <c r="BC163" s="2416"/>
      <c r="BD163" s="2417"/>
      <c r="BE163" s="1213"/>
    </row>
    <row r="164" spans="1:57" ht="15.75" customHeight="1">
      <c r="A164" s="1207"/>
      <c r="B164" s="1207"/>
      <c r="C164" s="2420" t="s">
        <v>1924</v>
      </c>
      <c r="D164" s="2421"/>
      <c r="E164" s="2421"/>
      <c r="F164" s="2421"/>
      <c r="G164" s="2421"/>
      <c r="H164" s="2421"/>
      <c r="I164" s="2421"/>
      <c r="J164" s="2421"/>
      <c r="K164" s="2421"/>
      <c r="L164" s="2421"/>
      <c r="M164" s="2421"/>
      <c r="N164" s="2422">
        <f>SUM(N156:T163)</f>
        <v>5296525</v>
      </c>
      <c r="O164" s="2422"/>
      <c r="P164" s="2422"/>
      <c r="Q164" s="2422"/>
      <c r="R164" s="2422"/>
      <c r="S164" s="2422"/>
      <c r="T164" s="2423"/>
      <c r="U164" s="1207"/>
      <c r="V164" s="1207"/>
      <c r="W164" s="1207"/>
      <c r="X164" s="1207"/>
      <c r="Y164" s="1207"/>
      <c r="Z164" s="1207"/>
      <c r="AA164" s="1207"/>
      <c r="AB164" s="1207"/>
      <c r="AC164" s="1207"/>
      <c r="AD164" s="1207"/>
      <c r="AE164" s="1207"/>
      <c r="AF164" s="1207"/>
      <c r="AG164" s="1207"/>
      <c r="AH164" s="2414" t="s">
        <v>2275</v>
      </c>
      <c r="AI164" s="2415"/>
      <c r="AJ164" s="2415"/>
      <c r="AK164" s="2415"/>
      <c r="AL164" s="2415"/>
      <c r="AM164" s="2415"/>
      <c r="AN164" s="2415"/>
      <c r="AO164" s="2415"/>
      <c r="AP164" s="2415"/>
      <c r="AQ164" s="2415"/>
      <c r="AR164" s="2415"/>
      <c r="AS164" s="2416">
        <v>0</v>
      </c>
      <c r="AT164" s="2416"/>
      <c r="AU164" s="2416"/>
      <c r="AV164" s="2416"/>
      <c r="AW164" s="2416"/>
      <c r="AX164" s="2416"/>
      <c r="AY164" s="2416">
        <v>0</v>
      </c>
      <c r="AZ164" s="2416"/>
      <c r="BA164" s="2416"/>
      <c r="BB164" s="2416"/>
      <c r="BC164" s="2416"/>
      <c r="BD164" s="2417"/>
      <c r="BE164" s="1213"/>
    </row>
    <row r="165" spans="1:57" ht="15.75" customHeight="1" thickBot="1">
      <c r="A165" s="1207"/>
      <c r="B165" s="1207"/>
      <c r="C165" s="2446" t="s">
        <v>2612</v>
      </c>
      <c r="D165" s="2447"/>
      <c r="E165" s="2447"/>
      <c r="F165" s="2447"/>
      <c r="G165" s="2447"/>
      <c r="H165" s="2447"/>
      <c r="I165" s="2447"/>
      <c r="J165" s="2447"/>
      <c r="K165" s="2447"/>
      <c r="L165" s="2447"/>
      <c r="M165" s="2447"/>
      <c r="N165" s="2448">
        <f>(N154-N164)/J29</f>
        <v>464983.36</v>
      </c>
      <c r="O165" s="2449"/>
      <c r="P165" s="2449"/>
      <c r="Q165" s="2449"/>
      <c r="R165" s="2449"/>
      <c r="S165" s="2449"/>
      <c r="T165" s="2450"/>
      <c r="U165" s="1214"/>
      <c r="V165" s="1207"/>
      <c r="W165" s="1207"/>
      <c r="X165" s="1207"/>
      <c r="Y165" s="1207"/>
      <c r="Z165" s="1207"/>
      <c r="AA165" s="1207"/>
      <c r="AB165" s="1207"/>
      <c r="AC165" s="1207"/>
      <c r="AD165" s="1207"/>
      <c r="AE165" s="1207"/>
      <c r="AF165" s="1207"/>
      <c r="AG165" s="1207"/>
      <c r="AH165" s="2414" t="s">
        <v>2276</v>
      </c>
      <c r="AI165" s="2415"/>
      <c r="AJ165" s="2415"/>
      <c r="AK165" s="2415"/>
      <c r="AL165" s="2415"/>
      <c r="AM165" s="2415"/>
      <c r="AN165" s="2415"/>
      <c r="AO165" s="2415"/>
      <c r="AP165" s="2415"/>
      <c r="AQ165" s="2415"/>
      <c r="AR165" s="2415"/>
      <c r="AS165" s="2416">
        <v>0</v>
      </c>
      <c r="AT165" s="2416"/>
      <c r="AU165" s="2416"/>
      <c r="AV165" s="2416"/>
      <c r="AW165" s="2416"/>
      <c r="AX165" s="2416"/>
      <c r="AY165" s="2416">
        <v>0</v>
      </c>
      <c r="AZ165" s="2416"/>
      <c r="BA165" s="2416"/>
      <c r="BB165" s="2416"/>
      <c r="BC165" s="2416"/>
      <c r="BD165" s="241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1" t="s">
        <v>125</v>
      </c>
      <c r="AI166" s="2452"/>
      <c r="AJ166" s="2452"/>
      <c r="AK166" s="2452"/>
      <c r="AL166" s="2452"/>
      <c r="AM166" s="2452"/>
      <c r="AN166" s="2452"/>
      <c r="AO166" s="2452"/>
      <c r="AP166" s="2452"/>
      <c r="AQ166" s="2452"/>
      <c r="AR166" s="2452"/>
      <c r="AS166" s="2453">
        <f>SUM(AS160:AX165)</f>
        <v>0</v>
      </c>
      <c r="AT166" s="2453"/>
      <c r="AU166" s="2453"/>
      <c r="AV166" s="2453"/>
      <c r="AW166" s="2453"/>
      <c r="AX166" s="2453"/>
      <c r="AY166" s="2453">
        <f>SUM(AY160:BD165)</f>
        <v>0</v>
      </c>
      <c r="AZ166" s="2453"/>
      <c r="BA166" s="2453"/>
      <c r="BB166" s="2453"/>
      <c r="BC166" s="2453"/>
      <c r="BD166" s="2454"/>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3" t="s">
        <v>1925</v>
      </c>
      <c r="C168" s="2434"/>
      <c r="D168" s="2434"/>
      <c r="E168" s="2434"/>
      <c r="F168" s="2434"/>
      <c r="G168" s="2434"/>
      <c r="H168" s="2434"/>
      <c r="I168" s="2434"/>
      <c r="J168" s="2434"/>
      <c r="K168" s="2434"/>
      <c r="L168" s="2434"/>
      <c r="M168" s="2434"/>
      <c r="N168" s="2434"/>
      <c r="O168" s="2434"/>
      <c r="P168" s="2434"/>
      <c r="Q168" s="2434"/>
      <c r="R168" s="2434"/>
      <c r="S168" s="2434"/>
      <c r="T168" s="2434"/>
      <c r="U168" s="2434"/>
      <c r="V168" s="2434"/>
      <c r="W168" s="2434"/>
      <c r="X168" s="2434"/>
      <c r="Y168" s="2434"/>
      <c r="Z168" s="2434"/>
      <c r="AA168" s="2434"/>
      <c r="AB168" s="2434"/>
      <c r="AC168" s="2434"/>
      <c r="AD168" s="2434"/>
      <c r="AE168" s="2434"/>
      <c r="AF168" s="2434"/>
      <c r="AG168" s="2434"/>
      <c r="AH168" s="2434"/>
      <c r="AI168" s="2434"/>
      <c r="AJ168" s="2434"/>
      <c r="AK168" s="2434"/>
      <c r="AL168" s="2434"/>
      <c r="AM168" s="2434"/>
      <c r="AN168" s="2434"/>
      <c r="AO168" s="2434"/>
      <c r="AP168" s="2434"/>
      <c r="AQ168" s="2434"/>
      <c r="AR168" s="2434"/>
      <c r="AS168" s="2434"/>
      <c r="AT168" s="2434"/>
      <c r="AU168" s="2434"/>
      <c r="AV168" s="2434"/>
      <c r="AW168" s="2434"/>
      <c r="AX168" s="2434"/>
      <c r="AY168" s="2434"/>
      <c r="AZ168" s="2434"/>
      <c r="BA168" s="2434"/>
      <c r="BB168" s="2434"/>
      <c r="BC168" s="2434"/>
      <c r="BD168" s="2435"/>
      <c r="BE168" s="1213"/>
    </row>
    <row r="169" spans="1:57" ht="15.75" customHeight="1">
      <c r="A169" s="1207"/>
      <c r="B169" s="2436"/>
      <c r="C169" s="2437"/>
      <c r="D169" s="2437"/>
      <c r="E169" s="2437"/>
      <c r="F169" s="2437"/>
      <c r="G169" s="2437"/>
      <c r="H169" s="2437"/>
      <c r="I169" s="2437"/>
      <c r="J169" s="2437"/>
      <c r="K169" s="2437"/>
      <c r="L169" s="2437"/>
      <c r="M169" s="2437"/>
      <c r="N169" s="2437"/>
      <c r="O169" s="2437"/>
      <c r="P169" s="2437"/>
      <c r="Q169" s="2437"/>
      <c r="R169" s="2437"/>
      <c r="S169" s="2437"/>
      <c r="T169" s="2437"/>
      <c r="U169" s="2437"/>
      <c r="V169" s="2437"/>
      <c r="W169" s="2437"/>
      <c r="X169" s="2437"/>
      <c r="Y169" s="2437"/>
      <c r="Z169" s="2437"/>
      <c r="AA169" s="2437"/>
      <c r="AB169" s="2437"/>
      <c r="AC169" s="2437"/>
      <c r="AD169" s="2437"/>
      <c r="AE169" s="2437"/>
      <c r="AF169" s="2437"/>
      <c r="AG169" s="2437"/>
      <c r="AH169" s="2437"/>
      <c r="AI169" s="2437"/>
      <c r="AJ169" s="2437"/>
      <c r="AK169" s="2437"/>
      <c r="AL169" s="2437"/>
      <c r="AM169" s="2437"/>
      <c r="AN169" s="2437"/>
      <c r="AO169" s="2437"/>
      <c r="AP169" s="2437"/>
      <c r="AQ169" s="2437"/>
      <c r="AR169" s="2437"/>
      <c r="AS169" s="2437"/>
      <c r="AT169" s="2437"/>
      <c r="AU169" s="2437"/>
      <c r="AV169" s="2437"/>
      <c r="AW169" s="2437"/>
      <c r="AX169" s="2437"/>
      <c r="AY169" s="2437"/>
      <c r="AZ169" s="2437"/>
      <c r="BA169" s="2437"/>
      <c r="BB169" s="2437"/>
      <c r="BC169" s="2437"/>
      <c r="BD169" s="2438"/>
      <c r="BE169" s="1213"/>
    </row>
    <row r="170" spans="1:57" ht="15.75" customHeight="1">
      <c r="A170" s="1207"/>
      <c r="B170" s="2439" t="s">
        <v>1926</v>
      </c>
      <c r="C170" s="2440"/>
      <c r="D170" s="2440"/>
      <c r="E170" s="2440"/>
      <c r="F170" s="2440"/>
      <c r="G170" s="2440"/>
      <c r="H170" s="2440"/>
      <c r="I170" s="2440"/>
      <c r="J170" s="2440"/>
      <c r="K170" s="2440"/>
      <c r="L170" s="2440"/>
      <c r="M170" s="2440"/>
      <c r="N170" s="2440"/>
      <c r="O170" s="2440"/>
      <c r="P170" s="2440"/>
      <c r="Q170" s="2440"/>
      <c r="R170" s="2440"/>
      <c r="S170" s="2440"/>
      <c r="T170" s="2440"/>
      <c r="U170" s="2440"/>
      <c r="V170" s="2440"/>
      <c r="W170" s="2440"/>
      <c r="X170" s="2440"/>
      <c r="Y170" s="2440"/>
      <c r="Z170" s="2440"/>
      <c r="AA170" s="2440"/>
      <c r="AB170" s="2440"/>
      <c r="AC170" s="2440"/>
      <c r="AD170" s="2440"/>
      <c r="AE170" s="2440"/>
      <c r="AF170" s="2440"/>
      <c r="AG170" s="2440"/>
      <c r="AH170" s="2440"/>
      <c r="AI170" s="2440"/>
      <c r="AJ170" s="2440"/>
      <c r="AK170" s="2440"/>
      <c r="AL170" s="2440"/>
      <c r="AM170" s="2440"/>
      <c r="AN170" s="2440"/>
      <c r="AO170" s="2440"/>
      <c r="AP170" s="2440"/>
      <c r="AQ170" s="2440"/>
      <c r="AR170" s="2440"/>
      <c r="AS170" s="2440"/>
      <c r="AT170" s="2440"/>
      <c r="AU170" s="2440"/>
      <c r="AV170" s="2440"/>
      <c r="AW170" s="2440"/>
      <c r="AX170" s="2440"/>
      <c r="AY170" s="2440"/>
      <c r="AZ170" s="2440"/>
      <c r="BA170" s="2440"/>
      <c r="BB170" s="2440"/>
      <c r="BC170" s="2440"/>
      <c r="BD170" s="2441"/>
      <c r="BE170" s="1213"/>
    </row>
    <row r="171" spans="1:57" ht="15.75" customHeight="1">
      <c r="A171" s="1207"/>
      <c r="B171" s="2439" t="s">
        <v>1927</v>
      </c>
      <c r="C171" s="2440"/>
      <c r="D171" s="2440"/>
      <c r="E171" s="2440"/>
      <c r="F171" s="2440"/>
      <c r="G171" s="2440"/>
      <c r="H171" s="2440"/>
      <c r="I171" s="2440"/>
      <c r="J171" s="2440"/>
      <c r="K171" s="2440"/>
      <c r="L171" s="2440"/>
      <c r="M171" s="2440"/>
      <c r="N171" s="2440"/>
      <c r="O171" s="2440"/>
      <c r="P171" s="2440"/>
      <c r="Q171" s="2440"/>
      <c r="R171" s="2440"/>
      <c r="S171" s="2440"/>
      <c r="T171" s="2440"/>
      <c r="U171" s="2440"/>
      <c r="V171" s="2440"/>
      <c r="W171" s="2440"/>
      <c r="X171" s="2440"/>
      <c r="Y171" s="2440"/>
      <c r="Z171" s="2440"/>
      <c r="AA171" s="2440"/>
      <c r="AB171" s="2440"/>
      <c r="AC171" s="2440"/>
      <c r="AD171" s="2440"/>
      <c r="AE171" s="2440"/>
      <c r="AF171" s="2440"/>
      <c r="AG171" s="2440"/>
      <c r="AH171" s="2440"/>
      <c r="AI171" s="2440"/>
      <c r="AJ171" s="2440"/>
      <c r="AK171" s="2440"/>
      <c r="AL171" s="2440"/>
      <c r="AM171" s="2440"/>
      <c r="AN171" s="2440"/>
      <c r="AO171" s="2440"/>
      <c r="AP171" s="2440"/>
      <c r="AQ171" s="2440"/>
      <c r="AR171" s="2440"/>
      <c r="AS171" s="2440"/>
      <c r="AT171" s="2440"/>
      <c r="AU171" s="2440"/>
      <c r="AV171" s="2440"/>
      <c r="AW171" s="2440"/>
      <c r="AX171" s="2440"/>
      <c r="AY171" s="2440"/>
      <c r="AZ171" s="2440"/>
      <c r="BA171" s="2440"/>
      <c r="BB171" s="2440"/>
      <c r="BC171" s="2440"/>
      <c r="BD171" s="244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2" t="s">
        <v>1928</v>
      </c>
      <c r="C173" s="2443"/>
      <c r="D173" s="2443"/>
      <c r="E173" s="2443"/>
      <c r="F173" s="2443"/>
      <c r="G173" s="2443"/>
      <c r="H173" s="2443"/>
      <c r="I173" s="2443"/>
      <c r="J173" s="2443"/>
      <c r="K173" s="2443"/>
      <c r="L173" s="2443"/>
      <c r="M173" s="2443"/>
      <c r="N173" s="2443"/>
      <c r="O173" s="2443"/>
      <c r="P173" s="2443"/>
      <c r="Q173" s="2443"/>
      <c r="R173" s="2443"/>
      <c r="S173" s="2443"/>
      <c r="T173" s="2443"/>
      <c r="U173" s="2443"/>
      <c r="V173" s="2443"/>
      <c r="W173" s="2443"/>
      <c r="X173" s="2443"/>
      <c r="Y173" s="2443"/>
      <c r="Z173" s="2443"/>
      <c r="AA173" s="2443"/>
      <c r="AB173" s="2443"/>
      <c r="AC173" s="2443"/>
      <c r="AD173" s="2443"/>
      <c r="AE173" s="2443"/>
      <c r="AF173" s="2443"/>
      <c r="AG173" s="2443"/>
      <c r="AH173" s="2443"/>
      <c r="AI173" s="2443"/>
      <c r="AJ173" s="2443"/>
      <c r="AK173" s="2443"/>
      <c r="AL173" s="2443"/>
      <c r="AM173" s="2443"/>
      <c r="AN173" s="2443"/>
      <c r="AO173" s="2443"/>
      <c r="AP173" s="2443"/>
      <c r="AQ173" s="2443"/>
      <c r="AR173" s="2443"/>
      <c r="AS173" s="2443"/>
      <c r="AT173" s="2443"/>
      <c r="AU173" s="2443"/>
      <c r="AV173" s="2443"/>
      <c r="AW173" s="2443"/>
      <c r="AX173" s="2443"/>
      <c r="AY173" s="2443"/>
      <c r="AZ173" s="2443"/>
      <c r="BA173" s="2443"/>
      <c r="BB173" s="2443"/>
      <c r="BC173" s="2443"/>
      <c r="BD173" s="244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5" t="s">
        <v>1930</v>
      </c>
      <c r="I177" s="2445"/>
      <c r="J177" s="2445"/>
      <c r="K177" s="2445"/>
      <c r="L177" s="2445"/>
      <c r="M177" s="2445"/>
      <c r="N177" s="2445"/>
      <c r="O177" s="2445"/>
      <c r="P177" s="2445"/>
      <c r="Q177" s="2445"/>
      <c r="R177" s="2445"/>
      <c r="S177" s="2445"/>
      <c r="T177" s="2445"/>
      <c r="U177" s="2445"/>
      <c r="V177" s="2445"/>
      <c r="W177" s="2445"/>
      <c r="X177" s="2445"/>
      <c r="Y177" s="2445"/>
      <c r="Z177" s="2445"/>
      <c r="AA177" s="2445"/>
      <c r="AB177" s="2445"/>
      <c r="AC177" s="2445"/>
      <c r="AD177" s="2445"/>
      <c r="AE177" s="2445"/>
      <c r="AF177" s="2445"/>
      <c r="AG177" s="2445"/>
      <c r="AH177" s="2445"/>
      <c r="AI177" s="2445"/>
      <c r="AJ177" s="2445"/>
      <c r="AK177" s="2445"/>
      <c r="AL177" s="2445"/>
      <c r="AM177" s="2445"/>
      <c r="AN177" s="2445"/>
      <c r="AO177" s="2445"/>
      <c r="AP177" s="2445"/>
      <c r="AQ177" s="2445"/>
      <c r="AR177" s="2445"/>
      <c r="AS177" s="2445"/>
      <c r="AT177" s="2445"/>
      <c r="AU177" s="2445"/>
      <c r="AV177" s="2445"/>
      <c r="AW177" s="2445"/>
      <c r="AX177" s="2445"/>
      <c r="AY177" s="244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4" t="s">
        <v>2613</v>
      </c>
      <c r="I179" s="2464"/>
      <c r="J179" s="2464"/>
      <c r="K179" s="2464"/>
      <c r="L179" s="2464"/>
      <c r="M179" s="2464"/>
      <c r="N179" s="2464"/>
      <c r="O179" s="2464"/>
      <c r="P179" s="2464"/>
      <c r="Q179" s="2464"/>
      <c r="R179" s="2464"/>
      <c r="S179" s="2464"/>
      <c r="T179" s="2464"/>
      <c r="U179" s="2464"/>
      <c r="V179" s="2464"/>
      <c r="W179" s="2464"/>
      <c r="X179" s="2464"/>
      <c r="Y179" s="2464"/>
      <c r="Z179" s="2464"/>
      <c r="AA179" s="2464"/>
      <c r="AB179" s="2464"/>
      <c r="AC179" s="2464"/>
      <c r="AD179" s="2464"/>
      <c r="AE179" s="2464"/>
      <c r="AF179" s="2464"/>
      <c r="AG179" s="2464"/>
      <c r="AH179" s="2464"/>
      <c r="AI179" s="2464"/>
      <c r="AJ179" s="2464"/>
      <c r="AK179" s="2464"/>
      <c r="AL179" s="2464"/>
      <c r="AM179" s="2464"/>
      <c r="AN179" s="2464"/>
      <c r="AO179" s="2464"/>
      <c r="AP179" s="2464"/>
      <c r="AQ179" s="2464"/>
      <c r="AR179" s="2464"/>
      <c r="AS179" s="2464"/>
      <c r="AT179" s="2464"/>
      <c r="AU179" s="2464"/>
      <c r="AV179" s="2464"/>
      <c r="AW179" s="2464"/>
      <c r="AX179" s="2464"/>
      <c r="AY179" s="2464"/>
      <c r="AZ179" s="2464"/>
      <c r="BA179" s="1207"/>
      <c r="BB179" s="1207"/>
      <c r="BC179" s="1207"/>
      <c r="BD179" s="1213"/>
      <c r="BE179" s="1213"/>
    </row>
    <row r="180" spans="1:57" ht="15.75" customHeight="1">
      <c r="A180" s="1207"/>
      <c r="B180" s="1206"/>
      <c r="C180" s="1207"/>
      <c r="D180" s="1207"/>
      <c r="E180" s="1207"/>
      <c r="F180" s="1207"/>
      <c r="G180" s="1207"/>
      <c r="H180" s="2464"/>
      <c r="I180" s="2464"/>
      <c r="J180" s="2464"/>
      <c r="K180" s="2464"/>
      <c r="L180" s="2464"/>
      <c r="M180" s="2464"/>
      <c r="N180" s="2464"/>
      <c r="O180" s="2464"/>
      <c r="P180" s="2464"/>
      <c r="Q180" s="2464"/>
      <c r="R180" s="2464"/>
      <c r="S180" s="2464"/>
      <c r="T180" s="2464"/>
      <c r="U180" s="2464"/>
      <c r="V180" s="2464"/>
      <c r="W180" s="2464"/>
      <c r="X180" s="2464"/>
      <c r="Y180" s="2464"/>
      <c r="Z180" s="2464"/>
      <c r="AA180" s="2464"/>
      <c r="AB180" s="2464"/>
      <c r="AC180" s="2464"/>
      <c r="AD180" s="2464"/>
      <c r="AE180" s="2464"/>
      <c r="AF180" s="2464"/>
      <c r="AG180" s="2464"/>
      <c r="AH180" s="2464"/>
      <c r="AI180" s="2464"/>
      <c r="AJ180" s="2464"/>
      <c r="AK180" s="2464"/>
      <c r="AL180" s="2464"/>
      <c r="AM180" s="2464"/>
      <c r="AN180" s="2464"/>
      <c r="AO180" s="2464"/>
      <c r="AP180" s="2464"/>
      <c r="AQ180" s="2464"/>
      <c r="AR180" s="2464"/>
      <c r="AS180" s="2464"/>
      <c r="AT180" s="2464"/>
      <c r="AU180" s="2464"/>
      <c r="AV180" s="2464"/>
      <c r="AW180" s="2464"/>
      <c r="AX180" s="2464"/>
      <c r="AY180" s="2464"/>
      <c r="AZ180" s="2464"/>
      <c r="BA180" s="1207"/>
      <c r="BB180" s="1207"/>
      <c r="BC180" s="1207"/>
      <c r="BD180" s="1213"/>
      <c r="BE180" s="1213"/>
    </row>
    <row r="181" spans="1:57" ht="15.75" customHeight="1">
      <c r="A181" s="1207"/>
      <c r="B181" s="1206"/>
      <c r="C181" s="1207"/>
      <c r="D181" s="1207"/>
      <c r="E181" s="1207"/>
      <c r="F181" s="1207"/>
      <c r="G181" s="1207"/>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4"/>
      <c r="AF181" s="2464"/>
      <c r="AG181" s="2464"/>
      <c r="AH181" s="2464"/>
      <c r="AI181" s="2464"/>
      <c r="AJ181" s="2464"/>
      <c r="AK181" s="2464"/>
      <c r="AL181" s="2464"/>
      <c r="AM181" s="2464"/>
      <c r="AN181" s="2464"/>
      <c r="AO181" s="2464"/>
      <c r="AP181" s="2464"/>
      <c r="AQ181" s="2464"/>
      <c r="AR181" s="2464"/>
      <c r="AS181" s="2464"/>
      <c r="AT181" s="2464"/>
      <c r="AU181" s="2464"/>
      <c r="AV181" s="2464"/>
      <c r="AW181" s="2464"/>
      <c r="AX181" s="2464"/>
      <c r="AY181" s="2464"/>
      <c r="AZ181" s="2464"/>
      <c r="BA181" s="1207"/>
      <c r="BB181" s="1207"/>
      <c r="BC181" s="1207"/>
      <c r="BD181" s="1213"/>
      <c r="BE181" s="1213"/>
    </row>
    <row r="182" spans="1:57" ht="15.75" customHeight="1">
      <c r="A182" s="1207"/>
      <c r="B182" s="1206"/>
      <c r="C182" s="1207"/>
      <c r="D182" s="1207"/>
      <c r="E182" s="1207"/>
      <c r="F182" s="1207"/>
      <c r="G182" s="1207"/>
      <c r="H182" s="2464"/>
      <c r="I182" s="2464"/>
      <c r="J182" s="2464"/>
      <c r="K182" s="2464"/>
      <c r="L182" s="2464"/>
      <c r="M182" s="2464"/>
      <c r="N182" s="2464"/>
      <c r="O182" s="2464"/>
      <c r="P182" s="2464"/>
      <c r="Q182" s="2464"/>
      <c r="R182" s="2464"/>
      <c r="S182" s="2464"/>
      <c r="T182" s="2464"/>
      <c r="U182" s="2464"/>
      <c r="V182" s="2464"/>
      <c r="W182" s="2464"/>
      <c r="X182" s="2464"/>
      <c r="Y182" s="2464"/>
      <c r="Z182" s="2464"/>
      <c r="AA182" s="2464"/>
      <c r="AB182" s="2464"/>
      <c r="AC182" s="2464"/>
      <c r="AD182" s="2464"/>
      <c r="AE182" s="2464"/>
      <c r="AF182" s="2464"/>
      <c r="AG182" s="2464"/>
      <c r="AH182" s="2464"/>
      <c r="AI182" s="2464"/>
      <c r="AJ182" s="2464"/>
      <c r="AK182" s="2464"/>
      <c r="AL182" s="2464"/>
      <c r="AM182" s="2464"/>
      <c r="AN182" s="2464"/>
      <c r="AO182" s="2464"/>
      <c r="AP182" s="2464"/>
      <c r="AQ182" s="2464"/>
      <c r="AR182" s="2464"/>
      <c r="AS182" s="2464"/>
      <c r="AT182" s="2464"/>
      <c r="AU182" s="2464"/>
      <c r="AV182" s="2464"/>
      <c r="AW182" s="2464"/>
      <c r="AX182" s="2464"/>
      <c r="AY182" s="2464"/>
      <c r="AZ182" s="246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5" t="s">
        <v>1931</v>
      </c>
      <c r="I184" s="2465"/>
      <c r="J184" s="2465"/>
      <c r="K184" s="2465"/>
      <c r="L184" s="2465"/>
      <c r="M184" s="2465"/>
      <c r="N184" s="2465"/>
      <c r="O184" s="2465"/>
      <c r="P184" s="2465"/>
      <c r="Q184" s="2465"/>
      <c r="R184" s="2465"/>
      <c r="S184" s="2465"/>
      <c r="T184" s="2465"/>
      <c r="U184" s="2465"/>
      <c r="V184" s="2465"/>
      <c r="W184" s="2465"/>
      <c r="X184" s="2465"/>
      <c r="Y184" s="2465"/>
      <c r="Z184" s="2465"/>
      <c r="AA184" s="2465"/>
      <c r="AB184" s="2465"/>
      <c r="AC184" s="2465"/>
      <c r="AD184" s="2465"/>
      <c r="AE184" s="2465"/>
      <c r="AF184" s="2465"/>
      <c r="AG184" s="2465"/>
      <c r="AH184" s="2465"/>
      <c r="AI184" s="2465"/>
      <c r="AJ184" s="2465"/>
      <c r="AK184" s="2465"/>
      <c r="AL184" s="2465"/>
      <c r="AM184" s="2465"/>
      <c r="AN184" s="2465"/>
      <c r="AO184" s="2465"/>
      <c r="AP184" s="2465"/>
      <c r="AQ184" s="2465"/>
      <c r="AR184" s="2465"/>
      <c r="AS184" s="2465"/>
      <c r="AT184" s="2465"/>
      <c r="AU184" s="2465"/>
      <c r="AV184" s="246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5" t="s">
        <v>1932</v>
      </c>
      <c r="I186" s="2455"/>
      <c r="J186" s="2455"/>
      <c r="K186" s="2455"/>
      <c r="L186" s="1222"/>
      <c r="M186" s="1222"/>
      <c r="N186" s="1222"/>
      <c r="O186" s="1222"/>
      <c r="P186" s="1222"/>
      <c r="Q186" s="1222"/>
      <c r="R186" s="1222"/>
      <c r="S186" s="2466"/>
      <c r="T186" s="2462"/>
      <c r="U186" s="2462"/>
      <c r="V186" s="2462"/>
      <c r="W186" s="2462"/>
      <c r="X186" s="2462"/>
      <c r="Y186" s="2462"/>
      <c r="Z186" s="2462"/>
      <c r="AA186" s="2462"/>
      <c r="AB186" s="2462"/>
      <c r="AC186" s="2462"/>
      <c r="AD186" s="2462"/>
      <c r="AE186" s="2462"/>
      <c r="AF186" s="2462"/>
      <c r="AG186" s="2462"/>
      <c r="AH186" s="2462"/>
      <c r="AI186" s="2462"/>
      <c r="AJ186" s="246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5" t="s">
        <v>1933</v>
      </c>
      <c r="I188" s="2455"/>
      <c r="J188" s="2455"/>
      <c r="K188" s="1255"/>
      <c r="L188" s="1222"/>
      <c r="M188" s="1222"/>
      <c r="N188" s="1222"/>
      <c r="O188" s="1222"/>
      <c r="P188" s="1222"/>
      <c r="Q188" s="1222"/>
      <c r="R188" s="1222"/>
      <c r="S188" s="2456"/>
      <c r="T188" s="2457"/>
      <c r="U188" s="2457"/>
      <c r="V188" s="2457"/>
      <c r="W188" s="2457"/>
      <c r="X188" s="2457"/>
      <c r="Y188" s="2457"/>
      <c r="Z188" s="2457"/>
      <c r="AA188" s="2457"/>
      <c r="AB188" s="2457"/>
      <c r="AC188" s="2457"/>
      <c r="AD188" s="2457"/>
      <c r="AE188" s="2457"/>
      <c r="AF188" s="2457"/>
      <c r="AG188" s="2457"/>
      <c r="AH188" s="2457"/>
      <c r="AI188" s="2457"/>
      <c r="AJ188" s="245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5" t="s">
        <v>445</v>
      </c>
      <c r="I190" s="2455"/>
      <c r="J190" s="1255"/>
      <c r="K190" s="1255"/>
      <c r="L190" s="1222"/>
      <c r="M190" s="1222"/>
      <c r="N190" s="1222"/>
      <c r="O190" s="1222"/>
      <c r="P190" s="1222"/>
      <c r="Q190" s="1222"/>
      <c r="R190" s="1222"/>
      <c r="S190" s="2456"/>
      <c r="T190" s="2457"/>
      <c r="U190" s="2457"/>
      <c r="V190" s="2457"/>
      <c r="W190" s="2457"/>
      <c r="X190" s="2457"/>
      <c r="Y190" s="2457"/>
      <c r="Z190" s="2457"/>
      <c r="AA190" s="2457"/>
      <c r="AB190" s="2457"/>
      <c r="AC190" s="2457"/>
      <c r="AD190" s="2457"/>
      <c r="AE190" s="2457"/>
      <c r="AF190" s="2457"/>
      <c r="AG190" s="2457"/>
      <c r="AH190" s="2457"/>
      <c r="AI190" s="2457"/>
      <c r="AJ190" s="245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9" t="s">
        <v>1934</v>
      </c>
      <c r="I192" s="2459"/>
      <c r="J192" s="2459"/>
      <c r="K192" s="2459"/>
      <c r="L192" s="2459"/>
      <c r="M192" s="2459"/>
      <c r="N192" s="2459"/>
      <c r="O192" s="2459"/>
      <c r="P192" s="1222"/>
      <c r="Q192" s="1222"/>
      <c r="R192" s="1222"/>
      <c r="S192" s="2456"/>
      <c r="T192" s="2457"/>
      <c r="U192" s="2457"/>
      <c r="V192" s="2457"/>
      <c r="W192" s="2457"/>
      <c r="X192" s="2457"/>
      <c r="Y192" s="2457"/>
      <c r="Z192" s="2457"/>
      <c r="AA192" s="2457"/>
      <c r="AB192" s="2457"/>
      <c r="AC192" s="2457"/>
      <c r="AD192" s="2457"/>
      <c r="AE192" s="2457"/>
      <c r="AF192" s="2457"/>
      <c r="AG192" s="2457"/>
      <c r="AH192" s="2457"/>
      <c r="AI192" s="2457"/>
      <c r="AJ192" s="245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0" t="s">
        <v>1935</v>
      </c>
      <c r="I194" s="2460"/>
      <c r="J194" s="1222"/>
      <c r="K194" s="1222"/>
      <c r="L194" s="1222"/>
      <c r="M194" s="1222"/>
      <c r="N194" s="1222"/>
      <c r="O194" s="1222"/>
      <c r="P194" s="1222"/>
      <c r="Q194" s="1222"/>
      <c r="R194" s="1222"/>
      <c r="S194" s="2461"/>
      <c r="T194" s="2462"/>
      <c r="U194" s="2462"/>
      <c r="V194" s="2462"/>
      <c r="W194" s="2462"/>
      <c r="X194" s="2462"/>
      <c r="Y194" s="2462"/>
      <c r="Z194" s="2462"/>
      <c r="AA194" s="2462"/>
      <c r="AB194" s="2462"/>
      <c r="AC194" s="2462"/>
      <c r="AD194" s="2462"/>
      <c r="AE194" s="2462"/>
      <c r="AF194" s="2462"/>
      <c r="AG194" s="2462"/>
      <c r="AH194" s="2462"/>
      <c r="AI194" s="2462"/>
      <c r="AJ194" s="246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6" zoomScaleNormal="100" zoomScaleSheetLayoutView="100" workbookViewId="0">
      <selection activeCell="T16" sqref="T16:X16"/>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498" t="s">
        <v>1445</v>
      </c>
      <c r="B1" s="2498"/>
      <c r="C1" s="2498"/>
      <c r="D1" s="2498"/>
      <c r="E1" s="2498"/>
      <c r="F1" s="2498"/>
      <c r="G1" s="2498"/>
      <c r="H1" s="2498"/>
      <c r="I1" s="2498"/>
      <c r="J1" s="2498"/>
      <c r="K1" s="2498"/>
      <c r="L1" s="2498"/>
      <c r="M1" s="2498"/>
      <c r="N1" s="2498"/>
      <c r="O1" s="2498"/>
      <c r="P1" s="2498"/>
      <c r="Q1" s="2498"/>
      <c r="R1" s="2498"/>
      <c r="S1" s="2498"/>
      <c r="T1" s="2498"/>
      <c r="U1" s="2498"/>
      <c r="V1" s="2498"/>
      <c r="W1" s="2498"/>
      <c r="X1" s="2498"/>
      <c r="Y1" s="2498"/>
      <c r="Z1" s="2498"/>
      <c r="AA1" s="2498"/>
      <c r="AB1" s="2498"/>
      <c r="AC1" s="2498"/>
      <c r="AD1" s="2498"/>
      <c r="AE1" s="2498"/>
      <c r="AF1" s="2498"/>
      <c r="AG1" s="2498"/>
      <c r="AH1" s="2498"/>
      <c r="AI1" s="2498"/>
      <c r="AJ1" s="2498"/>
      <c r="AK1" s="2498"/>
      <c r="AL1" s="2498"/>
      <c r="AM1" s="2498"/>
      <c r="AN1" s="2498"/>
    </row>
    <row r="2" spans="1:40" ht="12.95" customHeight="1" thickBot="1">
      <c r="A2" s="2499"/>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0" t="str">
        <f xml:space="preserve"> IF(T25=100%,'Sources and Basis Breakdown'!G2,'Sources and Basis Breakdown'!F2)</f>
        <v>30% PVC for New Const/
Rehabilitation
DDA/QCT
Building(s)</v>
      </c>
      <c r="U7" s="2500"/>
      <c r="V7" s="2500"/>
      <c r="W7" s="2500"/>
      <c r="X7" s="2500"/>
      <c r="Y7" s="2500" t="str">
        <f>IF(T25=100%," ",'Sources and Basis Breakdown'!G2)</f>
        <v>30% PVC for New Const/
Rehabilitation
NON-DDA/
NON-QCT Building(s)</v>
      </c>
      <c r="Z7" s="2500"/>
      <c r="AA7" s="2500"/>
      <c r="AB7" s="2500"/>
      <c r="AC7" s="2500"/>
      <c r="AD7" s="2500" t="str">
        <f xml:space="preserve"> IF(T25=100%, 'Sources and Basis Breakdown'!J2,'Sources and Basis Breakdown'!I2)</f>
        <v>30% PVC for Acquisition
DDA/QCT Building(s)</v>
      </c>
      <c r="AE7" s="2500"/>
      <c r="AF7" s="2500"/>
      <c r="AG7" s="2500"/>
      <c r="AH7" s="2500"/>
      <c r="AI7" s="2500" t="str">
        <f>IF(T25=100%," ",'Sources and Basis Breakdown'!J2)</f>
        <v>30% PVC for Acquisition
NON-DDA/
NON-QCT Building(s)</v>
      </c>
      <c r="AJ7" s="2500"/>
      <c r="AK7" s="2500"/>
      <c r="AL7" s="2500"/>
      <c r="AM7" s="2500"/>
    </row>
    <row r="8" spans="1:40" ht="12.95" customHeight="1">
      <c r="B8" s="439"/>
      <c r="T8" s="2500"/>
      <c r="U8" s="2500"/>
      <c r="V8" s="2500"/>
      <c r="W8" s="2500"/>
      <c r="X8" s="2500"/>
      <c r="Y8" s="2500"/>
      <c r="Z8" s="2500"/>
      <c r="AA8" s="2500"/>
      <c r="AB8" s="2500"/>
      <c r="AC8" s="2500"/>
      <c r="AD8" s="2500"/>
      <c r="AE8" s="2500"/>
      <c r="AF8" s="2500"/>
      <c r="AG8" s="2500"/>
      <c r="AH8" s="2500"/>
      <c r="AI8" s="2500"/>
      <c r="AJ8" s="2500"/>
      <c r="AK8" s="2500"/>
      <c r="AL8" s="2500"/>
      <c r="AM8" s="2500"/>
    </row>
    <row r="9" spans="1:40" ht="12.95" customHeight="1">
      <c r="B9" s="439"/>
      <c r="T9" s="2500"/>
      <c r="U9" s="2500"/>
      <c r="V9" s="2500"/>
      <c r="W9" s="2500"/>
      <c r="X9" s="2500"/>
      <c r="Y9" s="2500"/>
      <c r="Z9" s="2500"/>
      <c r="AA9" s="2500"/>
      <c r="AB9" s="2500"/>
      <c r="AC9" s="2500"/>
      <c r="AD9" s="2500"/>
      <c r="AE9" s="2500"/>
      <c r="AF9" s="2500"/>
      <c r="AG9" s="2500"/>
      <c r="AH9" s="2500"/>
      <c r="AI9" s="2500"/>
      <c r="AJ9" s="2500"/>
      <c r="AK9" s="2500"/>
      <c r="AL9" s="2500"/>
      <c r="AM9" s="2500"/>
    </row>
    <row r="10" spans="1:40" ht="12.95" customHeight="1">
      <c r="B10" s="440"/>
      <c r="C10" s="441"/>
      <c r="D10" s="441"/>
      <c r="E10" s="441"/>
      <c r="F10" s="441"/>
      <c r="G10" s="441"/>
      <c r="H10" s="441"/>
      <c r="I10" s="441"/>
      <c r="J10" s="441"/>
      <c r="K10" s="441"/>
      <c r="L10" s="441"/>
      <c r="M10" s="441"/>
      <c r="N10" s="441"/>
      <c r="O10" s="441"/>
      <c r="P10" s="441"/>
      <c r="Q10" s="441"/>
      <c r="R10" s="441"/>
      <c r="S10" s="441"/>
      <c r="T10" s="2500"/>
      <c r="U10" s="2500"/>
      <c r="V10" s="2500"/>
      <c r="W10" s="2500"/>
      <c r="X10" s="2500"/>
      <c r="Y10" s="2500"/>
      <c r="Z10" s="2500"/>
      <c r="AA10" s="2500"/>
      <c r="AB10" s="2500"/>
      <c r="AC10" s="2500"/>
      <c r="AD10" s="2500"/>
      <c r="AE10" s="2500"/>
      <c r="AF10" s="2500"/>
      <c r="AG10" s="2500"/>
      <c r="AH10" s="2500"/>
      <c r="AI10" s="2500"/>
      <c r="AJ10" s="2500"/>
      <c r="AK10" s="2500"/>
      <c r="AL10" s="2500"/>
      <c r="AM10" s="2500"/>
    </row>
    <row r="11" spans="1:40" ht="12.95" customHeight="1">
      <c r="B11" s="2479" t="s">
        <v>377</v>
      </c>
      <c r="C11" s="2480"/>
      <c r="D11" s="2480"/>
      <c r="E11" s="2480"/>
      <c r="F11" s="2480"/>
      <c r="G11" s="2480"/>
      <c r="H11" s="2480"/>
      <c r="I11" s="2480"/>
      <c r="J11" s="2480"/>
      <c r="K11" s="2480"/>
      <c r="L11" s="2480"/>
      <c r="M11" s="2480"/>
      <c r="N11" s="2480"/>
      <c r="O11" s="2480"/>
      <c r="P11" s="2480"/>
      <c r="Q11" s="2480"/>
      <c r="R11" s="2480"/>
      <c r="S11" s="2481"/>
      <c r="T11" s="2501">
        <f>IF('Sources and Basis Breakdown'!F107=0,'Sources and Basis Breakdown'!E107,'Sources and Basis Breakdown'!F107)</f>
        <v>36726878</v>
      </c>
      <c r="U11" s="2502"/>
      <c r="V11" s="2502"/>
      <c r="W11" s="2502"/>
      <c r="X11" s="2502"/>
      <c r="Y11" s="2501">
        <f>IF(Y7=" ",0,IF('Sources and Basis Breakdown'!G107+'Sources and Basis Breakdown'!F107='Sources and Basis Breakdown'!E107,'Sources and Basis Breakdown'!G107,0))</f>
        <v>0</v>
      </c>
      <c r="Z11" s="2502"/>
      <c r="AA11" s="2502"/>
      <c r="AB11" s="2502"/>
      <c r="AC11" s="2502"/>
      <c r="AD11" s="2502">
        <f>IF('Sources and Basis Breakdown'!I107=0,'Sources and Basis Breakdown'!H107,'Sources and Basis Breakdown'!I107)</f>
        <v>0</v>
      </c>
      <c r="AE11" s="2502"/>
      <c r="AF11" s="2502"/>
      <c r="AG11" s="2502"/>
      <c r="AH11" s="2502"/>
      <c r="AI11" s="2502">
        <f>IF(Y7=" ",0,IF('Sources and Basis Breakdown'!I107+'Sources and Basis Breakdown'!J107='Sources and Basis Breakdown'!H107,'Sources and Basis Breakdown'!J107,0))</f>
        <v>0</v>
      </c>
      <c r="AJ11" s="2502"/>
      <c r="AK11" s="2502"/>
      <c r="AL11" s="2502"/>
      <c r="AM11" s="2502"/>
    </row>
    <row r="12" spans="1:40" ht="12.95" customHeight="1">
      <c r="B12" s="2494" t="s">
        <v>507</v>
      </c>
      <c r="C12" s="1281"/>
      <c r="D12" s="1281"/>
      <c r="E12" s="1281"/>
      <c r="F12" s="1281"/>
      <c r="G12" s="1281"/>
      <c r="H12" s="1281"/>
      <c r="I12" s="1281"/>
      <c r="J12" s="1281"/>
      <c r="K12" s="1281"/>
      <c r="L12" s="1281"/>
      <c r="M12" s="1281"/>
      <c r="N12" s="1281"/>
      <c r="O12" s="1281"/>
      <c r="P12" s="1281"/>
      <c r="Q12" s="1281"/>
      <c r="R12" s="1281"/>
      <c r="S12" s="2495"/>
      <c r="T12" s="2467"/>
      <c r="U12" s="2468"/>
      <c r="V12" s="2468"/>
      <c r="W12" s="2468"/>
      <c r="X12" s="2469"/>
      <c r="Y12" s="2467"/>
      <c r="Z12" s="2468"/>
      <c r="AA12" s="2468"/>
      <c r="AB12" s="2468"/>
      <c r="AC12" s="2469"/>
      <c r="AD12" s="2467"/>
      <c r="AE12" s="2468"/>
      <c r="AF12" s="2468"/>
      <c r="AG12" s="2468"/>
      <c r="AH12" s="2469"/>
      <c r="AI12" s="2467"/>
      <c r="AJ12" s="2468"/>
      <c r="AK12" s="2468"/>
      <c r="AL12" s="2468"/>
      <c r="AM12" s="2469"/>
    </row>
    <row r="13" spans="1:40" ht="12.95" customHeight="1">
      <c r="B13" s="468"/>
      <c r="C13" s="2496" t="s">
        <v>508</v>
      </c>
      <c r="D13" s="2496"/>
      <c r="E13" s="2496"/>
      <c r="F13" s="2496"/>
      <c r="G13" s="2496"/>
      <c r="H13" s="2496"/>
      <c r="I13" s="2496"/>
      <c r="J13" s="2496"/>
      <c r="K13" s="2496"/>
      <c r="L13" s="2496"/>
      <c r="M13" s="2496"/>
      <c r="N13" s="2496"/>
      <c r="O13" s="2496"/>
      <c r="P13" s="2496"/>
      <c r="Q13" s="2496"/>
      <c r="R13" s="2496"/>
      <c r="S13" s="2497"/>
      <c r="T13" s="2503"/>
      <c r="U13" s="2504"/>
      <c r="V13" s="2504"/>
      <c r="W13" s="2504"/>
      <c r="X13" s="2504"/>
      <c r="Y13" s="2503"/>
      <c r="Z13" s="2504"/>
      <c r="AA13" s="2504"/>
      <c r="AB13" s="2504"/>
      <c r="AC13" s="2504"/>
      <c r="AD13" s="2504"/>
      <c r="AE13" s="2504"/>
      <c r="AF13" s="2504"/>
      <c r="AG13" s="2504"/>
      <c r="AH13" s="2504"/>
      <c r="AI13" s="2504"/>
      <c r="AJ13" s="2504"/>
      <c r="AK13" s="2504"/>
      <c r="AL13" s="2504"/>
      <c r="AM13" s="2504"/>
    </row>
    <row r="14" spans="1:40" ht="12.95" customHeight="1">
      <c r="B14" s="468"/>
      <c r="C14" s="2496" t="s">
        <v>509</v>
      </c>
      <c r="D14" s="2496"/>
      <c r="E14" s="2496"/>
      <c r="F14" s="2496"/>
      <c r="G14" s="2496"/>
      <c r="H14" s="2496"/>
      <c r="I14" s="2496"/>
      <c r="J14" s="2496"/>
      <c r="K14" s="2496"/>
      <c r="L14" s="2496"/>
      <c r="M14" s="2496"/>
      <c r="N14" s="2496"/>
      <c r="O14" s="2496"/>
      <c r="P14" s="2496"/>
      <c r="Q14" s="2496"/>
      <c r="R14" s="2496"/>
      <c r="S14" s="2497"/>
      <c r="T14" s="2470"/>
      <c r="U14" s="2471"/>
      <c r="V14" s="2471"/>
      <c r="W14" s="2471"/>
      <c r="X14" s="2471"/>
      <c r="Y14" s="2470"/>
      <c r="Z14" s="2471"/>
      <c r="AA14" s="2471"/>
      <c r="AB14" s="2471"/>
      <c r="AC14" s="2471"/>
      <c r="AD14" s="2471"/>
      <c r="AE14" s="2471"/>
      <c r="AF14" s="2471"/>
      <c r="AG14" s="2471"/>
      <c r="AH14" s="2471"/>
      <c r="AI14" s="2471"/>
      <c r="AJ14" s="2471"/>
      <c r="AK14" s="2471"/>
      <c r="AL14" s="2471"/>
      <c r="AM14" s="2471"/>
    </row>
    <row r="15" spans="1:40" ht="12.95" customHeight="1">
      <c r="B15" s="468"/>
      <c r="C15" s="2496" t="s">
        <v>510</v>
      </c>
      <c r="D15" s="2496"/>
      <c r="E15" s="2496"/>
      <c r="F15" s="2496"/>
      <c r="G15" s="2496"/>
      <c r="H15" s="2496"/>
      <c r="I15" s="2496"/>
      <c r="J15" s="2496"/>
      <c r="K15" s="2496"/>
      <c r="L15" s="2496"/>
      <c r="M15" s="2496"/>
      <c r="N15" s="2496"/>
      <c r="O15" s="2496"/>
      <c r="P15" s="2496"/>
      <c r="Q15" s="2496"/>
      <c r="R15" s="2496"/>
      <c r="S15" s="2497"/>
      <c r="T15" s="2470"/>
      <c r="U15" s="2471"/>
      <c r="V15" s="2471"/>
      <c r="W15" s="2471"/>
      <c r="X15" s="2471"/>
      <c r="Y15" s="2470"/>
      <c r="Z15" s="2471"/>
      <c r="AA15" s="2471"/>
      <c r="AB15" s="2471"/>
      <c r="AC15" s="2471"/>
      <c r="AD15" s="2471"/>
      <c r="AE15" s="2471"/>
      <c r="AF15" s="2471"/>
      <c r="AG15" s="2471"/>
      <c r="AH15" s="2471"/>
      <c r="AI15" s="2471"/>
      <c r="AJ15" s="2471"/>
      <c r="AK15" s="2471"/>
      <c r="AL15" s="2471"/>
      <c r="AM15" s="2471"/>
    </row>
    <row r="16" spans="1:40" ht="12.95" customHeight="1">
      <c r="B16" s="468"/>
      <c r="C16" s="2496" t="s">
        <v>831</v>
      </c>
      <c r="D16" s="2496"/>
      <c r="E16" s="2496"/>
      <c r="F16" s="2496"/>
      <c r="G16" s="2496"/>
      <c r="H16" s="2496"/>
      <c r="I16" s="2496"/>
      <c r="J16" s="2496"/>
      <c r="K16" s="2496"/>
      <c r="L16" s="2496"/>
      <c r="M16" s="2496"/>
      <c r="N16" s="2496"/>
      <c r="O16" s="2496"/>
      <c r="P16" s="2496"/>
      <c r="Q16" s="2496"/>
      <c r="R16" s="2496"/>
      <c r="S16" s="2497"/>
      <c r="T16" s="2470"/>
      <c r="U16" s="2471"/>
      <c r="V16" s="2471"/>
      <c r="W16" s="2471"/>
      <c r="X16" s="2471"/>
      <c r="Y16" s="2470"/>
      <c r="Z16" s="2471"/>
      <c r="AA16" s="2471"/>
      <c r="AB16" s="2471"/>
      <c r="AC16" s="2471"/>
      <c r="AD16" s="2471"/>
      <c r="AE16" s="2471"/>
      <c r="AF16" s="2471"/>
      <c r="AG16" s="2471"/>
      <c r="AH16" s="2471"/>
      <c r="AI16" s="2471"/>
      <c r="AJ16" s="2471"/>
      <c r="AK16" s="2471"/>
      <c r="AL16" s="2471"/>
      <c r="AM16" s="2471"/>
    </row>
    <row r="17" spans="1:40" ht="12.95" customHeight="1">
      <c r="B17" s="468"/>
      <c r="C17" s="2496" t="s">
        <v>511</v>
      </c>
      <c r="D17" s="2496"/>
      <c r="E17" s="2496"/>
      <c r="F17" s="2496"/>
      <c r="G17" s="2496"/>
      <c r="H17" s="2496"/>
      <c r="I17" s="2496"/>
      <c r="J17" s="2496"/>
      <c r="K17" s="2496"/>
      <c r="L17" s="2496"/>
      <c r="M17" s="2496"/>
      <c r="N17" s="2496"/>
      <c r="O17" s="2496"/>
      <c r="P17" s="2496"/>
      <c r="Q17" s="2496"/>
      <c r="R17" s="2496"/>
      <c r="S17" s="2497"/>
      <c r="T17" s="2470"/>
      <c r="U17" s="2471"/>
      <c r="V17" s="2471"/>
      <c r="W17" s="2471"/>
      <c r="X17" s="2471"/>
      <c r="Y17" s="2470"/>
      <c r="Z17" s="2471"/>
      <c r="AA17" s="2471"/>
      <c r="AB17" s="2471"/>
      <c r="AC17" s="2471"/>
      <c r="AD17" s="2471"/>
      <c r="AE17" s="2471"/>
      <c r="AF17" s="2471"/>
      <c r="AG17" s="2471"/>
      <c r="AH17" s="2471"/>
      <c r="AI17" s="2471"/>
      <c r="AJ17" s="2471"/>
      <c r="AK17" s="2471"/>
      <c r="AL17" s="2471"/>
      <c r="AM17" s="2471"/>
    </row>
    <row r="18" spans="1:40" ht="12.95" customHeight="1">
      <c r="A18"/>
      <c r="B18" s="1203"/>
      <c r="C18" s="1662" t="s">
        <v>1001</v>
      </c>
      <c r="D18" s="1662"/>
      <c r="E18" s="1662"/>
      <c r="F18" s="1662"/>
      <c r="G18" s="1662"/>
      <c r="H18" s="1662"/>
      <c r="I18" s="1662"/>
      <c r="J18" s="1662"/>
      <c r="K18" s="1662"/>
      <c r="L18" s="1662"/>
      <c r="M18" s="1662"/>
      <c r="N18" s="1662"/>
      <c r="O18" s="1662"/>
      <c r="P18" s="1662"/>
      <c r="Q18" s="1662"/>
      <c r="R18" s="1662"/>
      <c r="S18" s="1663"/>
      <c r="T18" s="2470"/>
      <c r="U18" s="2471"/>
      <c r="V18" s="2471"/>
      <c r="W18" s="2471"/>
      <c r="X18" s="2471"/>
      <c r="Y18" s="2470"/>
      <c r="Z18" s="2471"/>
      <c r="AA18" s="2471"/>
      <c r="AB18" s="2471"/>
      <c r="AC18" s="2471"/>
      <c r="AD18" s="2471"/>
      <c r="AE18" s="2471"/>
      <c r="AF18" s="2471"/>
      <c r="AG18" s="2471"/>
      <c r="AH18" s="2471"/>
      <c r="AI18" s="2471"/>
      <c r="AJ18" s="2471"/>
      <c r="AK18" s="2471"/>
      <c r="AL18" s="2471"/>
      <c r="AM18" s="2471"/>
    </row>
    <row r="19" spans="1:40" ht="12.95" customHeight="1">
      <c r="B19" s="1203"/>
      <c r="C19" s="1662" t="s">
        <v>1001</v>
      </c>
      <c r="D19" s="1662"/>
      <c r="E19" s="1662"/>
      <c r="F19" s="1662"/>
      <c r="G19" s="1662"/>
      <c r="H19" s="1662"/>
      <c r="I19" s="1662"/>
      <c r="J19" s="1662"/>
      <c r="K19" s="1662"/>
      <c r="L19" s="1662"/>
      <c r="M19" s="1662"/>
      <c r="N19" s="1662"/>
      <c r="O19" s="1662"/>
      <c r="P19" s="1662"/>
      <c r="Q19" s="1662"/>
      <c r="R19" s="1662"/>
      <c r="S19" s="1663"/>
      <c r="T19" s="2470"/>
      <c r="U19" s="2471"/>
      <c r="V19" s="2471"/>
      <c r="W19" s="2471"/>
      <c r="X19" s="2471"/>
      <c r="Y19" s="2470"/>
      <c r="Z19" s="2471"/>
      <c r="AA19" s="2471"/>
      <c r="AB19" s="2471"/>
      <c r="AC19" s="2471"/>
      <c r="AD19" s="2471"/>
      <c r="AE19" s="2471"/>
      <c r="AF19" s="2471"/>
      <c r="AG19" s="2471"/>
      <c r="AH19" s="2471"/>
      <c r="AI19" s="2471"/>
      <c r="AJ19" s="2471"/>
      <c r="AK19" s="2471"/>
      <c r="AL19" s="2471"/>
      <c r="AM19" s="2471"/>
    </row>
    <row r="20" spans="1:40" ht="12.95" customHeight="1">
      <c r="B20" s="2479" t="s">
        <v>512</v>
      </c>
      <c r="C20" s="2480"/>
      <c r="D20" s="2480"/>
      <c r="E20" s="2480"/>
      <c r="F20" s="2480"/>
      <c r="G20" s="2480"/>
      <c r="H20" s="2480"/>
      <c r="I20" s="2480"/>
      <c r="J20" s="2480"/>
      <c r="K20" s="2480"/>
      <c r="L20" s="2480"/>
      <c r="M20" s="2480"/>
      <c r="N20" s="2480"/>
      <c r="O20" s="2480"/>
      <c r="P20" s="2480"/>
      <c r="Q20" s="2480"/>
      <c r="R20" s="2480"/>
      <c r="S20" s="2481"/>
      <c r="T20" s="2472">
        <f>SUM(T13:X19)</f>
        <v>0</v>
      </c>
      <c r="U20" s="2473"/>
      <c r="V20" s="2473"/>
      <c r="W20" s="2473"/>
      <c r="X20" s="2473"/>
      <c r="Y20" s="2472">
        <f>SUM(Y13:AC19)</f>
        <v>0</v>
      </c>
      <c r="Z20" s="2473"/>
      <c r="AA20" s="2473"/>
      <c r="AB20" s="2473"/>
      <c r="AC20" s="2473"/>
      <c r="AD20" s="2474">
        <f>SUM(AD13:AH19)</f>
        <v>0</v>
      </c>
      <c r="AE20" s="2475"/>
      <c r="AF20" s="2475"/>
      <c r="AG20" s="2475"/>
      <c r="AH20" s="2472"/>
      <c r="AI20" s="2474">
        <f>SUM(AI13:AM19)</f>
        <v>0</v>
      </c>
      <c r="AJ20" s="2475"/>
      <c r="AK20" s="2475"/>
      <c r="AL20" s="2475"/>
      <c r="AM20" s="2472"/>
    </row>
    <row r="21" spans="1:40" ht="12.95" customHeight="1">
      <c r="B21" s="2479" t="s">
        <v>1422</v>
      </c>
      <c r="C21" s="2480"/>
      <c r="D21" s="2480"/>
      <c r="E21" s="2480"/>
      <c r="F21" s="2480"/>
      <c r="G21" s="2480"/>
      <c r="H21" s="2480"/>
      <c r="I21" s="2480"/>
      <c r="J21" s="2480"/>
      <c r="K21" s="2480"/>
      <c r="L21" s="2480"/>
      <c r="M21" s="2480"/>
      <c r="N21" s="2480"/>
      <c r="O21" s="2480"/>
      <c r="P21" s="2480"/>
      <c r="Q21" s="2480"/>
      <c r="R21" s="2480"/>
      <c r="S21" s="2481"/>
      <c r="T21" s="2470">
        <v>173485</v>
      </c>
      <c r="U21" s="2471"/>
      <c r="V21" s="2471"/>
      <c r="W21" s="2471"/>
      <c r="X21" s="2471"/>
      <c r="Y21" s="2470"/>
      <c r="Z21" s="2471"/>
      <c r="AA21" s="2471"/>
      <c r="AB21" s="2471"/>
      <c r="AC21" s="2471"/>
      <c r="AD21" s="2467"/>
      <c r="AE21" s="2468"/>
      <c r="AF21" s="2468"/>
      <c r="AG21" s="2468"/>
      <c r="AH21" s="2469"/>
      <c r="AI21" s="2467"/>
      <c r="AJ21" s="2468"/>
      <c r="AK21" s="2468"/>
      <c r="AL21" s="2468"/>
      <c r="AM21" s="2469"/>
    </row>
    <row r="22" spans="1:40" ht="12.95" customHeight="1">
      <c r="B22" s="2479" t="s">
        <v>513</v>
      </c>
      <c r="C22" s="2480"/>
      <c r="D22" s="2480"/>
      <c r="E22" s="2480"/>
      <c r="F22" s="2480"/>
      <c r="G22" s="2480"/>
      <c r="H22" s="2480"/>
      <c r="I22" s="2480"/>
      <c r="J22" s="2480"/>
      <c r="K22" s="2480"/>
      <c r="L22" s="2480"/>
      <c r="M22" s="2480"/>
      <c r="N22" s="2480"/>
      <c r="O22" s="2480"/>
      <c r="P22" s="2480"/>
      <c r="Q22" s="2480"/>
      <c r="R22" s="2480"/>
      <c r="S22" s="2481"/>
      <c r="T22" s="2505">
        <f>(T20+T21)*-1</f>
        <v>-173485</v>
      </c>
      <c r="U22" s="2506"/>
      <c r="V22" s="2506"/>
      <c r="W22" s="2506"/>
      <c r="X22" s="2506"/>
      <c r="Y22" s="2505">
        <f>(Y20+Y21)*-1</f>
        <v>0</v>
      </c>
      <c r="Z22" s="2506"/>
      <c r="AA22" s="2506"/>
      <c r="AB22" s="2506"/>
      <c r="AC22" s="2506"/>
      <c r="AD22" s="2507">
        <f>(AD20)*-1</f>
        <v>0</v>
      </c>
      <c r="AE22" s="2508"/>
      <c r="AF22" s="2508"/>
      <c r="AG22" s="2508"/>
      <c r="AH22" s="2505"/>
      <c r="AI22" s="2507">
        <f>(AI20)*-1</f>
        <v>0</v>
      </c>
      <c r="AJ22" s="2508"/>
      <c r="AK22" s="2508"/>
      <c r="AL22" s="2508"/>
      <c r="AM22" s="2505"/>
    </row>
    <row r="23" spans="1:40" ht="12.95" customHeight="1">
      <c r="B23" s="2479" t="s">
        <v>514</v>
      </c>
      <c r="C23" s="2480"/>
      <c r="D23" s="2480"/>
      <c r="E23" s="2480"/>
      <c r="F23" s="2480"/>
      <c r="G23" s="2480"/>
      <c r="H23" s="2480"/>
      <c r="I23" s="2480"/>
      <c r="J23" s="2480"/>
      <c r="K23" s="2480"/>
      <c r="L23" s="2480"/>
      <c r="M23" s="2480"/>
      <c r="N23" s="2480"/>
      <c r="O23" s="2480"/>
      <c r="P23" s="2480"/>
      <c r="Q23" s="2480"/>
      <c r="R23" s="2480"/>
      <c r="S23" s="2481"/>
      <c r="T23" s="2472">
        <f>T11+T22</f>
        <v>36553393</v>
      </c>
      <c r="U23" s="2473"/>
      <c r="V23" s="2473"/>
      <c r="W23" s="2473"/>
      <c r="X23" s="2473"/>
      <c r="Y23" s="2472">
        <f>Y11+Y22</f>
        <v>0</v>
      </c>
      <c r="Z23" s="2473"/>
      <c r="AA23" s="2473"/>
      <c r="AB23" s="2473"/>
      <c r="AC23" s="2473"/>
      <c r="AD23" s="2472">
        <f>AD11+AD22</f>
        <v>0</v>
      </c>
      <c r="AE23" s="2473"/>
      <c r="AF23" s="2473"/>
      <c r="AG23" s="2473"/>
      <c r="AH23" s="2473"/>
      <c r="AI23" s="2472">
        <f>AI11+AI22</f>
        <v>0</v>
      </c>
      <c r="AJ23" s="2473"/>
      <c r="AK23" s="2473"/>
      <c r="AL23" s="2473"/>
      <c r="AM23" s="2473"/>
    </row>
    <row r="24" spans="1:40" ht="12.95" customHeight="1">
      <c r="B24" s="2479" t="s">
        <v>1002</v>
      </c>
      <c r="C24" s="2480"/>
      <c r="D24" s="2480"/>
      <c r="E24" s="2480"/>
      <c r="F24" s="2480"/>
      <c r="G24" s="2480"/>
      <c r="H24" s="2480"/>
      <c r="I24" s="2480"/>
      <c r="J24" s="2480"/>
      <c r="K24" s="2480"/>
      <c r="L24" s="2480"/>
      <c r="M24" s="2480"/>
      <c r="N24" s="2480"/>
      <c r="O24" s="2480"/>
      <c r="P24" s="2480"/>
      <c r="Q24" s="2480"/>
      <c r="R24" s="2480"/>
      <c r="S24" s="2481"/>
      <c r="T24" s="2474">
        <f>Application!AJ1018</f>
        <v>99638827.760000005</v>
      </c>
      <c r="U24" s="2475"/>
      <c r="V24" s="2475"/>
      <c r="W24" s="2475"/>
      <c r="X24" s="2475"/>
      <c r="Y24" s="2475"/>
      <c r="Z24" s="2475"/>
      <c r="AA24" s="2475"/>
      <c r="AB24" s="2475"/>
      <c r="AC24" s="2475"/>
      <c r="AD24" s="2475"/>
      <c r="AE24" s="2475"/>
      <c r="AF24" s="2475"/>
      <c r="AG24" s="2475"/>
      <c r="AH24" s="2475"/>
      <c r="AI24" s="2475"/>
      <c r="AJ24" s="2475"/>
      <c r="AK24" s="2475"/>
      <c r="AL24" s="2475"/>
      <c r="AM24" s="2472"/>
    </row>
    <row r="25" spans="1:40" ht="12.95" customHeight="1">
      <c r="B25" s="2483" t="s">
        <v>1423</v>
      </c>
      <c r="C25" s="2484"/>
      <c r="D25" s="2484"/>
      <c r="E25" s="2484"/>
      <c r="F25" s="2484"/>
      <c r="G25" s="2484"/>
      <c r="H25" s="2484"/>
      <c r="I25" s="2484"/>
      <c r="J25" s="2484"/>
      <c r="K25" s="2484"/>
      <c r="L25" s="2484"/>
      <c r="M25" s="2484"/>
      <c r="N25" s="2484"/>
      <c r="O25" s="2484"/>
      <c r="P25" s="2484"/>
      <c r="Q25" s="2484"/>
      <c r="R25" s="2484"/>
      <c r="S25" s="2485"/>
      <c r="T25" s="2509">
        <f>IF(OR(Application!T195="yes",Application!T194="yes"),1.3,1)</f>
        <v>1.3</v>
      </c>
      <c r="U25" s="2510"/>
      <c r="V25" s="2510"/>
      <c r="W25" s="2510"/>
      <c r="X25" s="2510"/>
      <c r="Y25" s="2509">
        <v>1</v>
      </c>
      <c r="Z25" s="2510"/>
      <c r="AA25" s="2510"/>
      <c r="AB25" s="2510"/>
      <c r="AC25" s="2510"/>
      <c r="AD25" s="2509">
        <v>1</v>
      </c>
      <c r="AE25" s="2510"/>
      <c r="AF25" s="2510"/>
      <c r="AG25" s="2510"/>
      <c r="AH25" s="2511"/>
      <c r="AI25" s="2509">
        <v>1</v>
      </c>
      <c r="AJ25" s="2510"/>
      <c r="AK25" s="2510"/>
      <c r="AL25" s="2510"/>
      <c r="AM25" s="2511"/>
    </row>
    <row r="26" spans="1:40" ht="12.95" customHeight="1">
      <c r="B26" s="2479" t="s">
        <v>515</v>
      </c>
      <c r="C26" s="2480"/>
      <c r="D26" s="2480"/>
      <c r="E26" s="2480"/>
      <c r="F26" s="2480"/>
      <c r="G26" s="2480"/>
      <c r="H26" s="2480"/>
      <c r="I26" s="2480"/>
      <c r="J26" s="2480"/>
      <c r="K26" s="2480"/>
      <c r="L26" s="2480"/>
      <c r="M26" s="2480"/>
      <c r="N26" s="2480"/>
      <c r="O26" s="2480"/>
      <c r="P26" s="2480"/>
      <c r="Q26" s="2480"/>
      <c r="R26" s="2480"/>
      <c r="S26" s="2481"/>
      <c r="T26" s="2472">
        <f>T23*T25</f>
        <v>47519410.899999999</v>
      </c>
      <c r="U26" s="2473"/>
      <c r="V26" s="2473"/>
      <c r="W26" s="2473"/>
      <c r="X26" s="2473"/>
      <c r="Y26" s="2472">
        <f>Y23*Y25</f>
        <v>0</v>
      </c>
      <c r="Z26" s="2473"/>
      <c r="AA26" s="2473"/>
      <c r="AB26" s="2473"/>
      <c r="AC26" s="2473"/>
      <c r="AD26" s="2472">
        <f>AD23*AD25</f>
        <v>0</v>
      </c>
      <c r="AE26" s="2473"/>
      <c r="AF26" s="2473"/>
      <c r="AG26" s="2473"/>
      <c r="AH26" s="2473"/>
      <c r="AI26" s="2472">
        <f>AI23*AI25</f>
        <v>0</v>
      </c>
      <c r="AJ26" s="2473"/>
      <c r="AK26" s="2473"/>
      <c r="AL26" s="2473"/>
      <c r="AM26" s="2473"/>
    </row>
    <row r="27" spans="1:40" ht="12.95" customHeight="1">
      <c r="A27" s="442"/>
      <c r="B27" s="2486" t="s">
        <v>428</v>
      </c>
      <c r="C27" s="2487"/>
      <c r="D27" s="2487"/>
      <c r="E27" s="2487"/>
      <c r="F27" s="2487"/>
      <c r="G27" s="2487"/>
      <c r="H27" s="2487"/>
      <c r="I27" s="2487"/>
      <c r="J27" s="2487"/>
      <c r="K27" s="2487"/>
      <c r="L27" s="2487"/>
      <c r="M27" s="2487"/>
      <c r="N27" s="2487"/>
      <c r="O27" s="2487"/>
      <c r="P27" s="2487"/>
      <c r="Q27" s="2487"/>
      <c r="R27" s="2487"/>
      <c r="S27" s="2488"/>
      <c r="T27" s="2492">
        <f>Application!$AG$444</f>
        <v>1</v>
      </c>
      <c r="U27" s="2493"/>
      <c r="V27" s="2493"/>
      <c r="W27" s="2493"/>
      <c r="X27" s="2493"/>
      <c r="Y27" s="2492">
        <f>Application!$AG$444</f>
        <v>1</v>
      </c>
      <c r="Z27" s="2493"/>
      <c r="AA27" s="2493"/>
      <c r="AB27" s="2493"/>
      <c r="AC27" s="2493"/>
      <c r="AD27" s="2492">
        <f>Application!$AG$444</f>
        <v>1</v>
      </c>
      <c r="AE27" s="2493"/>
      <c r="AF27" s="2493"/>
      <c r="AG27" s="2493"/>
      <c r="AH27" s="2493"/>
      <c r="AI27" s="2492">
        <f>Application!$AG$444</f>
        <v>1</v>
      </c>
      <c r="AJ27" s="2493"/>
      <c r="AK27" s="2493"/>
      <c r="AL27" s="2493"/>
      <c r="AM27" s="2493"/>
    </row>
    <row r="28" spans="1:40" ht="12.95" customHeight="1">
      <c r="A28" s="436"/>
      <c r="B28" s="2479" t="s">
        <v>516</v>
      </c>
      <c r="C28" s="2480"/>
      <c r="D28" s="2480"/>
      <c r="E28" s="2480"/>
      <c r="F28" s="2480"/>
      <c r="G28" s="2480"/>
      <c r="H28" s="2480"/>
      <c r="I28" s="2480"/>
      <c r="J28" s="2480"/>
      <c r="K28" s="2480"/>
      <c r="L28" s="2480"/>
      <c r="M28" s="2480"/>
      <c r="N28" s="2480"/>
      <c r="O28" s="2480"/>
      <c r="P28" s="2480"/>
      <c r="Q28" s="2480"/>
      <c r="R28" s="2480"/>
      <c r="S28" s="2481"/>
      <c r="T28" s="2472">
        <f>IF(ISERROR((T26*T27)),0,(T26*T27))</f>
        <v>47519410.899999999</v>
      </c>
      <c r="U28" s="2473"/>
      <c r="V28" s="2473"/>
      <c r="W28" s="2473"/>
      <c r="X28" s="2473"/>
      <c r="Y28" s="2472">
        <f>IF(ISERROR((Y26*Y27)),0,(Y26*Y27))</f>
        <v>0</v>
      </c>
      <c r="Z28" s="2473"/>
      <c r="AA28" s="2473"/>
      <c r="AB28" s="2473"/>
      <c r="AC28" s="2473"/>
      <c r="AD28" s="2472">
        <f>IF(ISERROR((AD26*AD27)),0,(AD26*AD27))</f>
        <v>0</v>
      </c>
      <c r="AE28" s="2473"/>
      <c r="AF28" s="2473"/>
      <c r="AG28" s="2473"/>
      <c r="AH28" s="2473"/>
      <c r="AI28" s="2472">
        <f>IF(ISERROR((AI26*AI27)),0,(AI26*AI27))</f>
        <v>0</v>
      </c>
      <c r="AJ28" s="2473"/>
      <c r="AK28" s="2473"/>
      <c r="AL28" s="2473"/>
      <c r="AM28" s="2473"/>
    </row>
    <row r="29" spans="1:40" ht="12.95" customHeight="1">
      <c r="B29" s="2479" t="s">
        <v>533</v>
      </c>
      <c r="C29" s="2480"/>
      <c r="D29" s="2480"/>
      <c r="E29" s="2480"/>
      <c r="F29" s="2480"/>
      <c r="G29" s="2480"/>
      <c r="H29" s="2480"/>
      <c r="I29" s="2480"/>
      <c r="J29" s="2480"/>
      <c r="K29" s="2480"/>
      <c r="L29" s="2480"/>
      <c r="M29" s="2480"/>
      <c r="N29" s="2480"/>
      <c r="O29" s="2480"/>
      <c r="P29" s="2480"/>
      <c r="Q29" s="2480"/>
      <c r="R29" s="2480"/>
      <c r="S29" s="2481"/>
      <c r="T29" s="2474">
        <f>T28+Y28+AD28+AI28</f>
        <v>47519410.899999999</v>
      </c>
      <c r="U29" s="2475"/>
      <c r="V29" s="2475"/>
      <c r="W29" s="2475"/>
      <c r="X29" s="2475"/>
      <c r="Y29" s="2475"/>
      <c r="Z29" s="2475"/>
      <c r="AA29" s="2475"/>
      <c r="AB29" s="2475"/>
      <c r="AC29" s="2475"/>
      <c r="AD29" s="2475"/>
      <c r="AE29" s="2475"/>
      <c r="AF29" s="2475"/>
      <c r="AG29" s="2475"/>
      <c r="AH29" s="2475"/>
      <c r="AI29" s="2475"/>
      <c r="AJ29" s="2475"/>
      <c r="AK29" s="2475"/>
      <c r="AL29" s="2475"/>
      <c r="AM29" s="2472"/>
    </row>
    <row r="30" spans="1:40" ht="12.95" customHeight="1">
      <c r="B30" s="2482" t="s">
        <v>1425</v>
      </c>
      <c r="C30" s="2482"/>
      <c r="D30" s="2482"/>
      <c r="E30" s="2482"/>
      <c r="F30" s="2482"/>
      <c r="G30" s="2482"/>
      <c r="H30" s="2482"/>
      <c r="I30" s="2482"/>
      <c r="J30" s="2482"/>
      <c r="K30" s="2482"/>
      <c r="L30" s="2482"/>
      <c r="M30" s="2482"/>
      <c r="N30" s="2482"/>
      <c r="O30" s="2482"/>
      <c r="P30" s="2482"/>
      <c r="Q30" s="2482"/>
      <c r="R30" s="2482"/>
      <c r="S30" s="2482"/>
      <c r="T30" s="2482"/>
      <c r="U30" s="2482"/>
      <c r="V30" s="2482"/>
      <c r="W30" s="2482"/>
      <c r="X30" s="2482"/>
      <c r="Y30" s="2482"/>
      <c r="Z30" s="2482"/>
      <c r="AA30" s="2482"/>
      <c r="AB30" s="2482"/>
      <c r="AC30" s="2482"/>
      <c r="AD30" s="2482"/>
      <c r="AE30" s="2482"/>
      <c r="AF30" s="2482"/>
      <c r="AG30" s="2482"/>
      <c r="AH30" s="2482"/>
      <c r="AI30" s="2482"/>
      <c r="AJ30" s="2482"/>
      <c r="AK30" s="2482"/>
      <c r="AL30" s="2482"/>
      <c r="AM30" s="2482"/>
    </row>
    <row r="31" spans="1:40" ht="12.95" customHeight="1">
      <c r="B31" s="2482" t="s">
        <v>1424</v>
      </c>
      <c r="C31" s="2482"/>
      <c r="D31" s="2482"/>
      <c r="E31" s="2482"/>
      <c r="F31" s="2482"/>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0" t="s">
        <v>1294</v>
      </c>
      <c r="Z35" s="2500"/>
      <c r="AA35" s="2500"/>
      <c r="AB35" s="2500"/>
      <c r="AC35" s="2500"/>
      <c r="AD35" s="2523" t="s">
        <v>371</v>
      </c>
      <c r="AE35" s="2523"/>
      <c r="AF35" s="2523"/>
      <c r="AG35" s="2523"/>
      <c r="AH35" s="2523"/>
    </row>
    <row r="36" spans="1:76" ht="12.95" customHeight="1">
      <c r="B36" s="439"/>
      <c r="X36" s="444"/>
      <c r="Y36" s="2500"/>
      <c r="Z36" s="2500"/>
      <c r="AA36" s="2500"/>
      <c r="AB36" s="2500"/>
      <c r="AC36" s="2500"/>
      <c r="AD36" s="2523"/>
      <c r="AE36" s="2523"/>
      <c r="AF36" s="2523"/>
      <c r="AG36" s="2523"/>
      <c r="AH36" s="2523"/>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0"/>
      <c r="Z37" s="2500"/>
      <c r="AA37" s="2500"/>
      <c r="AB37" s="2500"/>
      <c r="AC37" s="2500"/>
      <c r="AD37" s="2523"/>
      <c r="AE37" s="2523"/>
      <c r="AF37" s="2523"/>
      <c r="AG37" s="2523"/>
      <c r="AH37" s="2523"/>
    </row>
    <row r="38" spans="1:76" ht="12.95" customHeight="1">
      <c r="A38" s="436"/>
      <c r="B38" s="2479" t="s">
        <v>516</v>
      </c>
      <c r="C38" s="2480"/>
      <c r="D38" s="2480"/>
      <c r="E38" s="2480"/>
      <c r="F38" s="2480"/>
      <c r="G38" s="2480"/>
      <c r="H38" s="2480"/>
      <c r="I38" s="2480"/>
      <c r="J38" s="2480"/>
      <c r="K38" s="2480"/>
      <c r="L38" s="2480"/>
      <c r="M38" s="2480"/>
      <c r="N38" s="2480"/>
      <c r="O38" s="2480"/>
      <c r="P38" s="2480"/>
      <c r="Q38" s="2480"/>
      <c r="R38" s="2480"/>
      <c r="S38" s="2480"/>
      <c r="T38" s="2480"/>
      <c r="U38" s="2480"/>
      <c r="V38" s="2480"/>
      <c r="W38" s="2480"/>
      <c r="X38" s="2481"/>
      <c r="Y38" s="2473">
        <f>IF(T24&gt;=(T23+Y23+AD23+AI23),T28+Y28,0)</f>
        <v>47519410.899999999</v>
      </c>
      <c r="Z38" s="2473"/>
      <c r="AA38" s="2473"/>
      <c r="AB38" s="2473"/>
      <c r="AC38" s="2473"/>
      <c r="AD38" s="2473">
        <f>IF(T24&gt;=(T23+Y23+AD23+AI23),AD28+AI28,0)</f>
        <v>0</v>
      </c>
      <c r="AE38" s="2473"/>
      <c r="AF38" s="2473"/>
      <c r="AG38" s="2473"/>
      <c r="AH38" s="2473"/>
    </row>
    <row r="39" spans="1:76" ht="12.95" customHeight="1">
      <c r="B39" s="2479" t="s">
        <v>1952</v>
      </c>
      <c r="C39" s="2480"/>
      <c r="D39" s="2480"/>
      <c r="E39" s="2480"/>
      <c r="F39" s="2480"/>
      <c r="G39" s="2480"/>
      <c r="H39" s="2480"/>
      <c r="I39" s="2480"/>
      <c r="J39" s="2480"/>
      <c r="K39" s="2480"/>
      <c r="L39" s="2480"/>
      <c r="M39" s="2480"/>
      <c r="N39" s="2480"/>
      <c r="O39" s="2480"/>
      <c r="P39" s="2480"/>
      <c r="Q39" s="2480"/>
      <c r="R39" s="2480"/>
      <c r="S39" s="2480"/>
      <c r="T39" s="2480"/>
      <c r="U39" s="2480"/>
      <c r="V39" s="2480"/>
      <c r="W39" s="2480"/>
      <c r="X39" s="2481"/>
      <c r="Y39" s="2524">
        <v>0.04</v>
      </c>
      <c r="Z39" s="2524"/>
      <c r="AA39" s="2524"/>
      <c r="AB39" s="2524"/>
      <c r="AC39" s="2524"/>
      <c r="AD39" s="2524">
        <v>0.04</v>
      </c>
      <c r="AE39" s="2524"/>
      <c r="AF39" s="2524"/>
      <c r="AG39" s="2524"/>
      <c r="AH39" s="2524"/>
    </row>
    <row r="40" spans="1:76" ht="12.95" customHeight="1">
      <c r="A40" s="436"/>
      <c r="B40" s="2479" t="s">
        <v>652</v>
      </c>
      <c r="C40" s="2480"/>
      <c r="D40" s="2480"/>
      <c r="E40" s="2480"/>
      <c r="F40" s="2480"/>
      <c r="G40" s="2480"/>
      <c r="H40" s="2480"/>
      <c r="I40" s="2480"/>
      <c r="J40" s="2480"/>
      <c r="K40" s="2480"/>
      <c r="L40" s="2480"/>
      <c r="M40" s="2480"/>
      <c r="N40" s="2480"/>
      <c r="O40" s="2480"/>
      <c r="P40" s="2480"/>
      <c r="Q40" s="2480"/>
      <c r="R40" s="2480"/>
      <c r="S40" s="2480"/>
      <c r="T40" s="2480"/>
      <c r="U40" s="2480"/>
      <c r="V40" s="2480"/>
      <c r="W40" s="2480"/>
      <c r="X40" s="2481"/>
      <c r="Y40" s="2473">
        <f>ROUND(Y38*Y39,0)</f>
        <v>1900776</v>
      </c>
      <c r="Z40" s="2473"/>
      <c r="AA40" s="2473"/>
      <c r="AB40" s="2473"/>
      <c r="AC40" s="2473"/>
      <c r="AD40" s="2472">
        <f>ROUND(AD38*AD39,0)</f>
        <v>0</v>
      </c>
      <c r="AE40" s="2473"/>
      <c r="AF40" s="2473"/>
      <c r="AG40" s="2473"/>
      <c r="AH40" s="2473"/>
    </row>
    <row r="41" spans="1:76" ht="12.95" customHeight="1">
      <c r="B41" s="2479" t="s">
        <v>653</v>
      </c>
      <c r="C41" s="2480"/>
      <c r="D41" s="2480"/>
      <c r="E41" s="2480"/>
      <c r="F41" s="2480"/>
      <c r="G41" s="2480"/>
      <c r="H41" s="2480"/>
      <c r="I41" s="2480"/>
      <c r="J41" s="2480"/>
      <c r="K41" s="2480"/>
      <c r="L41" s="2480"/>
      <c r="M41" s="2480"/>
      <c r="N41" s="2480"/>
      <c r="O41" s="2480"/>
      <c r="P41" s="2480"/>
      <c r="Q41" s="2480"/>
      <c r="R41" s="2480"/>
      <c r="S41" s="2480"/>
      <c r="T41" s="2480"/>
      <c r="U41" s="2480"/>
      <c r="V41" s="2480"/>
      <c r="W41" s="2480"/>
      <c r="X41" s="2481"/>
      <c r="Y41" s="2474">
        <f>Y40+AD40</f>
        <v>1900776</v>
      </c>
      <c r="Z41" s="2475"/>
      <c r="AA41" s="2475"/>
      <c r="AB41" s="2475"/>
      <c r="AC41" s="2475"/>
      <c r="AD41" s="2475"/>
      <c r="AE41" s="2475"/>
      <c r="AF41" s="2475"/>
      <c r="AG41" s="2475"/>
      <c r="AH41" s="2472"/>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7" t="s">
        <v>1435</v>
      </c>
      <c r="B44" s="2477"/>
      <c r="C44" s="2477"/>
      <c r="D44" s="2477"/>
      <c r="E44" s="2477"/>
      <c r="F44" s="2477"/>
      <c r="G44" s="2477"/>
      <c r="H44" s="2477"/>
      <c r="I44" s="2477"/>
      <c r="J44" s="2477"/>
      <c r="K44" s="2477"/>
      <c r="L44" s="2477"/>
      <c r="M44" s="2477"/>
      <c r="N44" s="2477"/>
      <c r="O44" s="2477"/>
      <c r="P44" s="2477"/>
      <c r="Q44" s="2477"/>
      <c r="R44" s="2477"/>
      <c r="S44" s="2477"/>
      <c r="T44" s="2477"/>
      <c r="U44" s="2477"/>
      <c r="V44" s="2477"/>
      <c r="W44" s="2477"/>
      <c r="X44" s="2477"/>
      <c r="Y44" s="2477"/>
      <c r="Z44" s="2477"/>
      <c r="AA44" s="2477"/>
      <c r="AB44" s="2477"/>
      <c r="AC44" s="2477"/>
      <c r="AD44" s="2477"/>
      <c r="AE44" s="2477"/>
      <c r="AF44" s="2477"/>
      <c r="AG44" s="2477"/>
      <c r="AH44" s="2477"/>
      <c r="AI44" s="2477"/>
      <c r="AJ44" s="2477"/>
      <c r="AK44" s="2477"/>
      <c r="AL44" s="2477"/>
      <c r="AM44" s="2477"/>
      <c r="AN44" s="2477"/>
      <c r="AO44" s="2477"/>
      <c r="AP44" s="2477"/>
      <c r="AQ44" s="2477"/>
      <c r="AR44" s="2477"/>
      <c r="AS44" s="2477"/>
      <c r="AT44" s="2477"/>
      <c r="AU44" s="2477"/>
      <c r="AV44" s="2477"/>
      <c r="AW44" s="2477"/>
      <c r="AX44" s="2477"/>
      <c r="AY44" s="2477"/>
      <c r="AZ44" s="2477"/>
      <c r="BA44" s="2477"/>
      <c r="BB44" s="2477"/>
      <c r="BC44" s="2477"/>
      <c r="BD44" s="2477"/>
      <c r="BE44" s="2477"/>
      <c r="BF44" s="2477"/>
      <c r="BG44" s="2477"/>
      <c r="BH44" s="2477"/>
      <c r="BI44" s="2477"/>
      <c r="BJ44" s="2477"/>
      <c r="BK44" s="2477"/>
      <c r="BL44" s="2477"/>
      <c r="BM44" s="2477"/>
      <c r="BN44" s="2477"/>
      <c r="BO44" s="2477"/>
      <c r="BP44" s="2477"/>
      <c r="BQ44" s="2477"/>
      <c r="BR44" s="2477"/>
      <c r="BS44" s="2477"/>
      <c r="BT44" s="2477"/>
      <c r="BU44" s="2477"/>
      <c r="BV44" s="2477"/>
      <c r="BW44" s="2477"/>
      <c r="BX44" s="2477"/>
    </row>
    <row r="45" spans="1:76" s="218" customFormat="1" ht="12.95" customHeight="1" thickTop="1"/>
    <row r="46" spans="1:76" ht="12.95" customHeight="1">
      <c r="A46" s="436" t="s">
        <v>596</v>
      </c>
      <c r="C46" s="436" t="s">
        <v>284</v>
      </c>
    </row>
    <row r="47" spans="1:76" ht="12.95" customHeight="1">
      <c r="D47" s="436" t="s">
        <v>285</v>
      </c>
      <c r="AB47" s="2489">
        <f>'Sources and Uses Budget'!B105-MAX(IF('Sources and Uses Budget'!B15="",0,'Sources and Uses Budget'!B15),IF(Application!AG393="",0,Application!AG393))</f>
        <v>40170277</v>
      </c>
      <c r="AC47" s="2490"/>
      <c r="AD47" s="2490"/>
      <c r="AE47" s="2490"/>
      <c r="AF47" s="2491"/>
    </row>
    <row r="48" spans="1:76" ht="12.95" customHeight="1">
      <c r="D48" s="436" t="s">
        <v>21</v>
      </c>
      <c r="AB48" s="2489">
        <f>Application!AO635-MAX(IF('Sources and Uses Budget'!B15="",0,'Sources and Uses Budget'!B15),IF(Application!AG393="",0,Application!AG393))</f>
        <v>18615480</v>
      </c>
      <c r="AC48" s="2490"/>
      <c r="AD48" s="2490"/>
      <c r="AE48" s="2490"/>
      <c r="AF48" s="2491"/>
    </row>
    <row r="49" spans="1:76" ht="12.95" customHeight="1">
      <c r="D49" s="436" t="s">
        <v>92</v>
      </c>
      <c r="AB49" s="2489">
        <f>AB47-AB48</f>
        <v>21554797</v>
      </c>
      <c r="AC49" s="2490"/>
      <c r="AD49" s="2490"/>
      <c r="AE49" s="2490"/>
      <c r="AF49" s="2491"/>
    </row>
    <row r="50" spans="1:76" ht="12.95" customHeight="1">
      <c r="D50" s="436" t="s">
        <v>691</v>
      </c>
      <c r="AA50" s="447"/>
      <c r="AB50" s="2516">
        <v>0.87</v>
      </c>
      <c r="AC50" s="2517"/>
      <c r="AD50" s="2517"/>
      <c r="AE50" s="2517"/>
      <c r="AF50" s="2518"/>
    </row>
    <row r="51" spans="1:76" s="449" customFormat="1" ht="12.95" customHeight="1">
      <c r="A51" s="434"/>
      <c r="B51" s="434"/>
      <c r="C51" s="434"/>
      <c r="D51" s="434"/>
      <c r="E51" s="2519" t="s">
        <v>2113</v>
      </c>
      <c r="F51" s="2519"/>
      <c r="G51" s="2519"/>
      <c r="H51" s="2519"/>
      <c r="I51" s="2519"/>
      <c r="J51" s="2519"/>
      <c r="K51" s="2519"/>
      <c r="L51" s="2519"/>
      <c r="M51" s="2519"/>
      <c r="N51" s="2519"/>
      <c r="O51" s="2519"/>
      <c r="P51" s="2519"/>
      <c r="Q51" s="2519"/>
      <c r="R51" s="2519"/>
      <c r="S51" s="2519"/>
      <c r="T51" s="2519"/>
      <c r="U51" s="2519"/>
      <c r="V51" s="2519"/>
      <c r="W51" s="2519"/>
      <c r="X51" s="2519"/>
      <c r="Y51" s="2519"/>
      <c r="Z51" s="2519"/>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9"/>
      <c r="F52" s="2519"/>
      <c r="G52" s="2519"/>
      <c r="H52" s="2519"/>
      <c r="I52" s="2519"/>
      <c r="J52" s="2519"/>
      <c r="K52" s="2519"/>
      <c r="L52" s="2519"/>
      <c r="M52" s="2519"/>
      <c r="N52" s="2519"/>
      <c r="O52" s="2519"/>
      <c r="P52" s="2519"/>
      <c r="Q52" s="2519"/>
      <c r="R52" s="2519"/>
      <c r="S52" s="2519"/>
      <c r="T52" s="2519"/>
      <c r="U52" s="2519"/>
      <c r="V52" s="2519"/>
      <c r="W52" s="2519"/>
      <c r="X52" s="2519"/>
      <c r="Y52" s="2519"/>
      <c r="Z52" s="2519"/>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9">
        <f>ROUND(IF(ISERROR((AB49/AB50)),0,(AB49/AB50)),0)</f>
        <v>24775629</v>
      </c>
      <c r="AC54" s="2490"/>
      <c r="AD54" s="2490"/>
      <c r="AE54" s="2490"/>
      <c r="AF54" s="2491"/>
    </row>
    <row r="55" spans="1:76" ht="12.95" customHeight="1">
      <c r="D55" s="436" t="s">
        <v>335</v>
      </c>
      <c r="AB55" s="2489">
        <f>(AB54/10)</f>
        <v>2477562.9</v>
      </c>
      <c r="AC55" s="2490"/>
      <c r="AD55" s="2490"/>
      <c r="AE55" s="2490"/>
      <c r="AF55" s="2491"/>
    </row>
    <row r="56" spans="1:76" ht="12.95" customHeight="1">
      <c r="D56" s="436" t="s">
        <v>769</v>
      </c>
      <c r="AB56" s="2520">
        <f>(IF((Y41&lt;AB55),Y41,AB55))</f>
        <v>1900776</v>
      </c>
      <c r="AC56" s="2521"/>
      <c r="AD56" s="2521"/>
      <c r="AE56" s="2521"/>
      <c r="AF56" s="2522"/>
    </row>
    <row r="57" spans="1:76" ht="12.95" customHeight="1">
      <c r="D57" s="436" t="s">
        <v>768</v>
      </c>
      <c r="AB57" s="2489">
        <f>ROUND((10*AB56*AB50),0)</f>
        <v>16536751</v>
      </c>
      <c r="AC57" s="2490"/>
      <c r="AD57" s="2490"/>
      <c r="AE57" s="2490"/>
      <c r="AF57" s="2491"/>
    </row>
    <row r="58" spans="1:76" ht="12.95" customHeight="1">
      <c r="D58" s="436"/>
      <c r="AB58" s="455"/>
      <c r="AC58" s="455"/>
      <c r="AD58" s="455"/>
      <c r="AE58" s="455"/>
      <c r="AF58" s="455"/>
    </row>
    <row r="59" spans="1:76" ht="12.95" customHeight="1">
      <c r="D59" s="436" t="s">
        <v>767</v>
      </c>
      <c r="AB59" s="2512">
        <f>AB49-AB57</f>
        <v>5018046</v>
      </c>
      <c r="AC59" s="2512"/>
      <c r="AD59" s="2512"/>
      <c r="AE59" s="2512"/>
      <c r="AF59" s="2512"/>
    </row>
    <row r="60" spans="1:76" ht="12.95" customHeight="1">
      <c r="D60" s="436"/>
      <c r="AB60" s="455"/>
      <c r="AC60" s="455"/>
      <c r="AD60" s="455"/>
      <c r="AE60" s="455"/>
      <c r="AF60" s="455"/>
    </row>
    <row r="61" spans="1:76" s="218" customFormat="1" ht="12.95" customHeight="1" thickBot="1">
      <c r="A61" s="2477" t="str">
        <f>IF(Application!AP204="yes","Farmworker State Credit", "State Credit" )</f>
        <v>State Credit</v>
      </c>
      <c r="B61" s="2477"/>
      <c r="C61" s="2477"/>
      <c r="D61" s="2477"/>
      <c r="E61" s="2477"/>
      <c r="F61" s="2477"/>
      <c r="G61" s="2477"/>
      <c r="H61" s="2477"/>
      <c r="I61" s="2477"/>
      <c r="J61" s="2477"/>
      <c r="K61" s="2477"/>
      <c r="L61" s="2477"/>
      <c r="M61" s="2477"/>
      <c r="N61" s="2477"/>
      <c r="O61" s="2477"/>
      <c r="P61" s="2477"/>
      <c r="Q61" s="2477"/>
      <c r="R61" s="2477"/>
      <c r="S61" s="2477"/>
      <c r="T61" s="2477"/>
      <c r="U61" s="2477"/>
      <c r="V61" s="2477"/>
      <c r="W61" s="2477"/>
      <c r="X61" s="2477"/>
      <c r="Y61" s="2477"/>
      <c r="Z61" s="2477"/>
      <c r="AA61" s="2477"/>
      <c r="AB61" s="2477"/>
      <c r="AC61" s="2477"/>
      <c r="AD61" s="2477"/>
      <c r="AE61" s="2477"/>
      <c r="AF61" s="2477"/>
      <c r="AG61" s="2477"/>
      <c r="AH61" s="2477"/>
      <c r="AI61" s="2477"/>
      <c r="AJ61" s="2477"/>
      <c r="AK61" s="2477"/>
      <c r="AL61" s="2477"/>
      <c r="AM61" s="2477"/>
      <c r="AN61" s="2477"/>
      <c r="AO61" s="2477"/>
      <c r="AP61" s="2477"/>
      <c r="AQ61" s="2477"/>
      <c r="AR61" s="2477"/>
      <c r="AS61" s="2477"/>
      <c r="AT61" s="2477"/>
      <c r="AU61" s="2477"/>
      <c r="AV61" s="2477"/>
      <c r="AW61" s="2477"/>
      <c r="AX61" s="2477"/>
      <c r="AY61" s="2477"/>
      <c r="AZ61" s="2477"/>
      <c r="BA61" s="2477"/>
      <c r="BB61" s="2477"/>
      <c r="BC61" s="2477"/>
      <c r="BD61" s="2477"/>
      <c r="BE61" s="2477"/>
      <c r="BF61" s="2477"/>
      <c r="BG61" s="2477"/>
      <c r="BH61" s="2477"/>
      <c r="BI61" s="2477"/>
      <c r="BJ61" s="2477"/>
      <c r="BK61" s="2477"/>
      <c r="BL61" s="2477"/>
      <c r="BM61" s="2477"/>
      <c r="BN61" s="2477"/>
      <c r="BO61" s="2477"/>
      <c r="BP61" s="2477"/>
      <c r="BQ61" s="2477"/>
      <c r="BR61" s="2477"/>
      <c r="BS61" s="2477"/>
      <c r="BT61" s="2477"/>
      <c r="BU61" s="2477"/>
      <c r="BV61" s="2477"/>
      <c r="BW61" s="2477"/>
      <c r="BX61" s="2477"/>
    </row>
    <row r="62" spans="1:76" s="218" customFormat="1" ht="12.95" customHeight="1" thickTop="1"/>
    <row r="63" spans="1:76" ht="12.95" customHeight="1">
      <c r="A63" s="436" t="s">
        <v>599</v>
      </c>
      <c r="C63" s="219" t="s">
        <v>1406</v>
      </c>
      <c r="Y63" s="2513" t="s">
        <v>1025</v>
      </c>
      <c r="Z63" s="2513"/>
      <c r="AA63" s="2513"/>
      <c r="AB63" s="2513"/>
      <c r="AC63" s="2513"/>
      <c r="AD63" s="2513" t="s">
        <v>371</v>
      </c>
      <c r="AE63" s="2513"/>
      <c r="AF63" s="2513"/>
      <c r="AG63" s="2513"/>
      <c r="AH63" s="2513"/>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4">
        <f>IF(Application!Z204="(select)",0,((T23*T27)+Y28))</f>
        <v>36553393</v>
      </c>
      <c r="Z64" s="2514"/>
      <c r="AA64" s="2514"/>
      <c r="AB64" s="2514"/>
      <c r="AC64" s="2515"/>
      <c r="AD64" s="2474">
        <f>IF(AND(OR(Application!D210="At-Risk",Application!D210="At-Risk and Special Needs"),Application!M357="yes"),AD28+AI28,0)</f>
        <v>0</v>
      </c>
      <c r="AE64" s="2514"/>
      <c r="AF64" s="2514"/>
      <c r="AG64" s="2514"/>
      <c r="AH64" s="2515"/>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0">
        <f>IF(Application!AP204="yes",0.75,IF(Application!Z203="15% set-aside",0.13,IF(Application!Z203="15% set-aside with qualifying low value rehab",0.95,0.3)))</f>
        <v>0.3</v>
      </c>
      <c r="Z67" s="2530"/>
      <c r="AA67" s="2530"/>
      <c r="AB67" s="2530"/>
      <c r="AC67" s="2530"/>
      <c r="AD67" s="2530">
        <f>IF(Application!Z203="15% set-aside with qualifying low value rehab", 0.95,0.13)</f>
        <v>0.13</v>
      </c>
      <c r="AE67" s="2530"/>
      <c r="AF67" s="2530"/>
      <c r="AG67" s="2530"/>
      <c r="AH67" s="2530"/>
    </row>
    <row r="68" spans="1:36" ht="12.95" customHeight="1">
      <c r="C68" s="436"/>
      <c r="D68" s="219" t="s">
        <v>1408</v>
      </c>
      <c r="Y68" s="2473">
        <f>ROUND(Y64*Y67,0)</f>
        <v>10966018</v>
      </c>
      <c r="Z68" s="2531"/>
      <c r="AA68" s="2531"/>
      <c r="AB68" s="2531"/>
      <c r="AC68" s="2531"/>
      <c r="AD68" s="2473">
        <f>ROUND(AD64*AD67,0)</f>
        <v>0</v>
      </c>
      <c r="AE68" s="2531"/>
      <c r="AF68" s="2531"/>
      <c r="AG68" s="2531"/>
      <c r="AH68" s="2531"/>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6">
        <v>0.89</v>
      </c>
      <c r="AC71" s="2517"/>
      <c r="AD71" s="2517"/>
      <c r="AE71" s="2517"/>
      <c r="AF71" s="2518"/>
    </row>
    <row r="72" spans="1:36" ht="12.95" customHeight="1">
      <c r="A72" s="436"/>
      <c r="C72" s="436"/>
      <c r="D72" s="436"/>
      <c r="E72" s="2532" t="s">
        <v>1410</v>
      </c>
      <c r="F72" s="2532"/>
      <c r="G72" s="2532"/>
      <c r="H72" s="2532"/>
      <c r="I72" s="2532"/>
      <c r="J72" s="2532"/>
      <c r="K72" s="2532"/>
      <c r="L72" s="2532"/>
      <c r="M72" s="2532"/>
      <c r="N72" s="2532"/>
      <c r="O72" s="2532"/>
      <c r="P72" s="2532"/>
      <c r="Q72" s="2532"/>
      <c r="R72" s="2532"/>
      <c r="S72" s="2532"/>
      <c r="T72" s="2532"/>
      <c r="U72" s="2532"/>
      <c r="V72" s="2532"/>
      <c r="W72" s="2532"/>
      <c r="X72" s="2532"/>
      <c r="Y72" s="2532"/>
      <c r="Z72" s="2532"/>
      <c r="AA72" s="2532"/>
      <c r="AB72" s="472"/>
      <c r="AC72" s="472"/>
    </row>
    <row r="73" spans="1:36" ht="12.95" customHeight="1">
      <c r="A73" s="436"/>
      <c r="C73" s="436"/>
      <c r="D73" s="436"/>
      <c r="E73" s="2532"/>
      <c r="F73" s="2532"/>
      <c r="G73" s="2532"/>
      <c r="H73" s="2532"/>
      <c r="I73" s="2532"/>
      <c r="J73" s="2532"/>
      <c r="K73" s="2532"/>
      <c r="L73" s="2532"/>
      <c r="M73" s="2532"/>
      <c r="N73" s="2532"/>
      <c r="O73" s="2532"/>
      <c r="P73" s="2532"/>
      <c r="Q73" s="2532"/>
      <c r="R73" s="2532"/>
      <c r="S73" s="2532"/>
      <c r="T73" s="2532"/>
      <c r="U73" s="2532"/>
      <c r="V73" s="2532"/>
      <c r="W73" s="2532"/>
      <c r="X73" s="2532"/>
      <c r="Y73" s="2532"/>
      <c r="Z73" s="2532"/>
      <c r="AA73" s="2532"/>
      <c r="AB73" s="472"/>
      <c r="AC73" s="472"/>
    </row>
    <row r="74" spans="1:36" ht="12.95" customHeight="1">
      <c r="A74" s="436"/>
      <c r="C74" s="436"/>
      <c r="D74" s="436"/>
      <c r="E74" s="2532"/>
      <c r="F74" s="2532"/>
      <c r="G74" s="2532"/>
      <c r="H74" s="2532"/>
      <c r="I74" s="2532"/>
      <c r="J74" s="2532"/>
      <c r="K74" s="2532"/>
      <c r="L74" s="2532"/>
      <c r="M74" s="2532"/>
      <c r="N74" s="2532"/>
      <c r="O74" s="2532"/>
      <c r="P74" s="2532"/>
      <c r="Q74" s="2532"/>
      <c r="R74" s="2532"/>
      <c r="S74" s="2532"/>
      <c r="T74" s="2532"/>
      <c r="U74" s="2532"/>
      <c r="V74" s="2532"/>
      <c r="W74" s="2532"/>
      <c r="X74" s="2532"/>
      <c r="Y74" s="2532"/>
      <c r="Z74" s="2532"/>
      <c r="AA74" s="2532"/>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5">
        <f>ROUND(IF(ISERROR((AB59/AB71)),0,(AB59/AB71)),0)</f>
        <v>5638254</v>
      </c>
      <c r="AC76" s="2525"/>
      <c r="AD76" s="2525"/>
      <c r="AE76" s="2525"/>
      <c r="AF76" s="2525"/>
    </row>
    <row r="77" spans="1:36" ht="12.95" customHeight="1">
      <c r="C77" s="436"/>
      <c r="D77" s="219" t="s">
        <v>1412</v>
      </c>
      <c r="AB77" s="2526">
        <f>IF((Y68+AD68&lt;AB76),Y68+AD68,AB76)</f>
        <v>5638254</v>
      </c>
      <c r="AC77" s="2527"/>
      <c r="AD77" s="2527"/>
      <c r="AE77" s="2527"/>
      <c r="AF77" s="2528"/>
    </row>
    <row r="78" spans="1:36" ht="12.95" customHeight="1">
      <c r="C78" s="436"/>
      <c r="D78" s="219" t="s">
        <v>1413</v>
      </c>
      <c r="AB78" s="2529">
        <f>AB77*AB71</f>
        <v>5018046.0600000005</v>
      </c>
      <c r="AC78" s="2529"/>
      <c r="AD78" s="2529"/>
      <c r="AE78" s="2529"/>
      <c r="AF78" s="2529"/>
    </row>
    <row r="79" spans="1:36" ht="12.95" customHeight="1">
      <c r="C79" s="436"/>
      <c r="D79" s="436"/>
      <c r="AB79" s="457"/>
      <c r="AC79" s="457"/>
      <c r="AD79" s="457"/>
      <c r="AE79" s="457"/>
      <c r="AF79" s="457"/>
    </row>
    <row r="80" spans="1:36" ht="12.95" customHeight="1">
      <c r="D80" s="436" t="s">
        <v>767</v>
      </c>
      <c r="AB80" s="2512">
        <f>AB49-(AB57+AB78)</f>
        <v>-6.0000002384185791E-2</v>
      </c>
      <c r="AC80" s="2512"/>
      <c r="AD80" s="2512"/>
      <c r="AE80" s="2512"/>
      <c r="AF80" s="2512"/>
    </row>
    <row r="81" spans="1:78" ht="12.95" customHeight="1">
      <c r="F81" s="557"/>
      <c r="J81" s="557" t="str">
        <f>IF(AB80&gt;0,"FUNDING GAP MUST NOT EXCEED ZERO","")</f>
        <v/>
      </c>
    </row>
    <row r="82" spans="1:78" ht="12.95" customHeight="1">
      <c r="D82" s="558"/>
    </row>
    <row r="83" spans="1:78" ht="12.95" customHeight="1" thickBot="1">
      <c r="A83" s="2477"/>
      <c r="B83" s="2477"/>
      <c r="C83" s="2477"/>
      <c r="D83" s="2477"/>
      <c r="E83" s="2477"/>
      <c r="F83" s="2477"/>
      <c r="G83" s="2477"/>
      <c r="H83" s="2477"/>
      <c r="I83" s="2477"/>
      <c r="J83" s="2477"/>
      <c r="K83" s="2477"/>
      <c r="L83" s="2477"/>
      <c r="M83" s="2477"/>
      <c r="N83" s="2477"/>
      <c r="O83" s="2477"/>
      <c r="P83" s="2477"/>
      <c r="Q83" s="2477"/>
      <c r="R83" s="2477"/>
      <c r="S83" s="2477"/>
      <c r="T83" s="2477"/>
      <c r="U83" s="2477"/>
      <c r="V83" s="2477"/>
      <c r="W83" s="2477"/>
      <c r="X83" s="2477"/>
      <c r="Y83" s="2477"/>
      <c r="Z83" s="2477"/>
      <c r="AA83" s="2477"/>
      <c r="AB83" s="2477"/>
      <c r="AC83" s="2477"/>
      <c r="AD83" s="2477"/>
      <c r="AE83" s="2477"/>
      <c r="AF83" s="2477"/>
      <c r="AG83" s="2477"/>
      <c r="AH83" s="2477"/>
      <c r="AI83" s="2477"/>
      <c r="AJ83" s="2477"/>
      <c r="AK83" s="2477"/>
      <c r="AL83" s="2477"/>
      <c r="AM83" s="2477"/>
      <c r="AN83" s="2477"/>
      <c r="AO83" s="2477"/>
      <c r="AP83" s="2477"/>
      <c r="AQ83" s="2477"/>
      <c r="AR83" s="2477"/>
      <c r="AS83" s="2477"/>
      <c r="AT83" s="2477"/>
      <c r="AU83" s="2477"/>
      <c r="AV83" s="2477"/>
      <c r="AW83" s="2477"/>
      <c r="AX83" s="2477"/>
      <c r="AY83" s="2477"/>
      <c r="AZ83" s="2477"/>
      <c r="BA83" s="2477"/>
      <c r="BB83" s="2477"/>
      <c r="BC83" s="2477"/>
      <c r="BD83" s="2477"/>
      <c r="BE83" s="2477"/>
      <c r="BF83" s="2477"/>
      <c r="BG83" s="2477"/>
      <c r="BH83" s="2477"/>
      <c r="BI83" s="2477"/>
      <c r="BJ83" s="2477"/>
      <c r="BK83" s="2477"/>
      <c r="BL83" s="2477"/>
      <c r="BM83" s="2477"/>
      <c r="BN83" s="2477"/>
      <c r="BO83" s="2477"/>
      <c r="BP83" s="2477"/>
      <c r="BQ83" s="2477"/>
      <c r="BR83" s="2477"/>
      <c r="BS83" s="2477"/>
      <c r="BT83" s="2477"/>
      <c r="BU83" s="2477"/>
      <c r="BV83" s="2477"/>
      <c r="BW83" s="2477"/>
      <c r="BX83" s="2477"/>
    </row>
    <row r="84" spans="1:78" ht="12.95" customHeight="1" thickTop="1"/>
    <row r="85" spans="1:78" ht="12.95" customHeight="1">
      <c r="A85" s="436"/>
      <c r="C85" s="219"/>
    </row>
    <row r="86" spans="1:78" ht="12.95" customHeight="1">
      <c r="D86" s="219"/>
      <c r="AB86" s="2478"/>
      <c r="AC86" s="2478"/>
      <c r="AD86" s="2478"/>
      <c r="AE86" s="2478"/>
      <c r="AF86" s="2478"/>
    </row>
    <row r="87" spans="1:78" ht="12.95" customHeight="1" thickBot="1">
      <c r="D87" s="219"/>
      <c r="AB87" s="2476"/>
      <c r="AC87" s="2476"/>
      <c r="AD87" s="2476"/>
      <c r="AE87" s="2476"/>
      <c r="AF87" s="247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3" t="s">
        <v>943</v>
      </c>
      <c r="B1" s="2533"/>
      <c r="C1" s="2533"/>
      <c r="D1" s="2533"/>
      <c r="E1" s="2533"/>
      <c r="F1" s="2533"/>
      <c r="G1" s="2533"/>
      <c r="H1" s="2533"/>
      <c r="I1" s="2533"/>
      <c r="J1" s="2533"/>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3</v>
      </c>
      <c r="C4" s="1131"/>
      <c r="D4" s="460">
        <f>Application!O714</f>
        <v>432</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3</v>
      </c>
      <c r="C5" s="1131"/>
      <c r="D5" s="460">
        <f>Application!O715</f>
        <v>579</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v>
      </c>
      <c r="C6" s="1131"/>
      <c r="D6" s="460">
        <f>Application!O716</f>
        <v>725</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v>
      </c>
      <c r="C7" s="1131"/>
      <c r="D7" s="460">
        <f>Application!O717</f>
        <v>871</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9</v>
      </c>
      <c r="C8" s="1131"/>
      <c r="D8" s="460">
        <f>Application!O718</f>
        <v>520</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10</v>
      </c>
      <c r="C9" s="1131"/>
      <c r="D9" s="460">
        <f>Application!O719</f>
        <v>696</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4</v>
      </c>
      <c r="C10" s="1131"/>
      <c r="D10" s="460">
        <f>Application!O720</f>
        <v>871</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v>
      </c>
      <c r="C11" s="1131"/>
      <c r="D11" s="460">
        <f>Application!O721</f>
        <v>1047</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7</v>
      </c>
      <c r="C12" s="1131"/>
      <c r="D12" s="460">
        <f>Application!O722</f>
        <v>601</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16</v>
      </c>
      <c r="C13" s="1131"/>
      <c r="D13" s="460">
        <f>Application!O723</f>
        <v>804</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8</v>
      </c>
      <c r="C14" s="1131"/>
      <c r="D14" s="460">
        <f>Application!O724</f>
        <v>1007</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1</v>
      </c>
      <c r="C15" s="1131"/>
      <c r="D15" s="460">
        <f>Application!O725</f>
        <v>1209</v>
      </c>
      <c r="E15" s="461"/>
      <c r="F15" s="1132"/>
      <c r="G15" s="460">
        <f t="shared" si="0"/>
        <v>0</v>
      </c>
      <c r="H15" s="461"/>
      <c r="I15" s="460" t="str">
        <f t="shared" si="1"/>
        <v xml:space="preserve"> </v>
      </c>
      <c r="J15" s="460" t="str">
        <f t="shared" si="2"/>
        <v xml:space="preserve"> </v>
      </c>
      <c r="K15" s="218"/>
      <c r="L15" s="328"/>
    </row>
    <row r="16" spans="1:12">
      <c r="A16" s="460" t="str">
        <f>Application!B726</f>
        <v>4 Bedrooms</v>
      </c>
      <c r="B16" s="1130">
        <f>Application!G726</f>
        <v>2</v>
      </c>
      <c r="C16" s="1131"/>
      <c r="D16" s="460">
        <f>Application!O726</f>
        <v>672</v>
      </c>
      <c r="E16" s="461"/>
      <c r="F16" s="1132"/>
      <c r="G16" s="460">
        <f t="shared" si="0"/>
        <v>0</v>
      </c>
      <c r="H16" s="461"/>
      <c r="I16" s="460" t="str">
        <f t="shared" si="1"/>
        <v xml:space="preserve"> </v>
      </c>
      <c r="J16" s="460" t="str">
        <f t="shared" si="2"/>
        <v xml:space="preserve"> </v>
      </c>
      <c r="K16" s="218"/>
      <c r="L16" s="328"/>
    </row>
    <row r="17" spans="1:12">
      <c r="A17" s="460" t="str">
        <f>Application!B727</f>
        <v>4 Bedrooms</v>
      </c>
      <c r="B17" s="1130">
        <f>Application!G727</f>
        <v>6</v>
      </c>
      <c r="C17" s="1131"/>
      <c r="D17" s="460">
        <f>Application!O727</f>
        <v>898</v>
      </c>
      <c r="E17" s="461"/>
      <c r="F17" s="1132"/>
      <c r="G17" s="460">
        <f t="shared" si="0"/>
        <v>0</v>
      </c>
      <c r="H17" s="461"/>
      <c r="I17" s="460" t="str">
        <f t="shared" si="1"/>
        <v xml:space="preserve"> </v>
      </c>
      <c r="J17" s="460" t="str">
        <f t="shared" si="2"/>
        <v xml:space="preserve"> </v>
      </c>
      <c r="K17" s="218"/>
      <c r="L17" s="328"/>
    </row>
    <row r="18" spans="1:12">
      <c r="A18" s="460" t="str">
        <f>Application!B728</f>
        <v>4 Bedrooms</v>
      </c>
      <c r="B18" s="1130">
        <f>Application!G728</f>
        <v>1</v>
      </c>
      <c r="C18" s="1131"/>
      <c r="D18" s="460">
        <f>Application!O728</f>
        <v>1124</v>
      </c>
      <c r="E18" s="461"/>
      <c r="F18" s="1132"/>
      <c r="G18" s="460">
        <f t="shared" si="0"/>
        <v>0</v>
      </c>
      <c r="H18" s="461"/>
      <c r="I18" s="460" t="str">
        <f t="shared" si="1"/>
        <v xml:space="preserve"> </v>
      </c>
      <c r="J18" s="460" t="str">
        <f t="shared" si="2"/>
        <v xml:space="preserve"> </v>
      </c>
      <c r="K18" s="218"/>
      <c r="L18" s="328"/>
    </row>
    <row r="19" spans="1:12">
      <c r="A19" s="460" t="str">
        <f>Application!B729</f>
        <v>4 Bedrooms</v>
      </c>
      <c r="B19" s="1130">
        <f>Application!G729</f>
        <v>1</v>
      </c>
      <c r="C19" s="1131"/>
      <c r="D19" s="460">
        <f>Application!O729</f>
        <v>1350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56342</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G30" sqref="G30"/>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2518</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676104</v>
      </c>
      <c r="G4" s="235">
        <f>E4*$C$4</f>
        <v>693006.6</v>
      </c>
      <c r="I4" s="235">
        <f>G4*$C$4</f>
        <v>710331.7649999999</v>
      </c>
      <c r="K4" s="235">
        <f>I4*$C$4</f>
        <v>728090.0591249998</v>
      </c>
      <c r="M4" s="235">
        <f>K4*$C$4</f>
        <v>746292.31060312467</v>
      </c>
      <c r="O4" s="235">
        <f>M4*$C$4</f>
        <v>764949.6183682027</v>
      </c>
      <c r="Q4" s="235">
        <f>O4*$C$4</f>
        <v>784073.3588274077</v>
      </c>
      <c r="S4" s="235">
        <f>Q4*$C$4</f>
        <v>803675.19279809284</v>
      </c>
      <c r="U4" s="235">
        <f>S4*$C$4</f>
        <v>823767.07261804515</v>
      </c>
      <c r="W4" s="235">
        <f>U4*$C$4</f>
        <v>844361.24943349615</v>
      </c>
      <c r="Y4" s="235">
        <f>W4*$C$4</f>
        <v>865470.28066933353</v>
      </c>
      <c r="AA4" s="235">
        <f>Y4*$C$4</f>
        <v>887107.03768606682</v>
      </c>
      <c r="AC4" s="235">
        <f>AA4*$C$4</f>
        <v>909284.71362821839</v>
      </c>
      <c r="AE4" s="235">
        <f>AC4*$C$4</f>
        <v>932016.83146892372</v>
      </c>
      <c r="AG4" s="235">
        <f>AE4*$C$4</f>
        <v>955317.25225564674</v>
      </c>
    </row>
    <row r="5" spans="1:34" s="225" customFormat="1" ht="14.25">
      <c r="B5" s="225" t="s">
        <v>867</v>
      </c>
      <c r="C5" s="254">
        <f>IF(Application!$D$210="Special Needs",0.1,0.05)</f>
        <v>0.05</v>
      </c>
      <c r="E5" s="237">
        <f>-E4*$C$5</f>
        <v>-33805.200000000004</v>
      </c>
      <c r="F5" s="237"/>
      <c r="G5" s="237">
        <f>-G4*$C$5</f>
        <v>-34650.33</v>
      </c>
      <c r="H5" s="237"/>
      <c r="I5" s="237">
        <f>-I4*$C$5</f>
        <v>-35516.588249999993</v>
      </c>
      <c r="J5" s="237"/>
      <c r="K5" s="237">
        <f>-K4*$C$5</f>
        <v>-36404.502956249991</v>
      </c>
      <c r="L5" s="237"/>
      <c r="M5" s="237">
        <f>-M4*$C$5</f>
        <v>-37314.615530156232</v>
      </c>
      <c r="N5" s="237"/>
      <c r="O5" s="237">
        <f>-O4*$C$5</f>
        <v>-38247.48091841014</v>
      </c>
      <c r="P5" s="237"/>
      <c r="Q5" s="237">
        <f>-Q4*$C$5</f>
        <v>-39203.66794137039</v>
      </c>
      <c r="R5" s="237"/>
      <c r="S5" s="237">
        <f>-S4*$C$5</f>
        <v>-40183.759639904645</v>
      </c>
      <c r="T5" s="237"/>
      <c r="U5" s="237">
        <f>-U4*$C$5</f>
        <v>-41188.35363090226</v>
      </c>
      <c r="V5" s="237"/>
      <c r="W5" s="237">
        <f>-W4*$C$5</f>
        <v>-42218.062471674813</v>
      </c>
      <c r="X5" s="237"/>
      <c r="Y5" s="237">
        <f>-Y4*$C$5</f>
        <v>-43273.514033466679</v>
      </c>
      <c r="Z5" s="237"/>
      <c r="AA5" s="237">
        <f>-AA4*$C$5</f>
        <v>-44355.351884303345</v>
      </c>
      <c r="AB5" s="237"/>
      <c r="AC5" s="237">
        <f>-AC4*$C$5</f>
        <v>-45464.235681410923</v>
      </c>
      <c r="AD5" s="237"/>
      <c r="AE5" s="237">
        <f>-AE4*$C$5</f>
        <v>-46600.841573446189</v>
      </c>
      <c r="AF5" s="237"/>
      <c r="AG5" s="237">
        <f>-AG4*$C$5</f>
        <v>-47765.862612782337</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18000</v>
      </c>
      <c r="F8" s="238"/>
      <c r="G8" s="238">
        <f>E8*$C$8</f>
        <v>18450</v>
      </c>
      <c r="H8" s="238"/>
      <c r="I8" s="238">
        <f>G8*$C$8</f>
        <v>18911.25</v>
      </c>
      <c r="J8" s="238"/>
      <c r="K8" s="238">
        <f>I8*$C$8</f>
        <v>19384.03125</v>
      </c>
      <c r="L8" s="238"/>
      <c r="M8" s="238">
        <f>K8*$C$8</f>
        <v>19868.632031249999</v>
      </c>
      <c r="N8" s="238"/>
      <c r="O8" s="238">
        <f>M8*$C$8</f>
        <v>20365.347832031246</v>
      </c>
      <c r="P8" s="238"/>
      <c r="Q8" s="238">
        <f>O8*$C$8</f>
        <v>20874.481527832024</v>
      </c>
      <c r="R8" s="238"/>
      <c r="S8" s="238">
        <f>Q8*$C$8</f>
        <v>21396.343566027823</v>
      </c>
      <c r="T8" s="238"/>
      <c r="U8" s="238">
        <f>S8*$C$8</f>
        <v>21931.252155178518</v>
      </c>
      <c r="V8" s="238"/>
      <c r="W8" s="238">
        <f>U8*$C$8</f>
        <v>22479.533459057977</v>
      </c>
      <c r="X8" s="238"/>
      <c r="Y8" s="238">
        <f>W8*$C$8</f>
        <v>23041.521795534423</v>
      </c>
      <c r="Z8" s="238"/>
      <c r="AA8" s="238">
        <f>Y8*$C$8</f>
        <v>23617.559840422782</v>
      </c>
      <c r="AB8" s="238"/>
      <c r="AC8" s="238">
        <f>AA8*$C$8</f>
        <v>24207.998836433351</v>
      </c>
      <c r="AD8" s="238"/>
      <c r="AE8" s="238">
        <f>AC8*$C$8</f>
        <v>24813.198807344183</v>
      </c>
      <c r="AF8" s="238"/>
      <c r="AG8" s="238">
        <f>AE8*$C$8</f>
        <v>25433.528777527787</v>
      </c>
    </row>
    <row r="9" spans="1:34" s="225" customFormat="1" ht="14.25">
      <c r="B9" s="225" t="s">
        <v>867</v>
      </c>
      <c r="C9" s="254">
        <f>IF(Application!$D$210="Special Needs",0.1,0.05)</f>
        <v>0.05</v>
      </c>
      <c r="E9" s="237">
        <f>-E8*$C$9</f>
        <v>-900</v>
      </c>
      <c r="F9" s="237"/>
      <c r="G9" s="237">
        <f>-G8*$C$9</f>
        <v>-922.5</v>
      </c>
      <c r="H9" s="237"/>
      <c r="I9" s="237">
        <f>-I8*$C$9</f>
        <v>-945.5625</v>
      </c>
      <c r="J9" s="237"/>
      <c r="K9" s="237">
        <f>-K8*$C$9</f>
        <v>-969.20156250000002</v>
      </c>
      <c r="L9" s="237"/>
      <c r="M9" s="237">
        <f>-M8*$C$9</f>
        <v>-993.43160156249996</v>
      </c>
      <c r="N9" s="237"/>
      <c r="O9" s="237">
        <f>-O8*$C$9</f>
        <v>-1018.2673916015624</v>
      </c>
      <c r="P9" s="237"/>
      <c r="Q9" s="237">
        <f>-Q8*$C$9</f>
        <v>-1043.7240763916013</v>
      </c>
      <c r="R9" s="237"/>
      <c r="S9" s="237">
        <f>-S8*$C$9</f>
        <v>-1069.8171783013911</v>
      </c>
      <c r="T9" s="237"/>
      <c r="U9" s="237">
        <f>-U8*$C$9</f>
        <v>-1096.5626077589259</v>
      </c>
      <c r="V9" s="237"/>
      <c r="W9" s="237">
        <f>-W8*$C$9</f>
        <v>-1123.976672952899</v>
      </c>
      <c r="X9" s="237"/>
      <c r="Y9" s="237">
        <f>-Y8*$C$9</f>
        <v>-1152.0760897767211</v>
      </c>
      <c r="Z9" s="237"/>
      <c r="AA9" s="237">
        <f>-AA8*$C$9</f>
        <v>-1180.8779920211391</v>
      </c>
      <c r="AB9" s="237"/>
      <c r="AC9" s="237">
        <f>-AC8*$C$9</f>
        <v>-1210.3999418216677</v>
      </c>
      <c r="AD9" s="237"/>
      <c r="AE9" s="237">
        <f>-AE8*$C$9</f>
        <v>-1240.6599403672092</v>
      </c>
      <c r="AF9" s="237"/>
      <c r="AG9" s="237">
        <f>-AG8*$C$9</f>
        <v>-1271.6764388763895</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659398.80000000005</v>
      </c>
      <c r="G11" s="239">
        <f>SUM(G4:G10)</f>
        <v>675883.77</v>
      </c>
      <c r="I11" s="239">
        <f>SUM(I4:I10)</f>
        <v>692780.86424999987</v>
      </c>
      <c r="K11" s="239">
        <f>SUM(K4:K10)</f>
        <v>710100.38585624984</v>
      </c>
      <c r="M11" s="239">
        <f>SUM(M4:M10)</f>
        <v>727852.895502656</v>
      </c>
      <c r="O11" s="239">
        <f>SUM(O4:O10)</f>
        <v>746049.21789022221</v>
      </c>
      <c r="Q11" s="239">
        <f>SUM(Q4:Q10)</f>
        <v>764700.44833747775</v>
      </c>
      <c r="S11" s="239">
        <f>SUM(S4:S10)</f>
        <v>783817.95954591467</v>
      </c>
      <c r="U11" s="239">
        <f>SUM(U4:U10)</f>
        <v>803413.40853456245</v>
      </c>
      <c r="W11" s="239">
        <f>SUM(W4:W10)</f>
        <v>823498.74374792643</v>
      </c>
      <c r="Y11" s="239">
        <f>SUM(Y4:Y10)</f>
        <v>844086.21234162454</v>
      </c>
      <c r="AA11" s="239">
        <f>SUM(AA4:AA10)</f>
        <v>865188.36765016511</v>
      </c>
      <c r="AC11" s="239">
        <f>SUM(AC4:AC10)</f>
        <v>886818.07684141921</v>
      </c>
      <c r="AE11" s="239">
        <f>SUM(AE4:AE10)</f>
        <v>908988.52876245452</v>
      </c>
      <c r="AG11" s="239">
        <f>SUM(AG4:AG10)</f>
        <v>931713.24198151578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16724</v>
      </c>
      <c r="G15" s="235">
        <f>E15*$C$14</f>
        <v>17309.34</v>
      </c>
      <c r="I15" s="235">
        <f>G15*$C$14</f>
        <v>17915.1669</v>
      </c>
      <c r="K15" s="235">
        <f>I15*$C$14</f>
        <v>18542.1977415</v>
      </c>
      <c r="M15" s="235">
        <f>K15*$C$14</f>
        <v>19191.1746624525</v>
      </c>
      <c r="O15" s="235">
        <f>M15*$C$14</f>
        <v>19862.865775638336</v>
      </c>
      <c r="Q15" s="235">
        <f>O15*$C$14</f>
        <v>20558.066077785676</v>
      </c>
      <c r="S15" s="235">
        <f>Q15*$C$14</f>
        <v>21277.598390508174</v>
      </c>
      <c r="U15" s="235">
        <f>S15*$C$14</f>
        <v>22022.314334175957</v>
      </c>
      <c r="W15" s="235">
        <f>U15*$C$14</f>
        <v>22793.095335872113</v>
      </c>
      <c r="Y15" s="235">
        <f>W15*$C$14</f>
        <v>23590.853672627636</v>
      </c>
      <c r="AA15" s="235">
        <f>Y15*$C$14</f>
        <v>24416.533551169603</v>
      </c>
      <c r="AC15" s="235">
        <f>AA15*$C$14</f>
        <v>25271.112225460536</v>
      </c>
      <c r="AE15" s="235">
        <f>AC15*$C$14</f>
        <v>26155.601153351654</v>
      </c>
      <c r="AG15" s="235">
        <f>AE15*$C$14</f>
        <v>27071.047193718961</v>
      </c>
    </row>
    <row r="16" spans="1:34" s="225" customFormat="1" ht="14.25">
      <c r="A16" s="225" t="s">
        <v>346</v>
      </c>
      <c r="C16" s="249"/>
      <c r="E16" s="238">
        <f>Application!W833</f>
        <v>48750</v>
      </c>
      <c r="F16" s="238"/>
      <c r="G16" s="238">
        <f t="shared" ref="G16:AG21" si="0">E16*$C$14</f>
        <v>50456.249999999993</v>
      </c>
      <c r="H16" s="238"/>
      <c r="I16" s="238">
        <f t="shared" si="0"/>
        <v>52222.218749999985</v>
      </c>
      <c r="J16" s="238"/>
      <c r="K16" s="238">
        <f t="shared" si="0"/>
        <v>54049.996406249978</v>
      </c>
      <c r="L16" s="238"/>
      <c r="M16" s="238">
        <f t="shared" si="0"/>
        <v>55941.746280468724</v>
      </c>
      <c r="N16" s="238"/>
      <c r="O16" s="238">
        <f t="shared" si="0"/>
        <v>57899.707400285122</v>
      </c>
      <c r="P16" s="238"/>
      <c r="Q16" s="238">
        <f t="shared" si="0"/>
        <v>59926.197159295094</v>
      </c>
      <c r="R16" s="238"/>
      <c r="S16" s="238">
        <f t="shared" si="0"/>
        <v>62023.614059870415</v>
      </c>
      <c r="T16" s="238"/>
      <c r="U16" s="238">
        <f t="shared" si="0"/>
        <v>64194.440551965876</v>
      </c>
      <c r="V16" s="238"/>
      <c r="W16" s="238">
        <f t="shared" si="0"/>
        <v>66441.245971284676</v>
      </c>
      <c r="X16" s="238"/>
      <c r="Y16" s="238">
        <f t="shared" si="0"/>
        <v>68766.689580279635</v>
      </c>
      <c r="Z16" s="238"/>
      <c r="AA16" s="238">
        <f t="shared" si="0"/>
        <v>71173.523715589414</v>
      </c>
      <c r="AB16" s="238"/>
      <c r="AC16" s="238">
        <f t="shared" si="0"/>
        <v>73664.597045635033</v>
      </c>
      <c r="AD16" s="238"/>
      <c r="AE16" s="238">
        <f t="shared" si="0"/>
        <v>76242.857942232251</v>
      </c>
      <c r="AF16" s="238"/>
      <c r="AG16" s="238">
        <f t="shared" si="0"/>
        <v>78911.357970210374</v>
      </c>
    </row>
    <row r="17" spans="1:33" s="225" customFormat="1" ht="14.25">
      <c r="A17" s="225" t="s">
        <v>571</v>
      </c>
      <c r="C17" s="249"/>
      <c r="E17" s="238">
        <f>Application!W839</f>
        <v>86060</v>
      </c>
      <c r="F17" s="238"/>
      <c r="G17" s="238">
        <f t="shared" si="0"/>
        <v>89072.099999999991</v>
      </c>
      <c r="H17" s="238"/>
      <c r="I17" s="238">
        <f t="shared" si="0"/>
        <v>92189.623499999987</v>
      </c>
      <c r="J17" s="238"/>
      <c r="K17" s="238">
        <f t="shared" si="0"/>
        <v>95416.260322499977</v>
      </c>
      <c r="L17" s="238"/>
      <c r="M17" s="238">
        <f t="shared" si="0"/>
        <v>98755.829433787469</v>
      </c>
      <c r="N17" s="238"/>
      <c r="O17" s="238">
        <f t="shared" si="0"/>
        <v>102212.28346397002</v>
      </c>
      <c r="P17" s="238"/>
      <c r="Q17" s="238">
        <f t="shared" si="0"/>
        <v>105789.71338520896</v>
      </c>
      <c r="R17" s="238"/>
      <c r="S17" s="238">
        <f t="shared" si="0"/>
        <v>109492.35335369127</v>
      </c>
      <c r="T17" s="238"/>
      <c r="U17" s="238">
        <f t="shared" si="0"/>
        <v>113324.58572107046</v>
      </c>
      <c r="V17" s="238"/>
      <c r="W17" s="238">
        <f t="shared" si="0"/>
        <v>117290.94622130791</v>
      </c>
      <c r="X17" s="238"/>
      <c r="Y17" s="238">
        <f t="shared" si="0"/>
        <v>121396.12933905367</v>
      </c>
      <c r="Z17" s="238"/>
      <c r="AA17" s="238">
        <f t="shared" si="0"/>
        <v>125644.99386592054</v>
      </c>
      <c r="AB17" s="238"/>
      <c r="AC17" s="238">
        <f t="shared" si="0"/>
        <v>130042.56865122775</v>
      </c>
      <c r="AD17" s="238"/>
      <c r="AE17" s="238">
        <f t="shared" si="0"/>
        <v>134594.05855402071</v>
      </c>
      <c r="AF17" s="238"/>
      <c r="AG17" s="238">
        <f t="shared" si="0"/>
        <v>139304.85060341141</v>
      </c>
    </row>
    <row r="18" spans="1:33" s="225" customFormat="1" ht="14.25">
      <c r="A18" s="225" t="s">
        <v>871</v>
      </c>
      <c r="C18" s="249"/>
      <c r="E18" s="238">
        <f>Application!W846</f>
        <v>148323</v>
      </c>
      <c r="F18" s="238"/>
      <c r="G18" s="238">
        <f t="shared" si="0"/>
        <v>153514.30499999999</v>
      </c>
      <c r="H18" s="238"/>
      <c r="I18" s="238">
        <f t="shared" si="0"/>
        <v>158887.30567499998</v>
      </c>
      <c r="J18" s="238"/>
      <c r="K18" s="238">
        <f t="shared" si="0"/>
        <v>164448.36137362497</v>
      </c>
      <c r="L18" s="238"/>
      <c r="M18" s="238">
        <f t="shared" si="0"/>
        <v>170204.05402170183</v>
      </c>
      <c r="N18" s="238"/>
      <c r="O18" s="238">
        <f t="shared" si="0"/>
        <v>176161.19591246138</v>
      </c>
      <c r="P18" s="238"/>
      <c r="Q18" s="238">
        <f t="shared" si="0"/>
        <v>182326.83776939751</v>
      </c>
      <c r="R18" s="238"/>
      <c r="S18" s="238">
        <f t="shared" si="0"/>
        <v>188708.2770913264</v>
      </c>
      <c r="T18" s="238"/>
      <c r="U18" s="238">
        <f t="shared" si="0"/>
        <v>195313.0667895228</v>
      </c>
      <c r="V18" s="238"/>
      <c r="W18" s="238">
        <f t="shared" si="0"/>
        <v>202149.02412715607</v>
      </c>
      <c r="X18" s="238"/>
      <c r="Y18" s="238">
        <f t="shared" si="0"/>
        <v>209224.23997160653</v>
      </c>
      <c r="Z18" s="238"/>
      <c r="AA18" s="238">
        <f t="shared" si="0"/>
        <v>216547.08837061274</v>
      </c>
      <c r="AB18" s="238"/>
      <c r="AC18" s="238">
        <f t="shared" si="0"/>
        <v>224126.23646358415</v>
      </c>
      <c r="AD18" s="238"/>
      <c r="AE18" s="238">
        <f t="shared" si="0"/>
        <v>231970.65473980957</v>
      </c>
      <c r="AF18" s="238"/>
      <c r="AG18" s="238">
        <f t="shared" si="0"/>
        <v>240089.62765570288</v>
      </c>
    </row>
    <row r="19" spans="1:33" s="225" customFormat="1" ht="14.25">
      <c r="A19" s="225" t="s">
        <v>156</v>
      </c>
      <c r="C19" s="249"/>
      <c r="E19" s="238">
        <f>Application!W847</f>
        <v>22500</v>
      </c>
      <c r="F19" s="238"/>
      <c r="G19" s="238">
        <f t="shared" si="0"/>
        <v>23287.5</v>
      </c>
      <c r="H19" s="238"/>
      <c r="I19" s="238">
        <f t="shared" si="0"/>
        <v>24102.562499999996</v>
      </c>
      <c r="J19" s="238"/>
      <c r="K19" s="238">
        <f t="shared" si="0"/>
        <v>24946.152187499993</v>
      </c>
      <c r="L19" s="238"/>
      <c r="M19" s="238">
        <f t="shared" si="0"/>
        <v>25819.267514062489</v>
      </c>
      <c r="N19" s="238"/>
      <c r="O19" s="238">
        <f t="shared" si="0"/>
        <v>26722.941877054673</v>
      </c>
      <c r="P19" s="238"/>
      <c r="Q19" s="238">
        <f t="shared" si="0"/>
        <v>27658.244842751585</v>
      </c>
      <c r="R19" s="238"/>
      <c r="S19" s="238">
        <f t="shared" si="0"/>
        <v>28626.283412247889</v>
      </c>
      <c r="T19" s="238"/>
      <c r="U19" s="238">
        <f t="shared" si="0"/>
        <v>29628.203331676563</v>
      </c>
      <c r="V19" s="238"/>
      <c r="W19" s="238">
        <f t="shared" si="0"/>
        <v>30665.190448285241</v>
      </c>
      <c r="X19" s="238"/>
      <c r="Y19" s="238">
        <f t="shared" si="0"/>
        <v>31738.472113975222</v>
      </c>
      <c r="Z19" s="238"/>
      <c r="AA19" s="238">
        <f t="shared" si="0"/>
        <v>32849.318637964352</v>
      </c>
      <c r="AB19" s="238"/>
      <c r="AC19" s="238">
        <f t="shared" si="0"/>
        <v>33999.044790293105</v>
      </c>
      <c r="AD19" s="238"/>
      <c r="AE19" s="238">
        <f t="shared" si="0"/>
        <v>35189.011357953357</v>
      </c>
      <c r="AF19" s="238"/>
      <c r="AG19" s="238">
        <f t="shared" si="0"/>
        <v>36420.626755481724</v>
      </c>
    </row>
    <row r="20" spans="1:33" s="225" customFormat="1" ht="14.25">
      <c r="A20" s="225" t="s">
        <v>392</v>
      </c>
      <c r="C20" s="249"/>
      <c r="E20" s="238">
        <f>Application!W856</f>
        <v>100605</v>
      </c>
      <c r="F20" s="238"/>
      <c r="G20" s="238">
        <f t="shared" si="0"/>
        <v>104126.17499999999</v>
      </c>
      <c r="H20" s="238"/>
      <c r="I20" s="238">
        <f t="shared" si="0"/>
        <v>107770.59112499998</v>
      </c>
      <c r="J20" s="238"/>
      <c r="K20" s="238">
        <f t="shared" si="0"/>
        <v>111542.56181437497</v>
      </c>
      <c r="L20" s="238"/>
      <c r="M20" s="238">
        <f t="shared" si="0"/>
        <v>115446.55147787809</v>
      </c>
      <c r="N20" s="238"/>
      <c r="O20" s="238">
        <f t="shared" si="0"/>
        <v>119487.18077960382</v>
      </c>
      <c r="P20" s="238"/>
      <c r="Q20" s="238">
        <f t="shared" si="0"/>
        <v>123669.23210688995</v>
      </c>
      <c r="R20" s="238"/>
      <c r="S20" s="238">
        <f t="shared" si="0"/>
        <v>127997.65523063109</v>
      </c>
      <c r="T20" s="238"/>
      <c r="U20" s="238">
        <f t="shared" si="0"/>
        <v>132477.57316370317</v>
      </c>
      <c r="V20" s="238"/>
      <c r="W20" s="238">
        <f t="shared" si="0"/>
        <v>137114.28822443276</v>
      </c>
      <c r="X20" s="238"/>
      <c r="Y20" s="238">
        <f t="shared" si="0"/>
        <v>141913.28831228788</v>
      </c>
      <c r="Z20" s="238"/>
      <c r="AA20" s="238">
        <f t="shared" si="0"/>
        <v>146880.25340321794</v>
      </c>
      <c r="AB20" s="238"/>
      <c r="AC20" s="238">
        <f t="shared" si="0"/>
        <v>152021.06227233054</v>
      </c>
      <c r="AD20" s="238"/>
      <c r="AE20" s="238">
        <f t="shared" si="0"/>
        <v>157341.79945186211</v>
      </c>
      <c r="AF20" s="238"/>
      <c r="AG20" s="238">
        <f t="shared" si="0"/>
        <v>162848.76243267726</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422962</v>
      </c>
      <c r="G22" s="239">
        <f>SUM(G15:G21)</f>
        <v>437765.67</v>
      </c>
      <c r="I22" s="239">
        <f>SUM(I15:I21)</f>
        <v>453087.46844999993</v>
      </c>
      <c r="K22" s="239">
        <f>SUM(K15:K21)</f>
        <v>468945.5298457499</v>
      </c>
      <c r="M22" s="239">
        <f>SUM(M15:M21)</f>
        <v>485358.62339035107</v>
      </c>
      <c r="O22" s="239">
        <f>SUM(O15:O21)</f>
        <v>502346.1752090134</v>
      </c>
      <c r="Q22" s="239">
        <f>SUM(Q15:Q21)</f>
        <v>519928.29134132882</v>
      </c>
      <c r="S22" s="239">
        <f>SUM(S15:S21)</f>
        <v>538125.7815382753</v>
      </c>
      <c r="U22" s="239">
        <f>SUM(U15:U21)</f>
        <v>556960.18389211479</v>
      </c>
      <c r="W22" s="239">
        <f>SUM(W15:W21)</f>
        <v>576453.79032833874</v>
      </c>
      <c r="Y22" s="239">
        <f>SUM(Y15:Y21)</f>
        <v>596629.67298983061</v>
      </c>
      <c r="AA22" s="239">
        <f>SUM(AA15:AA21)</f>
        <v>617511.71154447459</v>
      </c>
      <c r="AC22" s="239">
        <f>SUM(AC15:AC21)</f>
        <v>639124.62144853105</v>
      </c>
      <c r="AE22" s="239">
        <f>SUM(AE15:AE21)</f>
        <v>661493.9831992297</v>
      </c>
      <c r="AG22" s="239">
        <f>SUM(AG15:AG21)</f>
        <v>684646.27261120267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12199</v>
      </c>
      <c r="F27" s="238"/>
      <c r="G27" s="238">
        <f>E27*$C$27</f>
        <v>12625.964999999998</v>
      </c>
      <c r="H27" s="238"/>
      <c r="I27" s="238">
        <f>G27*$C$27</f>
        <v>13067.873774999996</v>
      </c>
      <c r="J27" s="238"/>
      <c r="K27" s="238">
        <f>I27*$C$27</f>
        <v>13525.249357124996</v>
      </c>
      <c r="L27" s="238"/>
      <c r="M27" s="238">
        <f>K27*$C$27</f>
        <v>13998.633084624369</v>
      </c>
      <c r="N27" s="238"/>
      <c r="O27" s="238">
        <f>M27*$C$27</f>
        <v>14488.585242586221</v>
      </c>
      <c r="P27" s="238"/>
      <c r="Q27" s="238">
        <f>O27*$C$27</f>
        <v>14995.685726076737</v>
      </c>
      <c r="R27" s="238"/>
      <c r="S27" s="238">
        <f>Q27*$C$27</f>
        <v>15520.534726489423</v>
      </c>
      <c r="T27" s="238"/>
      <c r="U27" s="238">
        <f>S27*$C$27</f>
        <v>16063.753441916551</v>
      </c>
      <c r="V27" s="238"/>
      <c r="W27" s="238">
        <f>U27*$C$27</f>
        <v>16625.984812383631</v>
      </c>
      <c r="X27" s="238"/>
      <c r="Y27" s="238">
        <f>W27*$C$27</f>
        <v>17207.894280817058</v>
      </c>
      <c r="Z27" s="238"/>
      <c r="AA27" s="238">
        <f>Y27*$C$27</f>
        <v>17810.170580645652</v>
      </c>
      <c r="AB27" s="238"/>
      <c r="AC27" s="238">
        <f>AA27*$C$27</f>
        <v>18433.526550968247</v>
      </c>
      <c r="AD27" s="238"/>
      <c r="AE27" s="238">
        <f>AC27*$C$27</f>
        <v>19078.699980252135</v>
      </c>
      <c r="AF27" s="238"/>
      <c r="AG27" s="238">
        <f>AE27*$C$27</f>
        <v>19746.454479560958</v>
      </c>
    </row>
    <row r="28" spans="1:33" s="225" customFormat="1" ht="14.25">
      <c r="A28" s="225" t="s">
        <v>875</v>
      </c>
      <c r="C28" s="253"/>
      <c r="E28" s="238">
        <f>Application!AC873</f>
        <v>37500</v>
      </c>
      <c r="F28" s="238"/>
      <c r="G28" s="238">
        <f>$E$28</f>
        <v>37500</v>
      </c>
      <c r="H28" s="238"/>
      <c r="I28" s="238">
        <f>$E$28</f>
        <v>37500</v>
      </c>
      <c r="J28" s="238"/>
      <c r="K28" s="238">
        <f>$E$28</f>
        <v>37500</v>
      </c>
      <c r="L28" s="238"/>
      <c r="M28" s="238">
        <f>$E$28</f>
        <v>37500</v>
      </c>
      <c r="N28" s="238"/>
      <c r="O28" s="238">
        <f>$E$28</f>
        <v>37500</v>
      </c>
      <c r="P28" s="238"/>
      <c r="Q28" s="238">
        <f>$E$28</f>
        <v>37500</v>
      </c>
      <c r="R28" s="238"/>
      <c r="S28" s="238">
        <f>$E$28</f>
        <v>37500</v>
      </c>
      <c r="T28" s="238"/>
      <c r="U28" s="238">
        <f>$E$28</f>
        <v>37500</v>
      </c>
      <c r="V28" s="238"/>
      <c r="W28" s="238">
        <f>$E$28</f>
        <v>37500</v>
      </c>
      <c r="X28" s="238"/>
      <c r="Y28" s="238">
        <f>$E$28</f>
        <v>37500</v>
      </c>
      <c r="Z28" s="238"/>
      <c r="AA28" s="238">
        <f>$E$28</f>
        <v>37500</v>
      </c>
      <c r="AB28" s="238"/>
      <c r="AC28" s="238">
        <f>$E$28</f>
        <v>37500</v>
      </c>
      <c r="AD28" s="238"/>
      <c r="AE28" s="238">
        <f>$E$28</f>
        <v>37500</v>
      </c>
      <c r="AF28" s="238"/>
      <c r="AG28" s="238">
        <f>$E$28</f>
        <v>37500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472661</v>
      </c>
      <c r="G35" s="239">
        <f>SUM(G22:G33)</f>
        <v>487891.63500000001</v>
      </c>
      <c r="I35" s="239">
        <f>SUM(I22:I33)</f>
        <v>503655.34222499991</v>
      </c>
      <c r="K35" s="239">
        <f>SUM(K22:K33)</f>
        <v>519970.77920287492</v>
      </c>
      <c r="M35" s="239">
        <f>SUM(M22:M33)</f>
        <v>536857.2564749755</v>
      </c>
      <c r="O35" s="239">
        <f>SUM(O22:O33)</f>
        <v>554334.76045159961</v>
      </c>
      <c r="Q35" s="239">
        <f>SUM(Q22:Q33)</f>
        <v>572423.97706740559</v>
      </c>
      <c r="S35" s="239">
        <f>SUM(S22:S33)</f>
        <v>591146.31626476476</v>
      </c>
      <c r="U35" s="239">
        <f>SUM(U22:U33)</f>
        <v>610523.93733403133</v>
      </c>
      <c r="W35" s="239">
        <f>SUM(W22:W33)</f>
        <v>630579.7751407224</v>
      </c>
      <c r="Y35" s="239">
        <f>SUM(Y22:Y33)</f>
        <v>651337.56727064762</v>
      </c>
      <c r="AA35" s="239">
        <f>SUM(AA22:AA33)</f>
        <v>672821.88212512026</v>
      </c>
      <c r="AC35" s="239">
        <f>SUM(AC22:AC33)</f>
        <v>695058.14799949934</v>
      </c>
      <c r="AE35" s="239">
        <f>SUM(AE22:AE33)</f>
        <v>718072.68317948189</v>
      </c>
      <c r="AG35" s="239">
        <f>SUM(AG22:AG33)</f>
        <v>741892.72709076363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186737.80000000005</v>
      </c>
      <c r="G37" s="239">
        <f>G11-G35</f>
        <v>187992.13500000001</v>
      </c>
      <c r="I37" s="239">
        <f>I11-I35</f>
        <v>189125.52202499995</v>
      </c>
      <c r="K37" s="239">
        <f>K11-K35</f>
        <v>190129.60665337491</v>
      </c>
      <c r="M37" s="239">
        <f>M11-M35</f>
        <v>190995.6390276805</v>
      </c>
      <c r="O37" s="239">
        <f>O11-O35</f>
        <v>191714.4574386226</v>
      </c>
      <c r="Q37" s="239">
        <f>Q11-Q35</f>
        <v>192276.47127007216</v>
      </c>
      <c r="S37" s="239">
        <f>S11-S35</f>
        <v>192671.64328114991</v>
      </c>
      <c r="U37" s="239">
        <f>U11-U35</f>
        <v>192889.47120053112</v>
      </c>
      <c r="W37" s="239">
        <f>W11-W35</f>
        <v>192918.96860720403</v>
      </c>
      <c r="Y37" s="239">
        <f>Y11-Y35</f>
        <v>192748.64507097693</v>
      </c>
      <c r="AA37" s="239">
        <f>AA11-AA35</f>
        <v>192366.48552504485</v>
      </c>
      <c r="AC37" s="239">
        <f>AC11-AC35</f>
        <v>191759.92884191987</v>
      </c>
      <c r="AE37" s="239">
        <f>AE11-AE35</f>
        <v>190915.84558297263</v>
      </c>
      <c r="AG37" s="239">
        <f>AG11-AG35</f>
        <v>189820.51489075215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Pacific Western Bank Perm Loan</v>
      </c>
      <c r="B40" s="242"/>
      <c r="C40" s="236"/>
      <c r="E40" s="238">
        <f>Application!AF623</f>
        <v>162380</v>
      </c>
      <c r="F40" s="238"/>
      <c r="G40" s="238">
        <f>$E$40</f>
        <v>162380</v>
      </c>
      <c r="H40" s="238"/>
      <c r="I40" s="238">
        <f>$E$40</f>
        <v>162380</v>
      </c>
      <c r="J40" s="238"/>
      <c r="K40" s="238">
        <f>$E$40</f>
        <v>162380</v>
      </c>
      <c r="L40" s="238"/>
      <c r="M40" s="238">
        <f>$E$40</f>
        <v>162380</v>
      </c>
      <c r="N40" s="238"/>
      <c r="O40" s="238">
        <f>$E$40</f>
        <v>162380</v>
      </c>
      <c r="P40" s="238"/>
      <c r="Q40" s="238">
        <f>$E$40</f>
        <v>162380</v>
      </c>
      <c r="R40" s="238"/>
      <c r="S40" s="238">
        <f>$E$40</f>
        <v>162380</v>
      </c>
      <c r="T40" s="238"/>
      <c r="U40" s="238">
        <f>$E$40</f>
        <v>162380</v>
      </c>
      <c r="V40" s="238"/>
      <c r="W40" s="238">
        <f>$E$40</f>
        <v>162380</v>
      </c>
      <c r="X40" s="238"/>
      <c r="Y40" s="238">
        <f>$E$40</f>
        <v>162380</v>
      </c>
      <c r="Z40" s="238"/>
      <c r="AA40" s="238">
        <f>$E$40</f>
        <v>162380</v>
      </c>
      <c r="AB40" s="238"/>
      <c r="AC40" s="238">
        <f>$E$40</f>
        <v>162380</v>
      </c>
      <c r="AD40" s="238"/>
      <c r="AE40" s="238">
        <f>$E$40</f>
        <v>162380</v>
      </c>
      <c r="AF40" s="238"/>
      <c r="AG40" s="238">
        <f>$E$40</f>
        <v>162380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162380</v>
      </c>
      <c r="G43" s="239">
        <f>SUM(G40:G42)</f>
        <v>162380</v>
      </c>
      <c r="I43" s="239">
        <f>SUM(I40:I42)</f>
        <v>162380</v>
      </c>
      <c r="K43" s="239">
        <f>SUM(K40:K42)</f>
        <v>162380</v>
      </c>
      <c r="M43" s="239">
        <f>SUM(M40:M42)</f>
        <v>162380</v>
      </c>
      <c r="O43" s="239">
        <f>SUM(O40:O42)</f>
        <v>162380</v>
      </c>
      <c r="Q43" s="239">
        <f>SUM(Q40:Q42)</f>
        <v>162380</v>
      </c>
      <c r="S43" s="239">
        <f>SUM(S40:S42)</f>
        <v>162380</v>
      </c>
      <c r="U43" s="239">
        <f>SUM(U40:U42)</f>
        <v>162380</v>
      </c>
      <c r="W43" s="239">
        <f>SUM(W40:W42)</f>
        <v>162380</v>
      </c>
      <c r="Y43" s="239">
        <f>SUM(Y40:Y42)</f>
        <v>162380</v>
      </c>
      <c r="AA43" s="239">
        <f>SUM(AA40:AA42)</f>
        <v>162380</v>
      </c>
      <c r="AC43" s="239">
        <f>SUM(AC40:AC42)</f>
        <v>162380</v>
      </c>
      <c r="AE43" s="239">
        <f>SUM(AE40:AE42)</f>
        <v>162380</v>
      </c>
      <c r="AG43" s="239">
        <f>SUM(AG40:AG42)</f>
        <v>162380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24357.800000000047</v>
      </c>
      <c r="G45" s="239">
        <f>G37-G43</f>
        <v>25612.135000000009</v>
      </c>
      <c r="I45" s="239">
        <f>I37-I43</f>
        <v>26745.522024999955</v>
      </c>
      <c r="K45" s="239">
        <f>K37-K43</f>
        <v>27749.606653374911</v>
      </c>
      <c r="M45" s="239">
        <f>M37-M43</f>
        <v>28615.639027680503</v>
      </c>
      <c r="O45" s="239">
        <f>O37-O43</f>
        <v>29334.457438622601</v>
      </c>
      <c r="Q45" s="239">
        <f>Q37-Q43</f>
        <v>29896.471270072157</v>
      </c>
      <c r="S45" s="239">
        <f>S37-S43</f>
        <v>30291.643281149911</v>
      </c>
      <c r="U45" s="239">
        <f>U37-U43</f>
        <v>30509.471200531116</v>
      </c>
      <c r="W45" s="239">
        <f>W37-W43</f>
        <v>30538.968607204035</v>
      </c>
      <c r="Y45" s="239">
        <f>Y37-Y43</f>
        <v>30368.645070976927</v>
      </c>
      <c r="AA45" s="239">
        <f>AA37-AA43</f>
        <v>29986.485525044845</v>
      </c>
      <c r="AC45" s="239">
        <f>AC37-AC43</f>
        <v>29379.928841919871</v>
      </c>
      <c r="AE45" s="239">
        <f>AE37-AE43</f>
        <v>28535.84558297263</v>
      </c>
      <c r="AG45" s="239">
        <f>AG37-AG43</f>
        <v>27440.514890752151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3.5092435715685322E-2</v>
      </c>
      <c r="G47" s="243">
        <f>G45/(G4+G6+G8)</f>
        <v>3.5999574675391319E-2</v>
      </c>
      <c r="I47" s="243">
        <f>I45/(I4+I6+I8)</f>
        <v>3.6675732883091047E-2</v>
      </c>
      <c r="K47" s="243">
        <f>K45/(K4+K6+K8)</f>
        <v>3.7124506401891771E-2</v>
      </c>
      <c r="M47" s="243">
        <f>M45/(M4+M6+M8)</f>
        <v>3.7349383706885696E-2</v>
      </c>
      <c r="O47" s="243">
        <f>O45/(O4+O6+O8)</f>
        <v>3.7353748115304751E-2</v>
      </c>
      <c r="Q47" s="243">
        <f>Q45/(Q4+Q6+Q8)</f>
        <v>3.7140880155511993E-2</v>
      </c>
      <c r="S47" s="243">
        <f>S45/(S4+S6+S8)</f>
        <v>3.6713959876300474E-2</v>
      </c>
      <c r="U47" s="243">
        <f>U45/(U4+U6+U8)</f>
        <v>3.6076069097940235E-2</v>
      </c>
      <c r="W47" s="243">
        <f>W45/(W4+W6+W8)</f>
        <v>3.5230193606372313E-2</v>
      </c>
      <c r="Y47" s="243">
        <f>Y45/(Y4+Y6+Y8)</f>
        <v>3.4179225291920322E-2</v>
      </c>
      <c r="AA47" s="243">
        <f>AA45/(AA4+AA6+AA8)</f>
        <v>3.2925964233850233E-2</v>
      </c>
      <c r="AC47" s="243">
        <f>AC45/(AC4+AC6+AC8)</f>
        <v>3.1473120732083262E-2</v>
      </c>
      <c r="AE47" s="243">
        <f>AE45/(AE4+AE6+AE8)</f>
        <v>2.9823317287327827E-2</v>
      </c>
      <c r="AG47" s="243">
        <f>AG45/(AG4+AG6+AG8)</f>
        <v>2.7979090530873569E-2</v>
      </c>
    </row>
    <row r="48" spans="1:33" s="243" customFormat="1" ht="14.25">
      <c r="A48" s="243" t="s">
        <v>881</v>
      </c>
      <c r="C48" s="236"/>
      <c r="E48" s="243">
        <f>E45/E43</f>
        <v>0.15000492671511298</v>
      </c>
      <c r="G48" s="243">
        <f>G45/G43</f>
        <v>0.15772961571622127</v>
      </c>
      <c r="I48" s="243">
        <f>I45/I43</f>
        <v>0.16470945944697596</v>
      </c>
      <c r="K48" s="243">
        <f>K45/K43</f>
        <v>0.17089300808828004</v>
      </c>
      <c r="M48" s="243">
        <f>M45/M43</f>
        <v>0.17622637657150206</v>
      </c>
      <c r="O48" s="243">
        <f>O45/O43</f>
        <v>0.1806531434820951</v>
      </c>
      <c r="Q48" s="243">
        <f>Q45/Q43</f>
        <v>0.1841142460282803</v>
      </c>
      <c r="S48" s="243">
        <f>S45/S43</f>
        <v>0.18654787092714564</v>
      </c>
      <c r="U48" s="243">
        <f>U45/U43</f>
        <v>0.1878893410551245</v>
      </c>
      <c r="W48" s="243">
        <f>W45/W43</f>
        <v>0.1880709977041756</v>
      </c>
      <c r="Y48" s="243">
        <f>Y45/Y43</f>
        <v>0.18702207827920264</v>
      </c>
      <c r="AA48" s="243">
        <f>AA45/AA43</f>
        <v>0.18466858926619562</v>
      </c>
      <c r="AC48" s="243">
        <f>AC45/AC43</f>
        <v>0.18093317429437045</v>
      </c>
      <c r="AE48" s="243">
        <f>AE45/AE43</f>
        <v>0.17573497710908134</v>
      </c>
      <c r="AG48" s="243">
        <f>AG45/AG43</f>
        <v>0.16898949926562476</v>
      </c>
    </row>
    <row r="49" spans="1:35" s="244" customFormat="1" ht="14.25">
      <c r="A49" s="244" t="s">
        <v>879</v>
      </c>
      <c r="C49" s="245"/>
      <c r="E49" s="244">
        <f>E37/E43</f>
        <v>1.1500049267151129</v>
      </c>
      <c r="G49" s="244">
        <f>G37/G43</f>
        <v>1.1577296157162213</v>
      </c>
      <c r="I49" s="244">
        <f>I37/I43</f>
        <v>1.164709459446976</v>
      </c>
      <c r="K49" s="244">
        <f>K37/K43</f>
        <v>1.17089300808828</v>
      </c>
      <c r="M49" s="244">
        <f>M37/M43</f>
        <v>1.176226376571502</v>
      </c>
      <c r="O49" s="244">
        <f>O37/O43</f>
        <v>1.180653143482095</v>
      </c>
      <c r="Q49" s="244">
        <f>Q37/Q43</f>
        <v>1.1841142460282803</v>
      </c>
      <c r="S49" s="244">
        <f>S37/S43</f>
        <v>1.1865478709271458</v>
      </c>
      <c r="U49" s="244">
        <f>U37/U43</f>
        <v>1.1878893410551246</v>
      </c>
      <c r="W49" s="244">
        <f>W37/W43</f>
        <v>1.1880709977041757</v>
      </c>
      <c r="Y49" s="244">
        <f>Y37/Y43</f>
        <v>1.1870220782792027</v>
      </c>
      <c r="AA49" s="244">
        <f>AA37/AA43</f>
        <v>1.1846685892661957</v>
      </c>
      <c r="AC49" s="244">
        <f>AC37/AC43</f>
        <v>1.1809331742943705</v>
      </c>
      <c r="AE49" s="244">
        <f>AE37/AE43</f>
        <v>1.1757349771090813</v>
      </c>
      <c r="AG49" s="244">
        <f>AG37/AG43</f>
        <v>1.1689894992656247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6" t="s">
        <v>1328</v>
      </c>
      <c r="B52" s="2536"/>
      <c r="C52" s="2536"/>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24357.800000000047</v>
      </c>
      <c r="G60" s="999">
        <f>G45-G58</f>
        <v>25612.135000000009</v>
      </c>
      <c r="I60" s="999">
        <f>I45-I58</f>
        <v>26745.522024999955</v>
      </c>
      <c r="K60" s="999">
        <f>K45-K58</f>
        <v>27749.606653374911</v>
      </c>
      <c r="M60" s="999">
        <f>M45-M58</f>
        <v>28615.639027680503</v>
      </c>
      <c r="O60" s="999">
        <f>O45-O58</f>
        <v>29334.457438622601</v>
      </c>
      <c r="Q60" s="999">
        <f>Q45-Q58</f>
        <v>29896.471270072157</v>
      </c>
      <c r="S60" s="999">
        <f>S45-S58</f>
        <v>30291.643281149911</v>
      </c>
      <c r="U60" s="999">
        <f>U45-U58</f>
        <v>30509.471200531116</v>
      </c>
      <c r="W60" s="999">
        <f>W45-W58</f>
        <v>30538.968607204035</v>
      </c>
      <c r="Y60" s="999">
        <f>Y45-Y58</f>
        <v>30368.645070976927</v>
      </c>
      <c r="AA60" s="999">
        <f>AA45-AA58</f>
        <v>29986.485525044845</v>
      </c>
      <c r="AC60" s="999">
        <f>AC45-AC58</f>
        <v>29379.928841919871</v>
      </c>
      <c r="AE60" s="999">
        <f>AE45-AE58</f>
        <v>28535.84558297263</v>
      </c>
      <c r="AG60" s="999">
        <f>AG45-AG58</f>
        <v>27440.514890752151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12178.900000000023</v>
      </c>
      <c r="G62" s="999">
        <f>G60*$C$62</f>
        <v>12806.067500000005</v>
      </c>
      <c r="I62" s="999">
        <f>I60*$C$62</f>
        <v>13372.761012499977</v>
      </c>
      <c r="K62" s="999">
        <f>K60*$C$62</f>
        <v>13874.803326687455</v>
      </c>
      <c r="M62" s="999">
        <f>M60*$C$62</f>
        <v>14307.819513840252</v>
      </c>
      <c r="O62" s="999">
        <f>O60*$C$62</f>
        <v>14667.228719311301</v>
      </c>
      <c r="Q62" s="999">
        <f>Q60*$C$62</f>
        <v>14948.235635036079</v>
      </c>
      <c r="S62" s="999">
        <f>S60*$C$62</f>
        <v>15145.821640574955</v>
      </c>
      <c r="U62" s="999">
        <f>U60*$C$62</f>
        <v>15254.735600265558</v>
      </c>
      <c r="W62" s="999">
        <f>W60*$C$62</f>
        <v>15269.484303602017</v>
      </c>
      <c r="Y62" s="999">
        <f>Y60*$C$62</f>
        <v>15184.322535488463</v>
      </c>
      <c r="AA62" s="999">
        <f>AA60*$C$62</f>
        <v>14993.242762522423</v>
      </c>
      <c r="AC62" s="999">
        <f>AC60*$C$62</f>
        <v>14689.964420959936</v>
      </c>
      <c r="AE62" s="999">
        <f>AE60*$C$62</f>
        <v>14267.922791486315</v>
      </c>
      <c r="AG62" s="999">
        <f>AG60*$C$62</f>
        <v>13720.257445376075</v>
      </c>
    </row>
    <row r="63" spans="1:35" s="999" customFormat="1">
      <c r="A63" s="2536" t="s">
        <v>1328</v>
      </c>
      <c r="B63" s="2536"/>
      <c r="C63" s="2536"/>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6089.4500000000116</v>
      </c>
      <c r="G66" s="997">
        <f>G60*$C$65</f>
        <v>6403.0337500000023</v>
      </c>
      <c r="I66" s="997">
        <f>I60*$C$65</f>
        <v>6686.3805062499887</v>
      </c>
      <c r="K66" s="997">
        <f>K60*$C$65</f>
        <v>6937.4016633437277</v>
      </c>
      <c r="M66" s="997">
        <f>M60*$C$65</f>
        <v>7153.9097569201258</v>
      </c>
      <c r="O66" s="997">
        <f>O60*$C$65</f>
        <v>7333.6143596556503</v>
      </c>
      <c r="Q66" s="997">
        <f>Q60*$C$65</f>
        <v>7474.1178175180394</v>
      </c>
      <c r="S66" s="997">
        <f>S60*$C$65</f>
        <v>7572.9108202874777</v>
      </c>
      <c r="U66" s="997">
        <f>U60*$C$65</f>
        <v>7627.3678001327789</v>
      </c>
      <c r="W66" s="997">
        <f>W60*$C$65</f>
        <v>7634.7421518010087</v>
      </c>
      <c r="Y66" s="997">
        <f>Y60*$C$65</f>
        <v>7592.1612677442317</v>
      </c>
      <c r="AA66" s="997">
        <f>AA60*$C$65</f>
        <v>7496.6213812612114</v>
      </c>
      <c r="AC66" s="997">
        <f>AC60*$C$65</f>
        <v>7344.9822104799678</v>
      </c>
      <c r="AE66" s="997">
        <f>AE60*$C$65</f>
        <v>7133.9613957431575</v>
      </c>
      <c r="AG66" s="997">
        <f>AG60*$C$65</f>
        <v>6860.1287226880377</v>
      </c>
    </row>
    <row r="67" spans="1:35" s="997" customFormat="1">
      <c r="A67" s="1002"/>
      <c r="B67" s="1002"/>
      <c r="C67" s="1007"/>
      <c r="E67" s="1001">
        <f>$E60*$C$65</f>
        <v>6089.4500000000116</v>
      </c>
      <c r="G67" s="997">
        <f>G60*$C$65</f>
        <v>6403.0337500000023</v>
      </c>
      <c r="I67" s="997">
        <f>I60*$C$65</f>
        <v>6686.3805062499887</v>
      </c>
      <c r="K67" s="997">
        <f>K60*$C$65</f>
        <v>6937.4016633437277</v>
      </c>
      <c r="M67" s="997">
        <f>M60*$C$65</f>
        <v>7153.9097569201258</v>
      </c>
      <c r="O67" s="997">
        <f>O60*$C$65</f>
        <v>7333.6143596556503</v>
      </c>
      <c r="Q67" s="997">
        <f>Q60*$C$65</f>
        <v>7474.1178175180394</v>
      </c>
      <c r="S67" s="997">
        <f>S60*$C$65</f>
        <v>7572.9108202874777</v>
      </c>
      <c r="U67" s="997">
        <f>U60*$C$65</f>
        <v>7627.3678001327789</v>
      </c>
      <c r="W67" s="997">
        <f>W60*$C$65</f>
        <v>7634.7421518010087</v>
      </c>
      <c r="Y67" s="997">
        <f>Y60*$C$65</f>
        <v>7592.1612677442317</v>
      </c>
      <c r="AA67" s="997">
        <f>AA60*$C$65</f>
        <v>7496.6213812612114</v>
      </c>
      <c r="AC67" s="997">
        <f>AC60*$C$65</f>
        <v>7344.9822104799678</v>
      </c>
      <c r="AE67" s="997">
        <f>AE60*$C$65</f>
        <v>7133.9613957431575</v>
      </c>
      <c r="AG67" s="997">
        <f>AG60*$C$65</f>
        <v>6860.1287226880377</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12178.900000000023</v>
      </c>
      <c r="G70" s="997">
        <f>SUM(G66:G69)</f>
        <v>12806.067500000005</v>
      </c>
      <c r="I70" s="997">
        <f>SUM(I66:I69)</f>
        <v>13372.761012499977</v>
      </c>
      <c r="K70" s="997">
        <f>SUM(K66:K69)</f>
        <v>13874.803326687455</v>
      </c>
      <c r="M70" s="997">
        <f>SUM(M66:M69)</f>
        <v>14307.819513840252</v>
      </c>
      <c r="O70" s="997">
        <f>SUM(O66:O69)</f>
        <v>14667.228719311301</v>
      </c>
      <c r="Q70" s="997">
        <f>SUM(Q66:Q69)</f>
        <v>14948.235635036079</v>
      </c>
      <c r="S70" s="997">
        <f>SUM(S66:S69)</f>
        <v>15145.821640574955</v>
      </c>
      <c r="U70" s="997">
        <f>SUM(U66:U69)</f>
        <v>15254.735600265558</v>
      </c>
      <c r="W70" s="997">
        <f>SUM(W66:W69)</f>
        <v>15269.484303602017</v>
      </c>
      <c r="Y70" s="997">
        <f>SUM(Y66:Y69)</f>
        <v>15184.322535488463</v>
      </c>
      <c r="AA70" s="997">
        <f>SUM(AA66:AA69)</f>
        <v>14993.242762522423</v>
      </c>
      <c r="AC70" s="997">
        <f>SUM(AC66:AC69)</f>
        <v>14689.964420959936</v>
      </c>
      <c r="AE70" s="997">
        <f>SUM(AE66:AE69)</f>
        <v>14267.922791486315</v>
      </c>
      <c r="AG70" s="997">
        <f>SUM(AG66:AG69)</f>
        <v>13720.257445376075</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4" t="s">
        <v>1982</v>
      </c>
      <c r="B77" s="2535"/>
      <c r="C77" s="2535"/>
      <c r="D77" s="2535"/>
      <c r="E77" s="2535"/>
      <c r="F77" s="2535"/>
      <c r="G77" s="2535"/>
      <c r="H77" s="2535"/>
      <c r="I77" s="2535"/>
      <c r="J77" s="2535"/>
      <c r="K77" s="2535"/>
      <c r="L77" s="2535"/>
      <c r="M77" s="2535"/>
      <c r="N77" s="2535"/>
      <c r="O77" s="2535"/>
      <c r="P77" s="2535"/>
      <c r="Q77" s="2535"/>
      <c r="R77" s="2535"/>
      <c r="S77" s="2535"/>
      <c r="T77" s="2535"/>
      <c r="U77" s="2535"/>
      <c r="V77" s="2535"/>
      <c r="W77" s="2535"/>
      <c r="X77" s="2535"/>
      <c r="Y77" s="2535"/>
      <c r="Z77" s="2535"/>
      <c r="AA77" s="2535"/>
      <c r="AB77" s="2535"/>
      <c r="AC77" s="2535"/>
      <c r="AD77" s="2535"/>
      <c r="AE77" s="2535"/>
      <c r="AF77" s="2535"/>
      <c r="AG77" s="253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2700000</v>
      </c>
      <c r="C5" s="286">
        <f>'Sources and Uses Budget'!$C4</f>
        <v>2700000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10000</v>
      </c>
      <c r="C7" s="286">
        <f>'Sources and Uses Budget'!$C6</f>
        <v>10000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2710000</v>
      </c>
      <c r="C9" s="290">
        <f>SUM(C5:C8)</f>
        <v>2710000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2710000</v>
      </c>
      <c r="C13" s="290">
        <f>SUM(C9+C12)</f>
        <v>2710000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1813754</v>
      </c>
      <c r="C30" s="286">
        <f>'Sources and Uses Budget'!$C29</f>
        <v>1813754</v>
      </c>
      <c r="D30" s="290">
        <f t="shared" si="0"/>
        <v>0</v>
      </c>
      <c r="E30" s="288"/>
      <c r="F30" s="287"/>
      <c r="G30" s="384"/>
    </row>
    <row r="31" spans="1:7" s="381" customFormat="1">
      <c r="A31" s="145" t="s">
        <v>609</v>
      </c>
      <c r="B31" s="286">
        <f>'Sources and Uses Budget'!$C30</f>
        <v>21424487</v>
      </c>
      <c r="C31" s="286">
        <f>'Sources and Uses Budget'!$C30</f>
        <v>21424487</v>
      </c>
      <c r="D31" s="290">
        <f t="shared" si="0"/>
        <v>0</v>
      </c>
      <c r="E31" s="288"/>
      <c r="F31" s="287"/>
      <c r="G31" s="384"/>
    </row>
    <row r="32" spans="1:7" s="381" customFormat="1">
      <c r="A32" s="145" t="s">
        <v>610</v>
      </c>
      <c r="B32" s="286">
        <f>'Sources and Uses Budget'!$C31</f>
        <v>1394294</v>
      </c>
      <c r="C32" s="286">
        <f>'Sources and Uses Budget'!$C31</f>
        <v>1394294</v>
      </c>
      <c r="D32" s="290">
        <f t="shared" si="0"/>
        <v>0</v>
      </c>
      <c r="E32" s="288"/>
      <c r="F32" s="287"/>
      <c r="G32" s="384"/>
    </row>
    <row r="33" spans="1:7" s="381" customFormat="1">
      <c r="A33" s="145" t="s">
        <v>138</v>
      </c>
      <c r="B33" s="286">
        <f>'Sources and Uses Budget'!$C32</f>
        <v>492651</v>
      </c>
      <c r="C33" s="286">
        <f>'Sources and Uses Budget'!$C32</f>
        <v>492651</v>
      </c>
      <c r="D33" s="290">
        <f t="shared" si="0"/>
        <v>0</v>
      </c>
      <c r="E33" s="288"/>
      <c r="F33" s="287"/>
      <c r="G33" s="384"/>
    </row>
    <row r="34" spans="1:7" s="381" customFormat="1">
      <c r="A34" s="145" t="s">
        <v>139</v>
      </c>
      <c r="B34" s="286">
        <f>'Sources and Uses Budget'!$C33</f>
        <v>1477952</v>
      </c>
      <c r="C34" s="286">
        <f>'Sources and Uses Budget'!$C33</f>
        <v>1477952</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340520</v>
      </c>
      <c r="C36" s="286">
        <f>'Sources and Uses Budget'!$C35</f>
        <v>340520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26943658</v>
      </c>
      <c r="C39" s="290">
        <f>SUM(C30:C38)</f>
        <v>26943658</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532063</v>
      </c>
      <c r="C41" s="286">
        <f>'Sources and Uses Budget'!$C40</f>
        <v>532063</v>
      </c>
      <c r="D41" s="290">
        <f t="shared" si="0"/>
        <v>0</v>
      </c>
      <c r="E41" s="288"/>
      <c r="F41" s="287"/>
      <c r="G41" s="384"/>
    </row>
    <row r="42" spans="1:7" s="381" customFormat="1">
      <c r="A42" s="289" t="s">
        <v>147</v>
      </c>
      <c r="B42" s="286">
        <f>'Sources and Uses Budget'!$C41</f>
        <v>266031</v>
      </c>
      <c r="C42" s="286">
        <f>'Sources and Uses Budget'!$C41</f>
        <v>266031</v>
      </c>
      <c r="D42" s="290">
        <f t="shared" si="0"/>
        <v>0</v>
      </c>
      <c r="E42" s="288"/>
      <c r="F42" s="287"/>
      <c r="G42" s="384"/>
    </row>
    <row r="43" spans="1:7" s="381" customFormat="1">
      <c r="A43" s="291" t="s">
        <v>148</v>
      </c>
      <c r="B43" s="290">
        <f>SUM(B41:B42)</f>
        <v>798094</v>
      </c>
      <c r="C43" s="290">
        <f>SUM(C41:C42)</f>
        <v>798094</v>
      </c>
      <c r="D43" s="290">
        <f t="shared" si="0"/>
        <v>0</v>
      </c>
      <c r="E43" s="288"/>
      <c r="F43" s="287"/>
      <c r="G43" s="384"/>
    </row>
    <row r="44" spans="1:7" s="381" customFormat="1">
      <c r="A44" s="291" t="s">
        <v>149</v>
      </c>
      <c r="B44" s="286">
        <f>'Sources and Uses Budget'!$C43</f>
        <v>150000</v>
      </c>
      <c r="C44" s="286">
        <f>'Sources and Uses Budget'!$C43</f>
        <v>150000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1141881</v>
      </c>
      <c r="C46" s="286">
        <f>'Sources and Uses Budget'!$C45</f>
        <v>1141881</v>
      </c>
      <c r="D46" s="290">
        <f t="shared" si="0"/>
        <v>0</v>
      </c>
      <c r="E46" s="288"/>
      <c r="F46" s="287"/>
      <c r="G46" s="384"/>
    </row>
    <row r="47" spans="1:7" s="381" customFormat="1">
      <c r="A47" s="145" t="s">
        <v>152</v>
      </c>
      <c r="B47" s="286">
        <f>'Sources and Uses Budget'!$C46</f>
        <v>215011</v>
      </c>
      <c r="C47" s="286">
        <f>'Sources and Uses Budget'!$C46</f>
        <v>215011</v>
      </c>
      <c r="D47" s="290">
        <f t="shared" si="0"/>
        <v>0</v>
      </c>
      <c r="E47" s="288"/>
      <c r="F47" s="287"/>
      <c r="G47" s="384"/>
    </row>
    <row r="48" spans="1:7" s="381" customFormat="1" ht="12" customHeight="1">
      <c r="A48" s="198" t="s">
        <v>153</v>
      </c>
      <c r="B48" s="286">
        <f>'Sources and Uses Budget'!$C47</f>
        <v>35000</v>
      </c>
      <c r="C48" s="286">
        <f>'Sources and Uses Budget'!$C47</f>
        <v>35000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181526</v>
      </c>
      <c r="C50" s="286">
        <f>'Sources and Uses Budget'!$C49</f>
        <v>181526</v>
      </c>
      <c r="D50" s="290">
        <f t="shared" si="0"/>
        <v>0</v>
      </c>
      <c r="E50" s="288"/>
      <c r="F50" s="287"/>
      <c r="G50" s="384"/>
    </row>
    <row r="51" spans="1:7" s="381" customFormat="1">
      <c r="A51" s="145" t="s">
        <v>157</v>
      </c>
      <c r="B51" s="286">
        <f>'Sources and Uses Budget'!$C50</f>
        <v>40000</v>
      </c>
      <c r="C51" s="286">
        <f>'Sources and Uses Budget'!$C50</f>
        <v>40000</v>
      </c>
      <c r="D51" s="290">
        <f t="shared" si="0"/>
        <v>0</v>
      </c>
      <c r="E51" s="288"/>
      <c r="F51" s="287"/>
      <c r="G51" s="384"/>
    </row>
    <row r="52" spans="1:7" s="381" customFormat="1">
      <c r="A52" s="304" t="s">
        <v>155</v>
      </c>
      <c r="B52" s="286">
        <f>'Sources and Uses Budget'!$C51</f>
        <v>54000</v>
      </c>
      <c r="C52" s="286">
        <f>'Sources and Uses Budget'!$C51</f>
        <v>54000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Inspection Fees</v>
      </c>
      <c r="B54" s="286">
        <f>'Sources and Uses Budget'!$C53</f>
        <v>20000</v>
      </c>
      <c r="C54" s="286">
        <f>'Sources and Uses Budget'!$C53</f>
        <v>20000</v>
      </c>
      <c r="D54" s="290">
        <f t="shared" si="0"/>
        <v>0</v>
      </c>
      <c r="E54" s="288"/>
      <c r="F54" s="287"/>
      <c r="G54" s="384"/>
    </row>
    <row r="55" spans="1:7" s="382" customFormat="1">
      <c r="A55" s="291" t="s">
        <v>158</v>
      </c>
      <c r="B55" s="293">
        <f>SUM(B46:B54)</f>
        <v>1687418</v>
      </c>
      <c r="C55" s="293">
        <f>SUM(C46:C54)</f>
        <v>1687418</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10000</v>
      </c>
      <c r="C58" s="286">
        <f>'Sources and Uses Budget'!$C57</f>
        <v>10000</v>
      </c>
      <c r="D58" s="290">
        <f t="shared" si="0"/>
        <v>0</v>
      </c>
      <c r="E58" s="288"/>
      <c r="F58" s="287"/>
      <c r="G58" s="384"/>
    </row>
    <row r="59" spans="1:7" s="381" customFormat="1">
      <c r="A59" s="289" t="s">
        <v>157</v>
      </c>
      <c r="B59" s="286">
        <f>'Sources and Uses Budget'!$C58</f>
        <v>5000</v>
      </c>
      <c r="C59" s="286">
        <f>'Sources and Uses Budget'!$C58</f>
        <v>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15000</v>
      </c>
      <c r="C63" s="290">
        <f>SUM(C57:C62)</f>
        <v>15000</v>
      </c>
      <c r="D63" s="290">
        <f t="shared" si="0"/>
        <v>0</v>
      </c>
      <c r="E63" s="288"/>
      <c r="F63" s="287"/>
      <c r="G63" s="384"/>
    </row>
    <row r="64" spans="1:7" s="381" customFormat="1">
      <c r="A64" s="294" t="s">
        <v>304</v>
      </c>
      <c r="B64" s="290">
        <f>SUM(B9+B12+B14+B15+B17+B26+B28+B39+B43+B44+B55+B63)</f>
        <v>32304170</v>
      </c>
      <c r="C64" s="290">
        <f>SUM(C9+C12+C14+C15+C17+C26+C28+C39+C43+C44+C55+C63)</f>
        <v>32304170</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65000</v>
      </c>
      <c r="C66" s="286">
        <f>'Sources and Uses Budget'!$C65</f>
        <v>65000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Borrower's Attorney</v>
      </c>
      <c r="B70" s="286">
        <f>'Sources and Uses Budget'!$C69</f>
        <v>50000</v>
      </c>
      <c r="C70" s="286">
        <f>'Sources and Uses Budget'!$C69</f>
        <v>50000</v>
      </c>
      <c r="D70" s="290">
        <f t="shared" si="0"/>
        <v>0</v>
      </c>
      <c r="E70" s="288"/>
      <c r="F70" s="287"/>
      <c r="G70" s="384"/>
    </row>
    <row r="71" spans="1:7" s="381" customFormat="1">
      <c r="A71" s="149" t="s">
        <v>1826</v>
      </c>
      <c r="B71" s="290">
        <f>SUM(B66:B70)</f>
        <v>115000</v>
      </c>
      <c r="C71" s="290">
        <f>SUM(C66:C70)</f>
        <v>115000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30000</v>
      </c>
      <c r="C73" s="286">
        <f>'Sources and Uses Budget'!$C72</f>
        <v>30000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158760</v>
      </c>
      <c r="C76" s="286">
        <f>'Sources and Uses Budget'!$C75</f>
        <v>158760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188760</v>
      </c>
      <c r="C78" s="290">
        <f>SUM(C73:C77)</f>
        <v>188760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1886056</v>
      </c>
      <c r="C80" s="286">
        <f>'Sources and Uses Budget'!$C79</f>
        <v>1886056</v>
      </c>
      <c r="D80" s="290">
        <f t="shared" si="1"/>
        <v>0</v>
      </c>
      <c r="E80" s="288"/>
      <c r="F80" s="287"/>
      <c r="G80" s="384"/>
    </row>
    <row r="81" spans="1:7" s="381" customFormat="1">
      <c r="A81" s="545" t="s">
        <v>58</v>
      </c>
      <c r="B81" s="286">
        <f>'Sources and Uses Budget'!$C80</f>
        <v>209613</v>
      </c>
      <c r="C81" s="286">
        <f>'Sources and Uses Budget'!$C80</f>
        <v>209613</v>
      </c>
      <c r="D81" s="290">
        <f>C81-B81</f>
        <v>0</v>
      </c>
      <c r="E81" s="288"/>
      <c r="F81" s="287"/>
      <c r="G81" s="384"/>
    </row>
    <row r="82" spans="1:7" s="381" customFormat="1">
      <c r="A82" s="291" t="s">
        <v>1353</v>
      </c>
      <c r="B82" s="290">
        <f>SUM(B80:B81)</f>
        <v>2095669</v>
      </c>
      <c r="C82" s="290">
        <f>SUM(C80:C81)</f>
        <v>2095669</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120178</v>
      </c>
      <c r="C84" s="286">
        <f>'Sources and Uses Budget'!$C83</f>
        <v>120178</v>
      </c>
      <c r="D84" s="290">
        <f t="shared" si="1"/>
        <v>0</v>
      </c>
      <c r="E84" s="288"/>
      <c r="F84" s="287"/>
      <c r="G84" s="384"/>
    </row>
    <row r="85" spans="1:7" s="381" customFormat="1">
      <c r="A85" s="289" t="s">
        <v>792</v>
      </c>
      <c r="B85" s="286">
        <f>'Sources and Uses Budget'!$C84</f>
        <v>7000</v>
      </c>
      <c r="C85" s="286">
        <f>'Sources and Uses Budget'!$C84</f>
        <v>7000</v>
      </c>
      <c r="D85" s="290">
        <f t="shared" si="1"/>
        <v>0</v>
      </c>
      <c r="E85" s="288"/>
      <c r="F85" s="287"/>
      <c r="G85" s="384"/>
    </row>
    <row r="86" spans="1:7" s="381" customFormat="1">
      <c r="A86" s="289" t="s">
        <v>793</v>
      </c>
      <c r="B86" s="286">
        <f>'Sources and Uses Budget'!$C85</f>
        <v>1836525</v>
      </c>
      <c r="C86" s="286">
        <f>'Sources and Uses Budget'!$C85</f>
        <v>1836525</v>
      </c>
      <c r="D86" s="290">
        <f t="shared" si="1"/>
        <v>0</v>
      </c>
      <c r="E86" s="288"/>
      <c r="F86" s="287"/>
      <c r="G86" s="384"/>
    </row>
    <row r="87" spans="1:7" s="381" customFormat="1">
      <c r="A87" s="289" t="s">
        <v>794</v>
      </c>
      <c r="B87" s="286">
        <f>'Sources and Uses Budget'!$C86</f>
        <v>750000</v>
      </c>
      <c r="C87" s="286">
        <f>'Sources and Uses Budget'!$C86</f>
        <v>750000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38625</v>
      </c>
      <c r="C89" s="286">
        <f>'Sources and Uses Budget'!$C88</f>
        <v>38625</v>
      </c>
      <c r="D89" s="290">
        <f t="shared" si="1"/>
        <v>0</v>
      </c>
      <c r="E89" s="288"/>
      <c r="F89" s="287"/>
      <c r="G89" s="384"/>
    </row>
    <row r="90" spans="1:7" s="381" customFormat="1">
      <c r="A90" s="289" t="s">
        <v>797</v>
      </c>
      <c r="B90" s="286">
        <f>'Sources and Uses Budget'!$C89</f>
        <v>60000</v>
      </c>
      <c r="C90" s="286">
        <f>'Sources and Uses Budget'!$C89</f>
        <v>60000</v>
      </c>
      <c r="D90" s="290">
        <f t="shared" si="1"/>
        <v>0</v>
      </c>
      <c r="E90" s="288"/>
      <c r="F90" s="287"/>
      <c r="G90" s="384"/>
    </row>
    <row r="91" spans="1:7" s="381" customFormat="1">
      <c r="A91" s="289" t="s">
        <v>798</v>
      </c>
      <c r="B91" s="286">
        <f>'Sources and Uses Budget'!$C90</f>
        <v>10000</v>
      </c>
      <c r="C91" s="286">
        <f>'Sources and Uses Budget'!$C90</f>
        <v>10000</v>
      </c>
      <c r="D91" s="290">
        <f t="shared" si="1"/>
        <v>0</v>
      </c>
      <c r="E91" s="288"/>
      <c r="F91" s="287"/>
      <c r="G91" s="384"/>
    </row>
    <row r="92" spans="1:7" s="381" customFormat="1">
      <c r="A92" s="289" t="s">
        <v>374</v>
      </c>
      <c r="B92" s="286">
        <f>'Sources and Uses Budget'!$C91</f>
        <v>45000</v>
      </c>
      <c r="C92" s="286">
        <f>'Sources and Uses Budget'!$C91</f>
        <v>45000</v>
      </c>
      <c r="D92" s="290">
        <f t="shared" si="1"/>
        <v>0</v>
      </c>
      <c r="E92" s="288"/>
      <c r="F92" s="287"/>
      <c r="G92" s="384"/>
    </row>
    <row r="93" spans="1:7" s="381" customFormat="1">
      <c r="A93" s="545" t="s">
        <v>1355</v>
      </c>
      <c r="B93" s="286">
        <f>'Sources and Uses Budget'!$C92</f>
        <v>7500</v>
      </c>
      <c r="C93" s="286">
        <f>'Sources and Uses Budget'!$C92</f>
        <v>7500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2874828</v>
      </c>
      <c r="C97" s="290">
        <f>SUM(C84:C96)</f>
        <v>2874828</v>
      </c>
      <c r="D97" s="290">
        <f t="shared" si="1"/>
        <v>0</v>
      </c>
      <c r="E97" s="288"/>
      <c r="F97" s="287"/>
      <c r="G97" s="384"/>
    </row>
    <row r="98" spans="1:7" s="381" customFormat="1">
      <c r="A98" s="291" t="s">
        <v>800</v>
      </c>
      <c r="B98" s="290">
        <f>SUM(B64+B71+B78+B82+B97)</f>
        <v>37578427</v>
      </c>
      <c r="C98" s="290">
        <f>SUM(C64+C71+C78+C82+C97)</f>
        <v>37578427</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2591850</v>
      </c>
      <c r="C100" s="286">
        <f>'Sources and Uses Budget'!$C99</f>
        <v>2591850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2591850</v>
      </c>
      <c r="C105" s="290">
        <f>SUM(C100:C104)</f>
        <v>2591850</v>
      </c>
      <c r="D105" s="290">
        <f t="shared" si="1"/>
        <v>0</v>
      </c>
      <c r="E105" s="288"/>
      <c r="F105" s="287"/>
      <c r="G105" s="384"/>
    </row>
    <row r="106" spans="1:7" s="381" customFormat="1">
      <c r="A106" s="291" t="s">
        <v>805</v>
      </c>
      <c r="B106" s="293">
        <f>SUM(B98+B105)</f>
        <v>40170277</v>
      </c>
      <c r="C106" s="293">
        <f>SUM(C98+C105)</f>
        <v>40170277</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1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1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1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2447</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2445</v>
      </c>
      <c r="B73" s="1267"/>
      <c r="C73" s="1267"/>
      <c r="D73" s="1267"/>
      <c r="E73" s="1267"/>
    </row>
    <row r="74" spans="1:9" ht="12.75">
      <c r="A74" s="1267" t="s">
        <v>2446</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33" zoomScaleNormal="100" zoomScaleSheetLayoutView="100" workbookViewId="0">
      <selection activeCell="E59" sqref="E59"/>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2146</v>
      </c>
    </row>
    <row r="7" spans="1:13">
      <c r="A7" s="1320" t="s">
        <v>1204</v>
      </c>
      <c r="B7" s="1320"/>
      <c r="C7" s="1332"/>
      <c r="D7" s="1332"/>
      <c r="E7" s="1332"/>
      <c r="F7" s="1332"/>
      <c r="G7" s="1332"/>
      <c r="I7" s="525" t="s">
        <v>2147</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2740</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2739</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309</v>
      </c>
      <c r="D24" s="1275" t="s">
        <v>1191</v>
      </c>
      <c r="E24" s="1275"/>
      <c r="F24" s="1275"/>
      <c r="I24" s="436" t="s">
        <v>2149</v>
      </c>
    </row>
    <row r="25" spans="1:9" ht="14.25">
      <c r="A25" s="519"/>
      <c r="B25" s="519"/>
      <c r="D25" s="1275"/>
      <c r="E25" s="1275"/>
      <c r="F25" s="1275"/>
    </row>
    <row r="26" spans="1:9"/>
    <row r="27" spans="1:9" ht="14.25">
      <c r="A27" s="519"/>
      <c r="B27" s="520" t="s">
        <v>309</v>
      </c>
      <c r="D27" s="1275" t="s">
        <v>2448</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309</v>
      </c>
      <c r="D33" s="1275" t="s">
        <v>2449</v>
      </c>
      <c r="E33" s="1275"/>
      <c r="F33" s="1275"/>
      <c r="I33" s="436" t="s">
        <v>2148</v>
      </c>
    </row>
    <row r="34" spans="1:9">
      <c r="D34" s="1275"/>
      <c r="E34" s="1275"/>
      <c r="F34" s="1275"/>
    </row>
    <row r="35" spans="1:9" ht="14.25">
      <c r="A35" s="519"/>
      <c r="B35" s="519"/>
      <c r="D35" s="482"/>
    </row>
    <row r="36" spans="1:9" ht="14.45" customHeight="1">
      <c r="A36" s="519"/>
      <c r="B36" s="520" t="s">
        <v>309</v>
      </c>
      <c r="D36" s="1275" t="s">
        <v>1358</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309</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309</v>
      </c>
      <c r="D47" s="1275" t="s">
        <v>1196</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309</v>
      </c>
      <c r="D52" s="1275" t="s">
        <v>1197</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309</v>
      </c>
      <c r="D56" s="1334" t="s">
        <v>1198</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309</v>
      </c>
      <c r="D61" s="1275" t="s">
        <v>1199</v>
      </c>
      <c r="E61" s="1275"/>
      <c r="F61" s="1275"/>
      <c r="I61" s="436" t="s">
        <v>2150</v>
      </c>
    </row>
    <row r="62" spans="1:9">
      <c r="D62" s="1275"/>
      <c r="E62" s="1275"/>
      <c r="F62" s="1275"/>
    </row>
    <row r="63" spans="1:9">
      <c r="D63" s="1275"/>
      <c r="E63" s="1275"/>
      <c r="F63" s="1275"/>
    </row>
    <row r="64" spans="1:9"/>
    <row r="65" spans="1:9" ht="14.25">
      <c r="A65" s="519"/>
      <c r="B65" s="520" t="s">
        <v>309</v>
      </c>
      <c r="D65" s="1275" t="s">
        <v>1200</v>
      </c>
      <c r="E65" s="1275"/>
      <c r="F65" s="1275"/>
      <c r="I65" s="436" t="s">
        <v>2151</v>
      </c>
    </row>
    <row r="66" spans="1:9">
      <c r="D66" s="1275"/>
      <c r="E66" s="1275"/>
      <c r="F66" s="1275"/>
    </row>
    <row r="67" spans="1:9"/>
    <row r="68" spans="1:9" ht="14.25">
      <c r="A68" s="519"/>
      <c r="B68" s="520" t="s">
        <v>309</v>
      </c>
      <c r="D68" s="1275" t="s">
        <v>1201</v>
      </c>
      <c r="E68" s="1275"/>
      <c r="F68" s="1275"/>
    </row>
    <row r="69" spans="1:9">
      <c r="D69" s="1275"/>
      <c r="E69" s="1275"/>
      <c r="F69" s="1275"/>
      <c r="I69" s="436" t="s">
        <v>2152</v>
      </c>
    </row>
    <row r="70" spans="1:9">
      <c r="D70" s="1275"/>
      <c r="E70" s="1275"/>
      <c r="F70" s="1275"/>
    </row>
    <row r="71" spans="1:9"/>
    <row r="72" spans="1:9" ht="14.25">
      <c r="A72" s="519"/>
      <c r="B72" s="520" t="s">
        <v>309</v>
      </c>
      <c r="D72" s="1275" t="s">
        <v>1202</v>
      </c>
      <c r="E72" s="1275"/>
      <c r="F72" s="1275"/>
      <c r="I72" s="436" t="s">
        <v>2152</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309</v>
      </c>
      <c r="D80" s="1275" t="s">
        <v>1402</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309</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309</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309</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309</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309</v>
      </c>
      <c r="D103" s="1275" t="s">
        <v>1338</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309</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309</v>
      </c>
      <c r="C128" s="434"/>
      <c r="D128" s="1302" t="s">
        <v>2450</v>
      </c>
      <c r="E128" s="1302"/>
      <c r="F128" s="1302"/>
      <c r="I128" s="436" t="s">
        <v>2158</v>
      </c>
    </row>
    <row r="129" spans="1:9" ht="14.25">
      <c r="A129" s="519"/>
      <c r="B129" s="519"/>
      <c r="C129" s="434"/>
      <c r="D129" s="1302"/>
      <c r="E129" s="1302"/>
      <c r="F129" s="1302"/>
    </row>
    <row r="130" spans="1:9"/>
    <row r="131" spans="1:9" ht="14.25">
      <c r="A131" s="519"/>
      <c r="B131" s="520" t="s">
        <v>309</v>
      </c>
      <c r="D131" s="1275" t="s">
        <v>1212</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309</v>
      </c>
      <c r="D137" s="1275" t="s">
        <v>1213</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309</v>
      </c>
      <c r="D151" s="1275" t="s">
        <v>1321</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2475</v>
      </c>
      <c r="E169" s="1335"/>
      <c r="F169" s="1335"/>
      <c r="G169" s="542"/>
    </row>
    <row r="170" spans="1:9" ht="13.7" customHeight="1">
      <c r="D170" s="1308"/>
      <c r="E170" s="1308"/>
      <c r="F170" s="1308"/>
      <c r="G170" s="1308"/>
    </row>
    <row r="171" spans="1:9" ht="14.45" customHeight="1">
      <c r="A171" s="524"/>
      <c r="B171" s="520" t="s">
        <v>309</v>
      </c>
      <c r="C171" s="511"/>
      <c r="D171" s="1263" t="s">
        <v>1368</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309</v>
      </c>
      <c r="C175" s="511"/>
      <c r="D175" s="1263" t="s">
        <v>1215</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309</v>
      </c>
      <c r="D180" s="1297" t="s">
        <v>2451</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2452</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309</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309</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309</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309</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309</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309</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2163</v>
      </c>
    </row>
    <row r="226" spans="1:9" ht="14.25">
      <c r="A226" s="519"/>
      <c r="B226" s="520" t="s">
        <v>309</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309</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309</v>
      </c>
      <c r="D243" s="1275" t="s">
        <v>2453</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309</v>
      </c>
      <c r="D248" s="1275" t="s">
        <v>2454</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309</v>
      </c>
      <c r="D254" s="424" t="s">
        <v>2455</v>
      </c>
      <c r="E254" s="480"/>
      <c r="F254" s="480"/>
      <c r="I254" s="436" t="s">
        <v>2201</v>
      </c>
    </row>
    <row r="255" spans="1:9" ht="14.25">
      <c r="A255" s="519"/>
      <c r="B255" s="519"/>
      <c r="E255" s="1080" t="s">
        <v>2279</v>
      </c>
    </row>
    <row r="256" spans="1:9">
      <c r="D256" s="481"/>
      <c r="E256" s="481"/>
      <c r="F256" s="481"/>
    </row>
    <row r="257" spans="1:9" ht="14.25">
      <c r="A257" s="519"/>
      <c r="B257" s="520" t="s">
        <v>309</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309</v>
      </c>
      <c r="D265" s="1275" t="s">
        <v>1340</v>
      </c>
      <c r="E265" s="1275"/>
      <c r="F265" s="1275"/>
    </row>
    <row r="266" spans="1:9">
      <c r="D266" s="1275"/>
      <c r="E266" s="1275"/>
      <c r="F266" s="1275"/>
    </row>
    <row r="267" spans="1:9">
      <c r="E267" s="1080" t="s">
        <v>2280</v>
      </c>
    </row>
    <row r="268" spans="1:9">
      <c r="D268" s="481"/>
      <c r="E268" s="481"/>
      <c r="F268" s="481"/>
    </row>
    <row r="269" spans="1:9" ht="14.45" customHeight="1">
      <c r="A269" s="519"/>
      <c r="B269" s="520" t="s">
        <v>309</v>
      </c>
      <c r="D269" s="1275" t="s">
        <v>2456</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309</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309</v>
      </c>
      <c r="D288" s="1275" t="s">
        <v>1249</v>
      </c>
      <c r="E288" s="1275"/>
      <c r="F288" s="1275"/>
      <c r="I288" s="436" t="s">
        <v>2165</v>
      </c>
    </row>
    <row r="289" spans="1:9" ht="14.25">
      <c r="A289" s="519"/>
      <c r="B289" s="519"/>
      <c r="D289" s="1275"/>
      <c r="E289" s="1275"/>
      <c r="F289" s="1275"/>
    </row>
    <row r="290" spans="1:9">
      <c r="D290" s="481"/>
      <c r="E290" s="481"/>
      <c r="F290" s="481"/>
    </row>
    <row r="291" spans="1:9" ht="14.25">
      <c r="A291" s="519"/>
      <c r="B291" s="520" t="s">
        <v>309</v>
      </c>
      <c r="D291" s="1275" t="s">
        <v>1250</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309</v>
      </c>
      <c r="D295" s="1275" t="s">
        <v>1251</v>
      </c>
      <c r="E295" s="1275"/>
      <c r="F295" s="1275"/>
      <c r="I295" s="436" t="s">
        <v>2165</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309</v>
      </c>
      <c r="D303" s="1304" t="s">
        <v>1253</v>
      </c>
      <c r="E303" s="1304"/>
      <c r="F303" s="1304"/>
      <c r="I303" s="436" t="s">
        <v>2166</v>
      </c>
    </row>
    <row r="304" spans="1:9" ht="14.25">
      <c r="A304" s="519"/>
      <c r="B304" s="519"/>
      <c r="D304" s="529"/>
      <c r="E304" s="530"/>
      <c r="F304" s="530"/>
    </row>
    <row r="305" spans="1:9" ht="13.7" customHeight="1">
      <c r="B305" s="520" t="s">
        <v>309</v>
      </c>
      <c r="D305" s="1325" t="s">
        <v>1364</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309</v>
      </c>
      <c r="D311" s="1325" t="s">
        <v>1255</v>
      </c>
      <c r="E311" s="1325"/>
      <c r="F311" s="1325"/>
      <c r="I311" s="436" t="s">
        <v>2166</v>
      </c>
    </row>
    <row r="312" spans="1:9">
      <c r="D312" s="1325"/>
      <c r="E312" s="1325"/>
      <c r="F312" s="1325"/>
    </row>
    <row r="313" spans="1:9" ht="14.25">
      <c r="A313" s="519"/>
      <c r="B313" s="519"/>
      <c r="D313" s="529"/>
      <c r="E313" s="530"/>
      <c r="F313" s="530"/>
    </row>
    <row r="314" spans="1:9">
      <c r="B314" s="520" t="s">
        <v>309</v>
      </c>
      <c r="D314" s="1304" t="s">
        <v>1256</v>
      </c>
      <c r="E314" s="1304"/>
      <c r="F314" s="1304"/>
      <c r="I314" s="436" t="s">
        <v>2152</v>
      </c>
    </row>
    <row r="315" spans="1:9">
      <c r="E315" s="481"/>
      <c r="F315" s="481"/>
    </row>
    <row r="316" spans="1:9" ht="14.25">
      <c r="A316" s="519"/>
      <c r="B316" s="520" t="s">
        <v>309</v>
      </c>
      <c r="D316" s="1275" t="s">
        <v>2476</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309</v>
      </c>
      <c r="D332" s="1275" t="s">
        <v>1258</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309</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2168</v>
      </c>
    </row>
    <row r="353" spans="1:9" ht="14.25">
      <c r="A353" s="519"/>
      <c r="B353" s="520" t="s">
        <v>309</v>
      </c>
      <c r="C353" s="522"/>
      <c r="D353" s="1304" t="s">
        <v>2283</v>
      </c>
      <c r="E353" s="1304"/>
      <c r="F353" s="1304"/>
      <c r="I353" s="1322" t="s">
        <v>2218</v>
      </c>
    </row>
    <row r="354" spans="1:9" ht="12.75" customHeight="1">
      <c r="D354" s="1081"/>
      <c r="E354" s="96" t="s">
        <v>2282</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309</v>
      </c>
      <c r="C358" s="511"/>
      <c r="D358" s="1308" t="s">
        <v>2457</v>
      </c>
      <c r="E358" s="1308"/>
      <c r="F358" s="1308"/>
      <c r="I358" s="434"/>
    </row>
    <row r="359" spans="1:9">
      <c r="A359" s="511"/>
      <c r="B359" s="511"/>
      <c r="C359" s="511"/>
      <c r="D359" s="482"/>
      <c r="E359" s="482"/>
      <c r="F359" s="481"/>
    </row>
    <row r="360" spans="1:9">
      <c r="A360" s="511"/>
      <c r="B360" s="520" t="s">
        <v>309</v>
      </c>
      <c r="C360" s="511"/>
      <c r="D360" s="1263" t="s">
        <v>2458</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309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309</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309</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309</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309</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2477</v>
      </c>
      <c r="E431" s="1263"/>
      <c r="F431" s="1263"/>
    </row>
    <row r="432" spans="1:6">
      <c r="D432" s="481"/>
      <c r="E432" s="481"/>
      <c r="F432" s="481"/>
    </row>
    <row r="433" spans="1:6" ht="14.25">
      <c r="A433" s="519"/>
      <c r="B433" s="520" t="s">
        <v>309</v>
      </c>
      <c r="C433" s="522"/>
      <c r="D433" s="1275" t="s">
        <v>2459</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309</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309</v>
      </c>
      <c r="C469" s="519"/>
      <c r="D469" s="1275" t="s">
        <v>1341</v>
      </c>
      <c r="E469" s="1275"/>
      <c r="F469" s="1275"/>
    </row>
    <row r="470" spans="1:6">
      <c r="D470" s="1275"/>
      <c r="E470" s="1275"/>
      <c r="F470" s="1275"/>
    </row>
    <row r="471" spans="1:6">
      <c r="D471" s="481"/>
      <c r="E471" s="481"/>
      <c r="F471" s="481"/>
    </row>
    <row r="472" spans="1:6" ht="14.25">
      <c r="B472" s="520" t="s">
        <v>309</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309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309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309</v>
      </c>
      <c r="C484" s="434"/>
      <c r="D484" s="1275"/>
      <c r="E484" s="1275"/>
      <c r="F484" s="1275"/>
    </row>
    <row r="485" spans="1:9">
      <c r="A485" s="434"/>
      <c r="C485" s="434"/>
      <c r="D485" s="1275"/>
      <c r="E485" s="1275"/>
      <c r="F485" s="1275"/>
    </row>
    <row r="486" spans="1:9">
      <c r="A486" s="434"/>
      <c r="B486" s="520" t="s">
        <v>309</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309</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309</v>
      </c>
      <c r="D499" s="1263" t="s">
        <v>1277</v>
      </c>
      <c r="E499" s="1263"/>
      <c r="F499" s="1263"/>
      <c r="I499" s="436" t="s">
        <v>2169</v>
      </c>
    </row>
    <row r="500" spans="1:9" ht="14.25">
      <c r="A500" s="519"/>
      <c r="B500" s="519"/>
      <c r="D500" s="1263"/>
      <c r="E500" s="1263"/>
      <c r="F500" s="1263"/>
    </row>
    <row r="501" spans="1:9" ht="14.25">
      <c r="A501" s="519"/>
      <c r="B501" s="519"/>
      <c r="D501" s="481"/>
    </row>
    <row r="502" spans="1:9" ht="12.75" customHeight="1">
      <c r="B502" s="520" t="s">
        <v>309</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309</v>
      </c>
      <c r="D507" s="1304" t="s">
        <v>1280</v>
      </c>
      <c r="E507" s="1304"/>
      <c r="F507" s="1304"/>
      <c r="I507" s="436" t="s">
        <v>2171</v>
      </c>
    </row>
    <row r="508" spans="1:9" ht="14.25">
      <c r="A508" s="519"/>
      <c r="B508" s="519"/>
      <c r="D508" s="481"/>
    </row>
    <row r="509" spans="1:9" ht="14.25">
      <c r="A509" s="519"/>
      <c r="B509" s="520" t="s">
        <v>309</v>
      </c>
      <c r="D509" s="1275" t="s">
        <v>1281</v>
      </c>
      <c r="E509" s="1275"/>
      <c r="F509" s="1275"/>
      <c r="I509" s="436" t="s">
        <v>2171</v>
      </c>
    </row>
    <row r="510" spans="1:9" ht="14.25">
      <c r="A510" s="519"/>
      <c r="D510" s="1275"/>
      <c r="E510" s="1275"/>
      <c r="F510" s="1275"/>
    </row>
    <row r="511" spans="1:9">
      <c r="A511" s="525"/>
      <c r="B511" s="525"/>
      <c r="D511" s="482"/>
    </row>
    <row r="512" spans="1:9">
      <c r="A512" s="525"/>
      <c r="B512" s="520" t="s">
        <v>309</v>
      </c>
      <c r="D512" s="1304" t="s">
        <v>1282</v>
      </c>
      <c r="E512" s="1304"/>
      <c r="F512" s="1304"/>
      <c r="I512" s="436" t="s">
        <v>2224</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309</v>
      </c>
      <c r="C520" s="518"/>
      <c r="D520" s="1263" t="s">
        <v>2460</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309</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309</v>
      </c>
      <c r="C529" s="518"/>
      <c r="D529" s="1275" t="s">
        <v>2462</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309</v>
      </c>
      <c r="C541" s="522"/>
      <c r="D541" s="1304" t="s">
        <v>914</v>
      </c>
      <c r="E541" s="1304"/>
      <c r="F541" s="1304"/>
      <c r="I541" s="436" t="s">
        <v>2222</v>
      </c>
    </row>
    <row r="542" spans="1:9" ht="13.7" customHeight="1">
      <c r="A542" s="522"/>
      <c r="B542" s="522"/>
      <c r="C542" s="522"/>
      <c r="D542" s="481"/>
    </row>
    <row r="543" spans="1:9" ht="14.25">
      <c r="A543" s="519"/>
      <c r="B543" s="520" t="s">
        <v>309</v>
      </c>
      <c r="C543" s="522"/>
      <c r="D543" s="1275" t="s">
        <v>1177</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309</v>
      </c>
      <c r="C546" s="522"/>
      <c r="D546" s="1275" t="s">
        <v>1178</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309</v>
      </c>
      <c r="C549" s="522"/>
      <c r="D549" s="1275" t="s">
        <v>1179</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309</v>
      </c>
      <c r="C552" s="522"/>
      <c r="D552" s="1275" t="s">
        <v>1180</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309</v>
      </c>
      <c r="C556" s="522"/>
      <c r="D556" s="1275" t="s">
        <v>1298</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309</v>
      </c>
      <c r="C559" s="522"/>
      <c r="D559" s="1275" t="s">
        <v>1182</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309</v>
      </c>
      <c r="C562" s="522"/>
      <c r="D562" s="1304" t="s">
        <v>1183</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309</v>
      </c>
      <c r="C566" s="522"/>
      <c r="D566" s="1304" t="s">
        <v>1185</v>
      </c>
      <c r="E566" s="1304"/>
      <c r="F566" s="1304"/>
      <c r="I566" s="436" t="s">
        <v>2175</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309</v>
      </c>
      <c r="C571" s="522"/>
      <c r="D571" s="1275" t="s">
        <v>2463</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2177</v>
      </c>
    </row>
    <row r="581" spans="1:9">
      <c r="A581" s="518"/>
      <c r="B581" s="520" t="s">
        <v>309</v>
      </c>
      <c r="D581" s="1297" t="s">
        <v>920</v>
      </c>
      <c r="E581" s="1297"/>
      <c r="F581" s="1297"/>
    </row>
    <row r="582" spans="1:9">
      <c r="A582" s="525"/>
      <c r="B582" s="525"/>
      <c r="D582" s="511"/>
    </row>
    <row r="583" spans="1:9">
      <c r="A583" s="525"/>
      <c r="B583" s="520" t="s">
        <v>309</v>
      </c>
      <c r="D583" s="1297" t="s">
        <v>2464</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309</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309</v>
      </c>
      <c r="D592" s="1297" t="s">
        <v>2465</v>
      </c>
      <c r="E592" s="1297"/>
      <c r="F592" s="1297"/>
    </row>
    <row r="593" spans="1:9">
      <c r="A593" s="525"/>
      <c r="B593" s="525"/>
      <c r="D593" s="1297"/>
      <c r="E593" s="1297"/>
      <c r="F593" s="1297"/>
    </row>
    <row r="594" spans="1:9">
      <c r="A594" s="525"/>
      <c r="B594" s="525"/>
      <c r="D594" s="534"/>
    </row>
    <row r="595" spans="1:9">
      <c r="A595" s="525"/>
      <c r="B595" s="520" t="s">
        <v>309</v>
      </c>
      <c r="D595" s="1297" t="s">
        <v>1140</v>
      </c>
      <c r="E595" s="1297"/>
      <c r="F595" s="1297"/>
      <c r="I595" s="436" t="s">
        <v>2226</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309</v>
      </c>
      <c r="D603" s="1337" t="s">
        <v>2290</v>
      </c>
      <c r="E603" s="1337"/>
      <c r="F603" s="1337"/>
      <c r="I603" s="436" t="s">
        <v>2207</v>
      </c>
    </row>
    <row r="604" spans="1:9">
      <c r="D604" s="1337"/>
      <c r="E604" s="1337"/>
      <c r="F604" s="1337"/>
    </row>
    <row r="605" spans="1:9">
      <c r="D605" s="417"/>
      <c r="E605" s="1080" t="s">
        <v>2291</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309</v>
      </c>
      <c r="D613" s="1277" t="s">
        <v>1226</v>
      </c>
      <c r="E613" s="1277"/>
      <c r="F613" s="1277"/>
      <c r="I613" s="436" t="s">
        <v>2227</v>
      </c>
    </row>
    <row r="614" spans="1:9">
      <c r="D614" s="1277"/>
      <c r="E614" s="1277"/>
      <c r="F614" s="1277"/>
    </row>
    <row r="615" spans="1:9"/>
    <row r="616" spans="1:9">
      <c r="B616" s="520" t="s">
        <v>309</v>
      </c>
      <c r="D616" s="1277" t="s">
        <v>1227</v>
      </c>
      <c r="E616" s="1277"/>
      <c r="F616" s="1277"/>
      <c r="I616" s="436" t="s">
        <v>2180</v>
      </c>
    </row>
    <row r="617" spans="1:9">
      <c r="C617" s="535"/>
      <c r="D617" s="1277"/>
      <c r="E617" s="1277"/>
      <c r="F617" s="1277"/>
    </row>
    <row r="618" spans="1:9">
      <c r="C618" s="535"/>
    </row>
    <row r="619" spans="1:9">
      <c r="B619" s="520" t="s">
        <v>309</v>
      </c>
      <c r="C619" s="535"/>
      <c r="D619" s="1277" t="s">
        <v>1228</v>
      </c>
      <c r="E619" s="1277"/>
      <c r="F619" s="1277"/>
      <c r="I619" s="436" t="s">
        <v>2228</v>
      </c>
    </row>
    <row r="620" spans="1:9">
      <c r="C620" s="535"/>
      <c r="D620" s="1277"/>
      <c r="E620" s="1277"/>
      <c r="F620" s="1277"/>
      <c r="I620" s="1068" t="s">
        <v>2229</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309</v>
      </c>
      <c r="D626" s="1337" t="s">
        <v>2466</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309</v>
      </c>
      <c r="D633" s="1275" t="s">
        <v>1231</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309</v>
      </c>
      <c r="C636" s="522"/>
      <c r="D636" s="1275" t="s">
        <v>1373</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309</v>
      </c>
      <c r="C639" s="522"/>
      <c r="D639" s="1304" t="s">
        <v>1233</v>
      </c>
      <c r="E639" s="1304"/>
      <c r="F639" s="1304"/>
      <c r="I639" s="436" t="s">
        <v>2181</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309</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309</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309</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309</v>
      </c>
      <c r="C662" s="522"/>
      <c r="D662" s="1275" t="s">
        <v>2467</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309</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75" t="s">
        <v>2468</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309</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75" t="s">
        <v>1174</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75" t="s">
        <v>1345</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75" t="s">
        <v>1165</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309</v>
      </c>
      <c r="C714" s="518"/>
      <c r="D714" s="1275" t="s">
        <v>1172</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75" t="s">
        <v>1166</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309</v>
      </c>
      <c r="C721" s="518"/>
      <c r="D721" s="1275" t="s">
        <v>1167</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309</v>
      </c>
      <c r="C725" s="518"/>
      <c r="D725" s="1275" t="s">
        <v>1168</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309</v>
      </c>
      <c r="C730" s="518"/>
      <c r="D730" s="1275" t="s">
        <v>2469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2478</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309</v>
      </c>
      <c r="D744" s="1275" t="s">
        <v>1144</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75" t="s">
        <v>1390</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309</v>
      </c>
      <c r="C756" s="539"/>
      <c r="D756" s="1277" t="s">
        <v>1391</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309</v>
      </c>
      <c r="D760" s="1275" t="s">
        <v>1342</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309</v>
      </c>
      <c r="D763" s="1275" t="s">
        <v>1359</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309</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309</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309</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309</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309</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309</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309</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309</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2479</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309</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309</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2470</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309</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309</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309</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309</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309</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2470</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309</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309</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309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309</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309</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309</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309</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309</v>
      </c>
      <c r="C916" s="1026"/>
      <c r="D916" s="1280" t="s">
        <v>2471</v>
      </c>
      <c r="E916" s="1280"/>
      <c r="F916" s="1280"/>
      <c r="G916" s="1025"/>
    </row>
    <row r="917" spans="1:9" ht="12.75" customHeight="1">
      <c r="A917" s="1026"/>
      <c r="B917" s="1026"/>
      <c r="C917" s="1026"/>
      <c r="D917" s="118"/>
      <c r="E917" s="1025"/>
      <c r="F917" s="1025"/>
      <c r="G917" s="1025"/>
    </row>
    <row r="918" spans="1:9" ht="12.75" customHeight="1">
      <c r="A918" s="1026"/>
      <c r="B918" s="520" t="s">
        <v>309</v>
      </c>
      <c r="C918" s="1026"/>
      <c r="D918" s="1280" t="s">
        <v>2472</v>
      </c>
      <c r="E918" s="1280"/>
      <c r="F918" s="1280"/>
      <c r="G918" s="1025"/>
    </row>
    <row r="919" spans="1:9" ht="12.75" customHeight="1">
      <c r="A919" s="175"/>
      <c r="B919" s="175"/>
      <c r="C919" s="175"/>
      <c r="D919" s="2"/>
      <c r="E919" s="3"/>
      <c r="F919" s="1025"/>
      <c r="G919" s="1025"/>
    </row>
    <row r="920" spans="1:9" ht="12.75" customHeight="1">
      <c r="A920" s="1034"/>
      <c r="B920" s="520" t="s">
        <v>309</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309</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309</v>
      </c>
      <c r="C938" s="175"/>
      <c r="D938" s="1263" t="s">
        <v>2566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309</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309</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309</v>
      </c>
      <c r="C959" s="386"/>
      <c r="D959" s="1260" t="s">
        <v>2473</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309</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309</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309</v>
      </c>
      <c r="C996" s="386"/>
      <c r="D996" s="1280" t="s">
        <v>2052</v>
      </c>
      <c r="E996" s="1280"/>
      <c r="F996" s="1280"/>
      <c r="G996"/>
    </row>
    <row r="997" spans="1:7" ht="12.75" customHeight="1">
      <c r="A997" s="386"/>
      <c r="B997" s="386"/>
      <c r="C997" s="386"/>
      <c r="D997" s="3"/>
      <c r="E997" s="3"/>
      <c r="F997" s="3"/>
      <c r="G997"/>
    </row>
    <row r="998" spans="1:7" ht="12.75" customHeight="1">
      <c r="A998" s="176"/>
      <c r="B998" s="520" t="s">
        <v>309</v>
      </c>
      <c r="C998" s="386"/>
      <c r="D998" s="1280" t="s">
        <v>2053</v>
      </c>
      <c r="E998" s="1280"/>
      <c r="F998" s="1280"/>
      <c r="G998"/>
    </row>
    <row r="999" spans="1:7" ht="12.75" customHeight="1">
      <c r="A999" s="386"/>
      <c r="B999" s="386"/>
      <c r="C999" s="386"/>
      <c r="D999" s="118"/>
      <c r="E999" s="3"/>
      <c r="F999" s="3"/>
      <c r="G999"/>
    </row>
    <row r="1000" spans="1:7" ht="12.75" customHeight="1">
      <c r="A1000" s="176"/>
      <c r="B1000" s="520" t="s">
        <v>309</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309</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309</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309</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309</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309</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309</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309</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2217</v>
      </c>
    </row>
    <row r="1031" spans="1:9" ht="12.75" customHeight="1">
      <c r="A1031" s="346"/>
      <c r="B1031" s="346"/>
      <c r="C1031" s="346"/>
      <c r="D1031" s="1284" t="s">
        <v>1150</v>
      </c>
      <c r="E1031" s="1284"/>
      <c r="F1031" s="1284"/>
      <c r="G1031" s="98"/>
    </row>
    <row r="1032" spans="1:9" ht="12.75" customHeight="1">
      <c r="A1032" s="176"/>
      <c r="B1032" s="520" t="s">
        <v>309</v>
      </c>
      <c r="C1032" s="386"/>
      <c r="D1032" s="1284" t="s">
        <v>1027</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309</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309</v>
      </c>
      <c r="C1048" s="434"/>
      <c r="D1048" s="434" t="s">
        <v>2075</v>
      </c>
      <c r="I1048" s="436" t="s">
        <v>2190</v>
      </c>
    </row>
    <row r="1049" spans="1:9">
      <c r="A1049" s="434"/>
      <c r="B1049" s="434"/>
      <c r="C1049" s="434"/>
    </row>
    <row r="1050" spans="1:9">
      <c r="A1050" s="434"/>
      <c r="B1050" s="520" t="s">
        <v>309</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309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309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309</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309</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309</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2624</v>
      </c>
      <c r="E1085" s="1260"/>
      <c r="F1085" s="1260"/>
    </row>
    <row r="1086" spans="1:9">
      <c r="A1086" s="434"/>
      <c r="B1086" s="434"/>
      <c r="C1086" s="434"/>
      <c r="D1086" s="562"/>
    </row>
    <row r="1087" spans="1:9">
      <c r="A1087" s="434"/>
      <c r="B1087" s="520" t="s">
        <v>309</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309</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309</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309</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4" zoomScaleNormal="100" zoomScaleSheetLayoutView="90" workbookViewId="0">
      <selection activeCell="C85" sqref="C8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357" t="s">
        <v>631</v>
      </c>
      <c r="G1" s="1358"/>
      <c r="H1" s="1358"/>
      <c r="I1" s="1358"/>
      <c r="J1" s="1358"/>
      <c r="K1" s="1358"/>
      <c r="L1" s="1358"/>
      <c r="M1" s="1358"/>
      <c r="N1" s="1358"/>
      <c r="O1" s="1358"/>
      <c r="P1" s="1358"/>
      <c r="Q1" s="1358"/>
      <c r="R1" s="1359"/>
      <c r="S1" s="112"/>
      <c r="T1" s="111"/>
      <c r="U1" s="113"/>
    </row>
    <row r="2" spans="1:21" s="138" customFormat="1" ht="71.25" customHeight="1">
      <c r="A2" s="137"/>
      <c r="B2" s="138" t="s">
        <v>23</v>
      </c>
      <c r="C2" s="138" t="s">
        <v>376</v>
      </c>
      <c r="D2" s="138" t="s">
        <v>375</v>
      </c>
      <c r="E2" s="138" t="s">
        <v>24</v>
      </c>
      <c r="F2" s="139" t="str">
        <f>Application!B623&amp;Application!C623</f>
        <v>1)Pacific Western Bank Perm Loan</v>
      </c>
      <c r="G2" s="139" t="str">
        <f>Application!B624&amp;Application!C624</f>
        <v>2)City of Chico - CDBG-DR Funds</v>
      </c>
      <c r="H2" s="139" t="str">
        <f>Application!B625&amp;Application!C625</f>
        <v>3)Boston Financial Solar Tax Credit Equity</v>
      </c>
      <c r="I2" s="139" t="str">
        <f>Application!B626&amp;Application!C626</f>
        <v>4)Developer Note</v>
      </c>
      <c r="J2" s="139" t="str">
        <f>Application!B627&amp;Application!C627</f>
        <v>5)Butte County - CDBG-DR Funds</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2700000</v>
      </c>
      <c r="C4" s="147">
        <v>2700000</v>
      </c>
      <c r="D4" s="147"/>
      <c r="E4" s="147">
        <f>+C4-SUM(F4:J4)</f>
        <v>2700000</v>
      </c>
      <c r="F4" s="147"/>
      <c r="G4" s="147"/>
      <c r="H4" s="147"/>
      <c r="I4" s="147"/>
      <c r="J4" s="147"/>
      <c r="K4" s="147"/>
      <c r="L4" s="147"/>
      <c r="M4" s="147"/>
      <c r="N4" s="147"/>
      <c r="O4" s="147"/>
      <c r="P4" s="147"/>
      <c r="Q4" s="147"/>
      <c r="R4" s="551">
        <f>SUM(E4:Q4)</f>
        <v>2700000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10000</v>
      </c>
      <c r="C6" s="147">
        <v>10000</v>
      </c>
      <c r="D6" s="147"/>
      <c r="E6" s="147">
        <f>+C6-SUM(F6:J6)</f>
        <v>10000</v>
      </c>
      <c r="F6" s="147"/>
      <c r="G6" s="147"/>
      <c r="H6" s="147"/>
      <c r="I6" s="147"/>
      <c r="J6" s="147"/>
      <c r="K6" s="147"/>
      <c r="L6" s="147"/>
      <c r="M6" s="147"/>
      <c r="N6" s="147"/>
      <c r="O6" s="147"/>
      <c r="P6" s="147"/>
      <c r="Q6" s="147"/>
      <c r="R6" s="551">
        <f>SUM(E6:Q6)</f>
        <v>10000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2710000</v>
      </c>
      <c r="C8" s="146">
        <f t="shared" ref="C8:Q8" si="0">SUM(C4:C7)</f>
        <v>2710000</v>
      </c>
      <c r="D8" s="146">
        <f t="shared" si="0"/>
        <v>0</v>
      </c>
      <c r="E8" s="146">
        <f t="shared" si="0"/>
        <v>2710000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2710000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2710000</v>
      </c>
      <c r="C12" s="146">
        <f t="shared" si="2"/>
        <v>2710000</v>
      </c>
      <c r="D12" s="146">
        <f t="shared" si="2"/>
        <v>0</v>
      </c>
      <c r="E12" s="146">
        <f t="shared" si="2"/>
        <v>2710000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2710000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1813754</v>
      </c>
      <c r="C29" s="147">
        <v>1813754</v>
      </c>
      <c r="D29" s="147"/>
      <c r="E29" s="147">
        <f t="shared" ref="E29:E36" si="7">+C29-SUM(F29:J29)</f>
        <v>1813754</v>
      </c>
      <c r="F29" s="147"/>
      <c r="G29" s="147"/>
      <c r="H29" s="147"/>
      <c r="I29" s="147"/>
      <c r="J29" s="147"/>
      <c r="K29" s="147"/>
      <c r="L29" s="147"/>
      <c r="M29" s="147"/>
      <c r="N29" s="147"/>
      <c r="O29" s="147"/>
      <c r="P29" s="147"/>
      <c r="Q29" s="147"/>
      <c r="R29" s="551">
        <f t="shared" ref="R29:R37" si="8">SUM(E29:Q29)</f>
        <v>1813754</v>
      </c>
      <c r="S29" s="147">
        <f>+R29</f>
        <v>1813754</v>
      </c>
      <c r="T29" s="147"/>
      <c r="U29" s="143"/>
    </row>
    <row r="30" spans="1:21" s="144" customFormat="1">
      <c r="A30" s="145" t="s">
        <v>609</v>
      </c>
      <c r="B30" s="146">
        <f t="shared" si="6"/>
        <v>21424487</v>
      </c>
      <c r="C30" s="147">
        <v>21424487</v>
      </c>
      <c r="D30" s="147"/>
      <c r="E30" s="147">
        <f t="shared" si="7"/>
        <v>2900857</v>
      </c>
      <c r="F30" s="147">
        <v>2291757</v>
      </c>
      <c r="G30" s="147">
        <v>10720918</v>
      </c>
      <c r="H30" s="147">
        <v>301864</v>
      </c>
      <c r="I30" s="147"/>
      <c r="J30" s="147">
        <v>5209091</v>
      </c>
      <c r="K30" s="147"/>
      <c r="L30" s="147"/>
      <c r="M30" s="147"/>
      <c r="N30" s="147"/>
      <c r="O30" s="147"/>
      <c r="P30" s="147"/>
      <c r="Q30" s="147"/>
      <c r="R30" s="551">
        <f t="shared" si="8"/>
        <v>21424487</v>
      </c>
      <c r="S30" s="147">
        <f>+R30</f>
        <v>21424487</v>
      </c>
      <c r="T30" s="147"/>
      <c r="U30" s="143"/>
    </row>
    <row r="31" spans="1:21" s="144" customFormat="1">
      <c r="A31" s="145" t="s">
        <v>610</v>
      </c>
      <c r="B31" s="146">
        <f t="shared" si="6"/>
        <v>1394294</v>
      </c>
      <c r="C31" s="147">
        <v>1394294</v>
      </c>
      <c r="D31" s="147"/>
      <c r="E31" s="147">
        <f t="shared" si="7"/>
        <v>1394294</v>
      </c>
      <c r="F31" s="147"/>
      <c r="G31" s="147"/>
      <c r="H31" s="147"/>
      <c r="I31" s="147"/>
      <c r="J31" s="147"/>
      <c r="K31" s="147"/>
      <c r="L31" s="147"/>
      <c r="M31" s="147"/>
      <c r="N31" s="147"/>
      <c r="O31" s="147"/>
      <c r="P31" s="147"/>
      <c r="Q31" s="147"/>
      <c r="R31" s="551">
        <f t="shared" si="8"/>
        <v>1394294</v>
      </c>
      <c r="S31" s="147">
        <f t="shared" ref="S31:S35" si="9">+R31</f>
        <v>1394294</v>
      </c>
      <c r="T31" s="147"/>
      <c r="U31" s="143"/>
    </row>
    <row r="32" spans="1:21" s="144" customFormat="1">
      <c r="A32" s="145" t="s">
        <v>138</v>
      </c>
      <c r="B32" s="146">
        <f t="shared" si="6"/>
        <v>492651</v>
      </c>
      <c r="C32" s="147">
        <v>492651</v>
      </c>
      <c r="D32" s="147"/>
      <c r="E32" s="147">
        <f t="shared" si="7"/>
        <v>492651</v>
      </c>
      <c r="F32" s="147"/>
      <c r="G32" s="147"/>
      <c r="H32" s="147"/>
      <c r="I32" s="147"/>
      <c r="J32" s="147"/>
      <c r="K32" s="147"/>
      <c r="L32" s="147"/>
      <c r="M32" s="147"/>
      <c r="N32" s="147"/>
      <c r="O32" s="147"/>
      <c r="P32" s="147"/>
      <c r="Q32" s="147"/>
      <c r="R32" s="551">
        <f t="shared" si="8"/>
        <v>492651</v>
      </c>
      <c r="S32" s="147">
        <f t="shared" si="9"/>
        <v>492651</v>
      </c>
      <c r="T32" s="147"/>
      <c r="U32" s="143"/>
    </row>
    <row r="33" spans="1:21" s="144" customFormat="1">
      <c r="A33" s="145" t="s">
        <v>139</v>
      </c>
      <c r="B33" s="146">
        <f t="shared" si="6"/>
        <v>1477952</v>
      </c>
      <c r="C33" s="147">
        <v>1477952</v>
      </c>
      <c r="D33" s="147"/>
      <c r="E33" s="147">
        <f t="shared" si="7"/>
        <v>1477952</v>
      </c>
      <c r="F33" s="147"/>
      <c r="G33" s="147"/>
      <c r="H33" s="147"/>
      <c r="I33" s="147"/>
      <c r="J33" s="147"/>
      <c r="K33" s="147"/>
      <c r="L33" s="147"/>
      <c r="M33" s="147"/>
      <c r="N33" s="147"/>
      <c r="O33" s="147"/>
      <c r="P33" s="147"/>
      <c r="Q33" s="147"/>
      <c r="R33" s="551">
        <f t="shared" si="8"/>
        <v>1477952</v>
      </c>
      <c r="S33" s="147">
        <f t="shared" si="9"/>
        <v>1477952</v>
      </c>
      <c r="T33" s="147"/>
      <c r="U33" s="143"/>
    </row>
    <row r="34" spans="1:21" s="144" customFormat="1">
      <c r="A34" s="145" t="s">
        <v>140</v>
      </c>
      <c r="B34" s="146">
        <f t="shared" si="6"/>
        <v>0</v>
      </c>
      <c r="C34" s="147"/>
      <c r="D34" s="147"/>
      <c r="E34" s="147">
        <f t="shared" si="7"/>
        <v>0</v>
      </c>
      <c r="F34" s="147"/>
      <c r="G34" s="147"/>
      <c r="H34" s="147"/>
      <c r="I34" s="147"/>
      <c r="J34" s="147"/>
      <c r="K34" s="147"/>
      <c r="L34" s="147"/>
      <c r="M34" s="147"/>
      <c r="N34" s="147"/>
      <c r="O34" s="147"/>
      <c r="P34" s="147"/>
      <c r="Q34" s="147"/>
      <c r="R34" s="551">
        <f t="shared" si="8"/>
        <v>0</v>
      </c>
      <c r="S34" s="147">
        <f t="shared" si="9"/>
        <v>0</v>
      </c>
      <c r="T34" s="147"/>
      <c r="U34" s="143"/>
    </row>
    <row r="35" spans="1:21" s="144" customFormat="1">
      <c r="A35" s="145" t="s">
        <v>141</v>
      </c>
      <c r="B35" s="146">
        <f t="shared" si="6"/>
        <v>340520</v>
      </c>
      <c r="C35" s="147">
        <v>340520</v>
      </c>
      <c r="D35" s="147"/>
      <c r="E35" s="147">
        <f t="shared" si="7"/>
        <v>340520</v>
      </c>
      <c r="F35" s="147"/>
      <c r="G35" s="147"/>
      <c r="H35" s="147"/>
      <c r="I35" s="147"/>
      <c r="J35" s="147"/>
      <c r="K35" s="147"/>
      <c r="L35" s="147"/>
      <c r="M35" s="147"/>
      <c r="N35" s="147"/>
      <c r="O35" s="147"/>
      <c r="P35" s="147"/>
      <c r="Q35" s="147"/>
      <c r="R35" s="551">
        <f t="shared" si="8"/>
        <v>340520</v>
      </c>
      <c r="S35" s="147">
        <f t="shared" si="9"/>
        <v>340520</v>
      </c>
      <c r="T35" s="147"/>
      <c r="U35" s="143"/>
    </row>
    <row r="36" spans="1:21" s="144" customFormat="1">
      <c r="A36" s="304" t="s">
        <v>1821</v>
      </c>
      <c r="B36" s="146">
        <f t="shared" si="6"/>
        <v>0</v>
      </c>
      <c r="C36" s="147"/>
      <c r="D36" s="147"/>
      <c r="E36" s="147">
        <f t="shared" si="7"/>
        <v>0</v>
      </c>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6"/>
        <v>26943658</v>
      </c>
      <c r="C38" s="146">
        <f>SUM(C29:C37)</f>
        <v>26943658</v>
      </c>
      <c r="D38" s="146">
        <f t="shared" ref="D38:Q38" si="10">SUM(D29:D37)</f>
        <v>0</v>
      </c>
      <c r="E38" s="146">
        <f t="shared" si="10"/>
        <v>8420028</v>
      </c>
      <c r="F38" s="146">
        <f t="shared" si="10"/>
        <v>2291757</v>
      </c>
      <c r="G38" s="146">
        <f t="shared" si="10"/>
        <v>10720918</v>
      </c>
      <c r="H38" s="146">
        <f t="shared" si="10"/>
        <v>301864</v>
      </c>
      <c r="I38" s="146">
        <f t="shared" si="10"/>
        <v>0</v>
      </c>
      <c r="J38" s="146">
        <f t="shared" si="10"/>
        <v>5209091</v>
      </c>
      <c r="K38" s="146">
        <f t="shared" si="10"/>
        <v>0</v>
      </c>
      <c r="L38" s="146">
        <f t="shared" si="10"/>
        <v>0</v>
      </c>
      <c r="M38" s="146">
        <f t="shared" si="10"/>
        <v>0</v>
      </c>
      <c r="N38" s="146">
        <f t="shared" si="10"/>
        <v>0</v>
      </c>
      <c r="O38" s="146">
        <f t="shared" si="10"/>
        <v>0</v>
      </c>
      <c r="P38" s="146">
        <f t="shared" si="10"/>
        <v>0</v>
      </c>
      <c r="Q38" s="146">
        <f t="shared" si="10"/>
        <v>0</v>
      </c>
      <c r="R38" s="371">
        <f>SUM(R29:R37)</f>
        <v>26943658</v>
      </c>
      <c r="S38" s="150">
        <f>SUM(S29:S37)</f>
        <v>26943658</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532063</v>
      </c>
      <c r="C40" s="147">
        <v>532063</v>
      </c>
      <c r="D40" s="147"/>
      <c r="E40" s="147">
        <f t="shared" ref="E40:E41" si="11">+C40-SUM(F40:J40)</f>
        <v>532063</v>
      </c>
      <c r="F40" s="147"/>
      <c r="G40" s="147"/>
      <c r="H40" s="147"/>
      <c r="I40" s="147"/>
      <c r="J40" s="147"/>
      <c r="K40" s="147"/>
      <c r="L40" s="147"/>
      <c r="M40" s="147"/>
      <c r="N40" s="147"/>
      <c r="O40" s="147"/>
      <c r="P40" s="147"/>
      <c r="Q40" s="147"/>
      <c r="R40" s="551">
        <f>SUM(E40:Q40)</f>
        <v>532063</v>
      </c>
      <c r="S40" s="147">
        <f>+R40</f>
        <v>532063</v>
      </c>
      <c r="T40" s="147"/>
      <c r="U40" s="143"/>
    </row>
    <row r="41" spans="1:21" s="144" customFormat="1">
      <c r="A41" s="145" t="s">
        <v>147</v>
      </c>
      <c r="B41" s="146">
        <f>SUM(C41+D41)</f>
        <v>266031</v>
      </c>
      <c r="C41" s="147">
        <v>266031</v>
      </c>
      <c r="D41" s="147"/>
      <c r="E41" s="147">
        <f t="shared" si="11"/>
        <v>266031</v>
      </c>
      <c r="F41" s="147"/>
      <c r="G41" s="147"/>
      <c r="H41" s="147"/>
      <c r="I41" s="147"/>
      <c r="J41" s="147"/>
      <c r="K41" s="147"/>
      <c r="L41" s="147"/>
      <c r="M41" s="147"/>
      <c r="N41" s="147"/>
      <c r="O41" s="147"/>
      <c r="P41" s="147"/>
      <c r="Q41" s="147"/>
      <c r="R41" s="551">
        <f>SUM(E41:Q41)</f>
        <v>266031</v>
      </c>
      <c r="S41" s="147">
        <f>+R41</f>
        <v>266031</v>
      </c>
      <c r="T41" s="147"/>
      <c r="U41" s="143"/>
    </row>
    <row r="42" spans="1:21" s="144" customFormat="1">
      <c r="A42" s="149" t="s">
        <v>148</v>
      </c>
      <c r="B42" s="146">
        <f>SUM(C42:D42)</f>
        <v>798094</v>
      </c>
      <c r="C42" s="146">
        <f>SUM(C39:C41)</f>
        <v>798094</v>
      </c>
      <c r="D42" s="146">
        <f>SUM(D39:D41)</f>
        <v>0</v>
      </c>
      <c r="E42" s="146">
        <f t="shared" ref="E42:T42" si="12">SUM(E40:E41)</f>
        <v>798094</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798094</v>
      </c>
      <c r="S42" s="150">
        <f t="shared" si="12"/>
        <v>798094</v>
      </c>
      <c r="T42" s="150">
        <f t="shared" si="12"/>
        <v>0</v>
      </c>
      <c r="U42" s="143"/>
    </row>
    <row r="43" spans="1:21" s="144" customFormat="1">
      <c r="A43" s="149" t="s">
        <v>149</v>
      </c>
      <c r="B43" s="146">
        <f>SUM(C43:D43)</f>
        <v>150000</v>
      </c>
      <c r="C43" s="147">
        <v>150000</v>
      </c>
      <c r="D43" s="147"/>
      <c r="E43" s="147">
        <f>+C43-SUM(F43:J43)</f>
        <v>150000</v>
      </c>
      <c r="F43" s="147"/>
      <c r="G43" s="147"/>
      <c r="H43" s="147"/>
      <c r="I43" s="147"/>
      <c r="J43" s="147"/>
      <c r="K43" s="147"/>
      <c r="L43" s="147"/>
      <c r="M43" s="147"/>
      <c r="N43" s="147"/>
      <c r="O43" s="147"/>
      <c r="P43" s="147"/>
      <c r="Q43" s="147"/>
      <c r="R43" s="551">
        <f>SUM(E43:Q43)</f>
        <v>150000</v>
      </c>
      <c r="S43" s="147">
        <f>+R43</f>
        <v>150000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1141881</v>
      </c>
      <c r="C45" s="147">
        <f>952571+189310</f>
        <v>1141881</v>
      </c>
      <c r="D45" s="147"/>
      <c r="E45" s="147">
        <f t="shared" ref="E45:E53" si="14">+C45-SUM(F45:J45)</f>
        <v>1141881</v>
      </c>
      <c r="F45" s="147"/>
      <c r="G45" s="147"/>
      <c r="H45" s="147"/>
      <c r="I45" s="147"/>
      <c r="J45" s="147"/>
      <c r="K45" s="147"/>
      <c r="L45" s="147"/>
      <c r="M45" s="147"/>
      <c r="N45" s="147"/>
      <c r="O45" s="147"/>
      <c r="P45" s="147"/>
      <c r="Q45" s="147"/>
      <c r="R45" s="551">
        <f t="shared" ref="R45:R53" si="15">SUM(E45:Q45)</f>
        <v>1141881</v>
      </c>
      <c r="S45" s="147">
        <v>952571</v>
      </c>
      <c r="T45" s="147"/>
      <c r="U45" s="143"/>
    </row>
    <row r="46" spans="1:21" s="144" customFormat="1">
      <c r="A46" s="145" t="s">
        <v>152</v>
      </c>
      <c r="B46" s="146">
        <f t="shared" si="13"/>
        <v>215011</v>
      </c>
      <c r="C46" s="147">
        <v>215011</v>
      </c>
      <c r="D46" s="147"/>
      <c r="E46" s="147">
        <f t="shared" si="14"/>
        <v>215011</v>
      </c>
      <c r="F46" s="147"/>
      <c r="G46" s="147"/>
      <c r="H46" s="147"/>
      <c r="I46" s="147"/>
      <c r="J46" s="147"/>
      <c r="K46" s="147"/>
      <c r="L46" s="147"/>
      <c r="M46" s="147"/>
      <c r="N46" s="147"/>
      <c r="O46" s="147"/>
      <c r="P46" s="147"/>
      <c r="Q46" s="147"/>
      <c r="R46" s="551">
        <f t="shared" si="15"/>
        <v>215011</v>
      </c>
      <c r="S46" s="147">
        <f>+R46</f>
        <v>215011</v>
      </c>
      <c r="T46" s="147"/>
      <c r="U46" s="143"/>
    </row>
    <row r="47" spans="1:21" s="144" customFormat="1">
      <c r="A47" s="198" t="s">
        <v>153</v>
      </c>
      <c r="B47" s="146">
        <f t="shared" si="13"/>
        <v>35000</v>
      </c>
      <c r="C47" s="147">
        <v>35000</v>
      </c>
      <c r="D47" s="147"/>
      <c r="E47" s="147">
        <f t="shared" si="14"/>
        <v>35000</v>
      </c>
      <c r="F47" s="147"/>
      <c r="G47" s="147"/>
      <c r="H47" s="147"/>
      <c r="I47" s="147"/>
      <c r="J47" s="147"/>
      <c r="K47" s="147"/>
      <c r="L47" s="147"/>
      <c r="M47" s="147"/>
      <c r="N47" s="147"/>
      <c r="O47" s="147"/>
      <c r="P47" s="147"/>
      <c r="Q47" s="147"/>
      <c r="R47" s="551">
        <f t="shared" si="15"/>
        <v>35000</v>
      </c>
      <c r="S47" s="147">
        <f t="shared" ref="S47:S53" si="16">+R47</f>
        <v>35000</v>
      </c>
      <c r="T47" s="147"/>
      <c r="U47" s="143"/>
    </row>
    <row r="48" spans="1:21" s="144" customFormat="1">
      <c r="A48" s="145" t="s">
        <v>154</v>
      </c>
      <c r="B48" s="146">
        <f t="shared" si="13"/>
        <v>0</v>
      </c>
      <c r="C48" s="147"/>
      <c r="D48" s="147"/>
      <c r="E48" s="147">
        <f t="shared" si="14"/>
        <v>0</v>
      </c>
      <c r="F48" s="147"/>
      <c r="G48" s="147"/>
      <c r="H48" s="147"/>
      <c r="I48" s="147"/>
      <c r="J48" s="147"/>
      <c r="K48" s="147"/>
      <c r="L48" s="147"/>
      <c r="M48" s="147"/>
      <c r="N48" s="147"/>
      <c r="O48" s="147"/>
      <c r="P48" s="147"/>
      <c r="Q48" s="147"/>
      <c r="R48" s="551">
        <f t="shared" si="15"/>
        <v>0</v>
      </c>
      <c r="S48" s="147">
        <f t="shared" si="16"/>
        <v>0</v>
      </c>
      <c r="T48" s="147"/>
      <c r="U48" s="143"/>
    </row>
    <row r="49" spans="1:21" s="144" customFormat="1">
      <c r="A49" s="145" t="s">
        <v>57</v>
      </c>
      <c r="B49" s="146">
        <f t="shared" si="13"/>
        <v>181526</v>
      </c>
      <c r="C49" s="147">
        <v>181526</v>
      </c>
      <c r="D49" s="147"/>
      <c r="E49" s="147">
        <f t="shared" si="14"/>
        <v>181526</v>
      </c>
      <c r="F49" s="147"/>
      <c r="G49" s="147"/>
      <c r="H49" s="147"/>
      <c r="I49" s="147"/>
      <c r="J49" s="147"/>
      <c r="K49" s="147"/>
      <c r="L49" s="147"/>
      <c r="M49" s="147"/>
      <c r="N49" s="147"/>
      <c r="O49" s="147"/>
      <c r="P49" s="147"/>
      <c r="Q49" s="147"/>
      <c r="R49" s="551">
        <f t="shared" si="15"/>
        <v>181526</v>
      </c>
      <c r="S49" s="147"/>
      <c r="T49" s="147"/>
      <c r="U49" s="143"/>
    </row>
    <row r="50" spans="1:21" s="144" customFormat="1">
      <c r="A50" s="145" t="s">
        <v>157</v>
      </c>
      <c r="B50" s="146">
        <f t="shared" si="13"/>
        <v>40000</v>
      </c>
      <c r="C50" s="147">
        <v>40000</v>
      </c>
      <c r="D50" s="147"/>
      <c r="E50" s="147">
        <f t="shared" si="14"/>
        <v>40000</v>
      </c>
      <c r="F50" s="147"/>
      <c r="G50" s="147"/>
      <c r="H50" s="147"/>
      <c r="I50" s="147"/>
      <c r="J50" s="147"/>
      <c r="K50" s="147"/>
      <c r="L50" s="147"/>
      <c r="M50" s="147"/>
      <c r="N50" s="147"/>
      <c r="O50" s="147"/>
      <c r="P50" s="147"/>
      <c r="Q50" s="147"/>
      <c r="R50" s="551">
        <f t="shared" si="15"/>
        <v>40000</v>
      </c>
      <c r="S50" s="147">
        <f t="shared" si="16"/>
        <v>40000</v>
      </c>
      <c r="T50" s="147"/>
      <c r="U50" s="143"/>
    </row>
    <row r="51" spans="1:21" s="144" customFormat="1">
      <c r="A51" s="304" t="s">
        <v>155</v>
      </c>
      <c r="B51" s="146">
        <f t="shared" si="13"/>
        <v>54000</v>
      </c>
      <c r="C51" s="147">
        <v>54000</v>
      </c>
      <c r="D51" s="147"/>
      <c r="E51" s="147">
        <f t="shared" si="14"/>
        <v>54000</v>
      </c>
      <c r="F51" s="147"/>
      <c r="G51" s="147"/>
      <c r="H51" s="147"/>
      <c r="I51" s="147"/>
      <c r="J51" s="147"/>
      <c r="K51" s="147"/>
      <c r="L51" s="147"/>
      <c r="M51" s="147"/>
      <c r="N51" s="147"/>
      <c r="O51" s="147"/>
      <c r="P51" s="147"/>
      <c r="Q51" s="147"/>
      <c r="R51" s="551">
        <f t="shared" si="15"/>
        <v>54000</v>
      </c>
      <c r="S51" s="147">
        <f t="shared" si="16"/>
        <v>54000</v>
      </c>
      <c r="T51" s="147"/>
      <c r="U51" s="143"/>
    </row>
    <row r="52" spans="1:21" s="144" customFormat="1">
      <c r="A52" s="145" t="s">
        <v>156</v>
      </c>
      <c r="B52" s="146">
        <f t="shared" si="13"/>
        <v>0</v>
      </c>
      <c r="C52" s="147"/>
      <c r="D52" s="147"/>
      <c r="E52" s="147">
        <f t="shared" si="14"/>
        <v>0</v>
      </c>
      <c r="F52" s="147"/>
      <c r="G52" s="147"/>
      <c r="H52" s="147"/>
      <c r="I52" s="147"/>
      <c r="J52" s="147"/>
      <c r="K52" s="147"/>
      <c r="L52" s="147"/>
      <c r="M52" s="147"/>
      <c r="N52" s="147"/>
      <c r="O52" s="147"/>
      <c r="P52" s="147"/>
      <c r="Q52" s="147"/>
      <c r="R52" s="551">
        <f t="shared" si="15"/>
        <v>0</v>
      </c>
      <c r="S52" s="147">
        <f t="shared" si="16"/>
        <v>0</v>
      </c>
      <c r="T52" s="147"/>
      <c r="U52" s="143"/>
    </row>
    <row r="53" spans="1:21" s="144" customFormat="1">
      <c r="A53" s="1202" t="s">
        <v>2725</v>
      </c>
      <c r="B53" s="146">
        <f t="shared" si="13"/>
        <v>20000</v>
      </c>
      <c r="C53" s="147">
        <v>20000</v>
      </c>
      <c r="D53" s="147"/>
      <c r="E53" s="147">
        <f t="shared" si="14"/>
        <v>20000</v>
      </c>
      <c r="F53" s="147"/>
      <c r="G53" s="147"/>
      <c r="H53" s="147"/>
      <c r="I53" s="147"/>
      <c r="J53" s="147"/>
      <c r="K53" s="147"/>
      <c r="L53" s="147"/>
      <c r="M53" s="147"/>
      <c r="N53" s="147"/>
      <c r="O53" s="147"/>
      <c r="P53" s="147"/>
      <c r="Q53" s="147"/>
      <c r="R53" s="551">
        <f t="shared" si="15"/>
        <v>20000</v>
      </c>
      <c r="S53" s="147">
        <f t="shared" si="16"/>
        <v>20000</v>
      </c>
      <c r="T53" s="147"/>
      <c r="U53" s="143"/>
    </row>
    <row r="54" spans="1:21" s="153" customFormat="1">
      <c r="A54" s="149" t="s">
        <v>158</v>
      </c>
      <c r="B54" s="150">
        <f>SUM(C54:D54)</f>
        <v>1687418</v>
      </c>
      <c r="C54" s="150">
        <f t="shared" ref="C54:T54" si="17">SUM(C45:C53)</f>
        <v>1687418</v>
      </c>
      <c r="D54" s="150">
        <f t="shared" si="17"/>
        <v>0</v>
      </c>
      <c r="E54" s="150">
        <f t="shared" si="17"/>
        <v>1687418</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1">
        <f t="shared" si="17"/>
        <v>1687418</v>
      </c>
      <c r="S54" s="150">
        <f t="shared" si="17"/>
        <v>1316582</v>
      </c>
      <c r="T54" s="150">
        <f t="shared" si="17"/>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8">SUM(C56+D56)</f>
        <v>0</v>
      </c>
      <c r="C56" s="147"/>
      <c r="D56" s="147"/>
      <c r="E56" s="147">
        <f t="shared" ref="E56:E61" si="19">+C56-SUM(F56:J56)</f>
        <v>0</v>
      </c>
      <c r="F56" s="147"/>
      <c r="G56" s="147"/>
      <c r="H56" s="147"/>
      <c r="I56" s="147"/>
      <c r="J56" s="147"/>
      <c r="K56" s="147"/>
      <c r="L56" s="147"/>
      <c r="M56" s="147"/>
      <c r="N56" s="147"/>
      <c r="O56" s="147"/>
      <c r="P56" s="147"/>
      <c r="Q56" s="147"/>
      <c r="R56" s="551">
        <f t="shared" ref="R56:R61" si="20">SUM(E56:Q56)</f>
        <v>0</v>
      </c>
      <c r="S56" s="148"/>
      <c r="T56" s="148"/>
      <c r="U56" s="143"/>
    </row>
    <row r="57" spans="1:21" s="204" customFormat="1">
      <c r="A57" s="198" t="s">
        <v>153</v>
      </c>
      <c r="B57" s="205">
        <f t="shared" si="18"/>
        <v>10000</v>
      </c>
      <c r="C57" s="202">
        <v>10000</v>
      </c>
      <c r="D57" s="202"/>
      <c r="E57" s="202">
        <f t="shared" si="19"/>
        <v>10000</v>
      </c>
      <c r="F57" s="202"/>
      <c r="G57" s="202"/>
      <c r="H57" s="202"/>
      <c r="I57" s="202"/>
      <c r="J57" s="202"/>
      <c r="K57" s="202"/>
      <c r="L57" s="202"/>
      <c r="M57" s="202"/>
      <c r="N57" s="202"/>
      <c r="O57" s="202"/>
      <c r="P57" s="202"/>
      <c r="Q57" s="202"/>
      <c r="R57" s="551">
        <f t="shared" si="20"/>
        <v>10000</v>
      </c>
      <c r="S57" s="206"/>
      <c r="T57" s="206"/>
      <c r="U57" s="203"/>
    </row>
    <row r="58" spans="1:21" s="144" customFormat="1">
      <c r="A58" s="145" t="s">
        <v>157</v>
      </c>
      <c r="B58" s="146">
        <f t="shared" si="18"/>
        <v>5000</v>
      </c>
      <c r="C58" s="147">
        <v>5000</v>
      </c>
      <c r="D58" s="147"/>
      <c r="E58" s="147">
        <f t="shared" si="19"/>
        <v>5000</v>
      </c>
      <c r="F58" s="147"/>
      <c r="G58" s="147"/>
      <c r="H58" s="147"/>
      <c r="I58" s="147"/>
      <c r="J58" s="147"/>
      <c r="K58" s="147"/>
      <c r="L58" s="147"/>
      <c r="M58" s="147"/>
      <c r="N58" s="147"/>
      <c r="O58" s="147"/>
      <c r="P58" s="147"/>
      <c r="Q58" s="147"/>
      <c r="R58" s="551">
        <f t="shared" si="20"/>
        <v>5000</v>
      </c>
      <c r="S58" s="148"/>
      <c r="T58" s="148"/>
      <c r="U58" s="143"/>
    </row>
    <row r="59" spans="1:21" s="144" customFormat="1">
      <c r="A59" s="304" t="s">
        <v>155</v>
      </c>
      <c r="B59" s="146">
        <f t="shared" si="18"/>
        <v>0</v>
      </c>
      <c r="C59" s="147"/>
      <c r="D59" s="147"/>
      <c r="E59" s="147">
        <f t="shared" si="19"/>
        <v>0</v>
      </c>
      <c r="F59" s="147"/>
      <c r="G59" s="147"/>
      <c r="H59" s="147"/>
      <c r="I59" s="147"/>
      <c r="J59" s="147"/>
      <c r="K59" s="147"/>
      <c r="L59" s="147"/>
      <c r="M59" s="147"/>
      <c r="N59" s="147"/>
      <c r="O59" s="147"/>
      <c r="P59" s="147"/>
      <c r="Q59" s="147"/>
      <c r="R59" s="551">
        <f t="shared" si="20"/>
        <v>0</v>
      </c>
      <c r="S59" s="148"/>
      <c r="T59" s="148"/>
      <c r="U59" s="143"/>
    </row>
    <row r="60" spans="1:21" s="144" customFormat="1">
      <c r="A60" s="145" t="s">
        <v>156</v>
      </c>
      <c r="B60" s="146">
        <f t="shared" si="18"/>
        <v>0</v>
      </c>
      <c r="C60" s="147"/>
      <c r="D60" s="147"/>
      <c r="E60" s="147">
        <f t="shared" si="19"/>
        <v>0</v>
      </c>
      <c r="F60" s="147"/>
      <c r="G60" s="147"/>
      <c r="H60" s="147"/>
      <c r="I60" s="147"/>
      <c r="J60" s="147"/>
      <c r="K60" s="147"/>
      <c r="L60" s="147"/>
      <c r="M60" s="147"/>
      <c r="N60" s="147"/>
      <c r="O60" s="147"/>
      <c r="P60" s="147"/>
      <c r="Q60" s="147"/>
      <c r="R60" s="551">
        <f t="shared" si="20"/>
        <v>0</v>
      </c>
      <c r="S60" s="148"/>
      <c r="T60" s="148"/>
      <c r="U60" s="143"/>
    </row>
    <row r="61" spans="1:21" s="144" customFormat="1">
      <c r="A61" s="1202" t="s">
        <v>34</v>
      </c>
      <c r="B61" s="146">
        <f t="shared" si="18"/>
        <v>0</v>
      </c>
      <c r="C61" s="147"/>
      <c r="D61" s="147"/>
      <c r="E61" s="147">
        <f t="shared" si="19"/>
        <v>0</v>
      </c>
      <c r="F61" s="147"/>
      <c r="G61" s="147"/>
      <c r="H61" s="147"/>
      <c r="I61" s="147"/>
      <c r="J61" s="147"/>
      <c r="K61" s="147"/>
      <c r="L61" s="147"/>
      <c r="M61" s="147"/>
      <c r="N61" s="147"/>
      <c r="O61" s="147"/>
      <c r="P61" s="147"/>
      <c r="Q61" s="147"/>
      <c r="R61" s="551">
        <f t="shared" si="20"/>
        <v>0</v>
      </c>
      <c r="S61" s="148"/>
      <c r="T61" s="148"/>
      <c r="U61" s="143"/>
    </row>
    <row r="62" spans="1:21" s="144" customFormat="1" ht="13.7" customHeight="1">
      <c r="A62" s="149" t="s">
        <v>303</v>
      </c>
      <c r="B62" s="146">
        <f>SUM(C62:D62)</f>
        <v>15000</v>
      </c>
      <c r="C62" s="146">
        <f t="shared" ref="C62:R62" si="21">SUM(C56:C61)</f>
        <v>15000</v>
      </c>
      <c r="D62" s="146">
        <f t="shared" si="21"/>
        <v>0</v>
      </c>
      <c r="E62" s="146">
        <f t="shared" si="21"/>
        <v>15000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1">
        <f t="shared" si="21"/>
        <v>15000</v>
      </c>
      <c r="S62" s="148"/>
      <c r="T62" s="148"/>
      <c r="U62" s="143"/>
    </row>
    <row r="63" spans="1:21" s="144" customFormat="1">
      <c r="A63" s="154" t="s">
        <v>304</v>
      </c>
      <c r="B63" s="146">
        <f t="shared" ref="B63:R63" si="22">SUM(B8+B11+B13+B14+B15+B26+B27+B38+B42+B43+B54+B62)</f>
        <v>32304170</v>
      </c>
      <c r="C63" s="146">
        <f t="shared" si="22"/>
        <v>32304170</v>
      </c>
      <c r="D63" s="146">
        <f t="shared" si="22"/>
        <v>0</v>
      </c>
      <c r="E63" s="146">
        <f t="shared" si="22"/>
        <v>13780540</v>
      </c>
      <c r="F63" s="146">
        <f t="shared" si="22"/>
        <v>2291757</v>
      </c>
      <c r="G63" s="146">
        <f t="shared" si="22"/>
        <v>10720918</v>
      </c>
      <c r="H63" s="146">
        <f t="shared" si="22"/>
        <v>301864</v>
      </c>
      <c r="I63" s="146">
        <f t="shared" si="22"/>
        <v>0</v>
      </c>
      <c r="J63" s="146">
        <f t="shared" si="22"/>
        <v>5209091</v>
      </c>
      <c r="K63" s="146">
        <f t="shared" si="22"/>
        <v>0</v>
      </c>
      <c r="L63" s="146">
        <f t="shared" si="22"/>
        <v>0</v>
      </c>
      <c r="M63" s="146">
        <f t="shared" si="22"/>
        <v>0</v>
      </c>
      <c r="N63" s="146">
        <f t="shared" si="22"/>
        <v>0</v>
      </c>
      <c r="O63" s="146">
        <f t="shared" si="22"/>
        <v>0</v>
      </c>
      <c r="P63" s="146">
        <f t="shared" si="22"/>
        <v>0</v>
      </c>
      <c r="Q63" s="146">
        <f t="shared" si="22"/>
        <v>0</v>
      </c>
      <c r="R63" s="371">
        <f t="shared" si="22"/>
        <v>32304170</v>
      </c>
      <c r="S63" s="146">
        <f>SUM(S10+S13+S14+S15+S26+S27+S38+S42+S43+S54)</f>
        <v>29208334</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65000</v>
      </c>
      <c r="C65" s="147">
        <v>65000</v>
      </c>
      <c r="D65" s="147"/>
      <c r="E65" s="147">
        <f t="shared" ref="E65:E69" si="23">+C65-SUM(F65:J65)</f>
        <v>65000</v>
      </c>
      <c r="F65" s="147"/>
      <c r="G65" s="147"/>
      <c r="H65" s="147"/>
      <c r="I65" s="147"/>
      <c r="J65" s="147"/>
      <c r="K65" s="147"/>
      <c r="L65" s="147"/>
      <c r="M65" s="147"/>
      <c r="N65" s="147"/>
      <c r="O65" s="147"/>
      <c r="P65" s="147"/>
      <c r="Q65" s="147"/>
      <c r="R65" s="551">
        <f>SUM(E65:Q65)</f>
        <v>65000</v>
      </c>
      <c r="S65" s="147">
        <f>+R65</f>
        <v>65000</v>
      </c>
      <c r="T65" s="147"/>
      <c r="U65" s="143"/>
    </row>
    <row r="66" spans="1:21" s="144" customFormat="1" ht="24" customHeight="1">
      <c r="A66" s="304" t="s">
        <v>1822</v>
      </c>
      <c r="B66" s="146">
        <f>SUM(C66+D66)</f>
        <v>0</v>
      </c>
      <c r="C66" s="147"/>
      <c r="D66" s="147"/>
      <c r="E66" s="147">
        <f t="shared" si="23"/>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f t="shared" si="23"/>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f t="shared" si="23"/>
        <v>0</v>
      </c>
      <c r="F68" s="147"/>
      <c r="G68" s="147"/>
      <c r="H68" s="147"/>
      <c r="I68" s="147"/>
      <c r="J68" s="147"/>
      <c r="K68" s="147"/>
      <c r="L68" s="147"/>
      <c r="M68" s="147"/>
      <c r="N68" s="147"/>
      <c r="O68" s="147"/>
      <c r="P68" s="147"/>
      <c r="Q68" s="147"/>
      <c r="R68" s="551">
        <f>SUM(E68:Q68)</f>
        <v>0</v>
      </c>
      <c r="S68" s="147"/>
      <c r="T68" s="147"/>
      <c r="U68" s="143"/>
    </row>
    <row r="69" spans="1:21" s="144" customFormat="1">
      <c r="A69" s="1202" t="s">
        <v>2726</v>
      </c>
      <c r="B69" s="146">
        <f>SUM(C69+D69)</f>
        <v>50000</v>
      </c>
      <c r="C69" s="147">
        <v>50000</v>
      </c>
      <c r="D69" s="147"/>
      <c r="E69" s="147">
        <f t="shared" si="23"/>
        <v>50000</v>
      </c>
      <c r="F69" s="147"/>
      <c r="G69" s="147"/>
      <c r="H69" s="147"/>
      <c r="I69" s="147"/>
      <c r="J69" s="147"/>
      <c r="K69" s="147"/>
      <c r="L69" s="147"/>
      <c r="M69" s="147"/>
      <c r="N69" s="147"/>
      <c r="O69" s="147"/>
      <c r="P69" s="147"/>
      <c r="Q69" s="147"/>
      <c r="R69" s="551">
        <f>SUM(E69:Q69)</f>
        <v>50000</v>
      </c>
      <c r="S69" s="147">
        <f>+R69</f>
        <v>50000</v>
      </c>
      <c r="T69" s="147"/>
      <c r="U69" s="143"/>
    </row>
    <row r="70" spans="1:21" s="144" customFormat="1">
      <c r="A70" s="149" t="s">
        <v>1826</v>
      </c>
      <c r="B70" s="146">
        <f>SUM(C70:D70)</f>
        <v>115000</v>
      </c>
      <c r="C70" s="146">
        <f>SUM(C65:C69)</f>
        <v>115000</v>
      </c>
      <c r="D70" s="146">
        <f>SUM(D65:D69)</f>
        <v>0</v>
      </c>
      <c r="E70" s="146">
        <f t="shared" ref="E70:T70" si="24">SUM(E65:E69)</f>
        <v>115000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1">
        <f t="shared" si="24"/>
        <v>115000</v>
      </c>
      <c r="S70" s="150">
        <f t="shared" si="24"/>
        <v>115000</v>
      </c>
      <c r="T70" s="150">
        <f t="shared" si="24"/>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30000</v>
      </c>
      <c r="C72" s="147">
        <v>30000</v>
      </c>
      <c r="D72" s="147"/>
      <c r="E72" s="147">
        <f t="shared" ref="E72:E76" si="25">+C72-SUM(F72:J72)</f>
        <v>30000</v>
      </c>
      <c r="F72" s="147"/>
      <c r="G72" s="147"/>
      <c r="H72" s="147"/>
      <c r="I72" s="147"/>
      <c r="J72" s="147"/>
      <c r="K72" s="147"/>
      <c r="L72" s="147"/>
      <c r="M72" s="147"/>
      <c r="N72" s="147"/>
      <c r="O72" s="147"/>
      <c r="P72" s="147"/>
      <c r="Q72" s="147"/>
      <c r="R72" s="551">
        <f>SUM(E72:Q72)</f>
        <v>30000</v>
      </c>
      <c r="S72" s="148"/>
      <c r="T72" s="148"/>
      <c r="U72" s="143"/>
    </row>
    <row r="73" spans="1:21" s="144" customFormat="1">
      <c r="A73" s="145" t="s">
        <v>614</v>
      </c>
      <c r="B73" s="146">
        <f>SUM(C73+D73)</f>
        <v>0</v>
      </c>
      <c r="C73" s="147"/>
      <c r="D73" s="147"/>
      <c r="E73" s="147">
        <f t="shared" si="25"/>
        <v>0</v>
      </c>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f t="shared" si="25"/>
        <v>0</v>
      </c>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158760</v>
      </c>
      <c r="C75" s="147">
        <v>158760</v>
      </c>
      <c r="D75" s="147"/>
      <c r="E75" s="147">
        <f t="shared" si="25"/>
        <v>158760</v>
      </c>
      <c r="F75" s="147"/>
      <c r="G75" s="147"/>
      <c r="H75" s="147"/>
      <c r="I75" s="147"/>
      <c r="J75" s="147"/>
      <c r="K75" s="147"/>
      <c r="L75" s="147"/>
      <c r="M75" s="147"/>
      <c r="N75" s="147"/>
      <c r="O75" s="147"/>
      <c r="P75" s="147"/>
      <c r="Q75" s="147"/>
      <c r="R75" s="551">
        <f>SUM(E75:Q75)</f>
        <v>158760</v>
      </c>
      <c r="S75" s="148"/>
      <c r="T75" s="148"/>
      <c r="U75" s="143"/>
    </row>
    <row r="76" spans="1:21" s="144" customFormat="1">
      <c r="A76" s="1202" t="s">
        <v>34</v>
      </c>
      <c r="B76" s="146">
        <f>SUM(C76+D76)</f>
        <v>0</v>
      </c>
      <c r="C76" s="147"/>
      <c r="D76" s="147"/>
      <c r="E76" s="147">
        <f t="shared" si="25"/>
        <v>0</v>
      </c>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188760</v>
      </c>
      <c r="C77" s="146">
        <f>SUM(C72:C76)</f>
        <v>188760</v>
      </c>
      <c r="D77" s="146">
        <f>SUM(D72:D76)</f>
        <v>0</v>
      </c>
      <c r="E77" s="146">
        <f t="shared" ref="E77:Q77" si="26">SUM(E72:E76)</f>
        <v>188760</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1">
        <f>SUM(R72:R76)</f>
        <v>188760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1886056</v>
      </c>
      <c r="C79" s="147">
        <v>1886056</v>
      </c>
      <c r="D79" s="147"/>
      <c r="E79" s="147">
        <f t="shared" ref="E79:E80" si="27">+C79-SUM(F79:J79)</f>
        <v>1886056</v>
      </c>
      <c r="F79" s="147"/>
      <c r="G79" s="147"/>
      <c r="H79" s="147"/>
      <c r="I79" s="147"/>
      <c r="J79" s="147"/>
      <c r="K79" s="147"/>
      <c r="L79" s="147"/>
      <c r="M79" s="147"/>
      <c r="N79" s="147"/>
      <c r="O79" s="147"/>
      <c r="P79" s="147"/>
      <c r="Q79" s="147"/>
      <c r="R79" s="551">
        <f>SUM(E79:Q79)</f>
        <v>1886056</v>
      </c>
      <c r="S79" s="147">
        <f>+R79</f>
        <v>1886056</v>
      </c>
      <c r="T79" s="147"/>
      <c r="U79" s="143"/>
    </row>
    <row r="80" spans="1:21" s="144" customFormat="1">
      <c r="A80" s="304" t="s">
        <v>58</v>
      </c>
      <c r="B80" s="146">
        <f>SUM(C80:D80)</f>
        <v>209613</v>
      </c>
      <c r="C80" s="147">
        <v>209613</v>
      </c>
      <c r="D80" s="147"/>
      <c r="E80" s="147">
        <f t="shared" si="27"/>
        <v>209613</v>
      </c>
      <c r="F80" s="147"/>
      <c r="G80" s="147"/>
      <c r="H80" s="147"/>
      <c r="I80" s="147"/>
      <c r="J80" s="147"/>
      <c r="K80" s="147"/>
      <c r="L80" s="147"/>
      <c r="M80" s="147"/>
      <c r="N80" s="147"/>
      <c r="O80" s="147"/>
      <c r="P80" s="147"/>
      <c r="Q80" s="147"/>
      <c r="R80" s="551">
        <f>SUM(E80:Q80)</f>
        <v>209613</v>
      </c>
      <c r="S80" s="147">
        <f>+R80</f>
        <v>209613</v>
      </c>
      <c r="T80" s="147"/>
      <c r="U80" s="143"/>
    </row>
    <row r="81" spans="1:21" s="144" customFormat="1">
      <c r="A81" s="149" t="s">
        <v>1353</v>
      </c>
      <c r="B81" s="146">
        <f>SUM(C81:D81)</f>
        <v>2095669</v>
      </c>
      <c r="C81" s="544">
        <f>SUM(C79:C80)</f>
        <v>2095669</v>
      </c>
      <c r="D81" s="544">
        <f t="shared" ref="D81:T81" si="28">SUM(D79:D80)</f>
        <v>0</v>
      </c>
      <c r="E81" s="544">
        <f t="shared" si="28"/>
        <v>2095669</v>
      </c>
      <c r="F81" s="544">
        <f t="shared" si="28"/>
        <v>0</v>
      </c>
      <c r="G81" s="544">
        <f t="shared" si="28"/>
        <v>0</v>
      </c>
      <c r="H81" s="544">
        <f t="shared" si="28"/>
        <v>0</v>
      </c>
      <c r="I81" s="544">
        <f t="shared" si="28"/>
        <v>0</v>
      </c>
      <c r="J81" s="544">
        <f t="shared" si="28"/>
        <v>0</v>
      </c>
      <c r="K81" s="544">
        <f t="shared" si="28"/>
        <v>0</v>
      </c>
      <c r="L81" s="544">
        <f t="shared" si="28"/>
        <v>0</v>
      </c>
      <c r="M81" s="544">
        <f t="shared" si="28"/>
        <v>0</v>
      </c>
      <c r="N81" s="544">
        <f t="shared" si="28"/>
        <v>0</v>
      </c>
      <c r="O81" s="544">
        <f t="shared" si="28"/>
        <v>0</v>
      </c>
      <c r="P81" s="544">
        <f t="shared" si="28"/>
        <v>0</v>
      </c>
      <c r="Q81" s="544">
        <f t="shared" si="28"/>
        <v>0</v>
      </c>
      <c r="R81" s="544">
        <f t="shared" si="28"/>
        <v>2095669</v>
      </c>
      <c r="S81" s="544">
        <f t="shared" si="28"/>
        <v>2095669</v>
      </c>
      <c r="T81" s="544">
        <f t="shared" si="28"/>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2519</v>
      </c>
      <c r="B83" s="146">
        <f t="shared" ref="B83:B95" si="29">SUM(C83+D83)</f>
        <v>120178</v>
      </c>
      <c r="C83" s="147">
        <v>120178</v>
      </c>
      <c r="D83" s="147"/>
      <c r="E83" s="147">
        <f t="shared" ref="E83:E95" si="30">+C83-SUM(F83:J83)</f>
        <v>120178</v>
      </c>
      <c r="F83" s="147"/>
      <c r="G83" s="147"/>
      <c r="H83" s="147"/>
      <c r="I83" s="147"/>
      <c r="J83" s="147"/>
      <c r="K83" s="147"/>
      <c r="L83" s="147"/>
      <c r="M83" s="147"/>
      <c r="N83" s="147"/>
      <c r="O83" s="147"/>
      <c r="P83" s="147"/>
      <c r="Q83" s="147"/>
      <c r="R83" s="551">
        <f t="shared" ref="R83:R95" si="31">SUM(E83:Q83)</f>
        <v>120178</v>
      </c>
      <c r="S83" s="148"/>
      <c r="T83" s="148"/>
      <c r="U83" s="143"/>
    </row>
    <row r="84" spans="1:21" s="144" customFormat="1">
      <c r="A84" s="145" t="s">
        <v>792</v>
      </c>
      <c r="B84" s="146">
        <f t="shared" si="29"/>
        <v>7000</v>
      </c>
      <c r="C84" s="147">
        <v>7000</v>
      </c>
      <c r="D84" s="147"/>
      <c r="E84" s="147">
        <f t="shared" si="30"/>
        <v>7000</v>
      </c>
      <c r="F84" s="147"/>
      <c r="G84" s="147"/>
      <c r="H84" s="147"/>
      <c r="I84" s="147"/>
      <c r="J84" s="147"/>
      <c r="K84" s="147"/>
      <c r="L84" s="147"/>
      <c r="M84" s="147"/>
      <c r="N84" s="147"/>
      <c r="O84" s="147"/>
      <c r="P84" s="147"/>
      <c r="Q84" s="147"/>
      <c r="R84" s="551">
        <f t="shared" si="31"/>
        <v>7000</v>
      </c>
      <c r="S84" s="147">
        <f>+R84</f>
        <v>7000</v>
      </c>
      <c r="T84" s="147"/>
      <c r="U84" s="143"/>
    </row>
    <row r="85" spans="1:21" s="144" customFormat="1">
      <c r="A85" s="145" t="s">
        <v>793</v>
      </c>
      <c r="B85" s="146">
        <f t="shared" si="29"/>
        <v>1836525</v>
      </c>
      <c r="C85" s="147">
        <v>1836525</v>
      </c>
      <c r="D85" s="147"/>
      <c r="E85" s="147">
        <f t="shared" si="30"/>
        <v>1836525</v>
      </c>
      <c r="F85" s="147"/>
      <c r="G85" s="147"/>
      <c r="H85" s="147"/>
      <c r="I85" s="147"/>
      <c r="J85" s="147"/>
      <c r="K85" s="147"/>
      <c r="L85" s="147"/>
      <c r="M85" s="147"/>
      <c r="N85" s="147"/>
      <c r="O85" s="147"/>
      <c r="P85" s="147"/>
      <c r="Q85" s="147"/>
      <c r="R85" s="551">
        <f t="shared" si="31"/>
        <v>1836525</v>
      </c>
      <c r="S85" s="147">
        <f t="shared" ref="S85:S87" si="32">+R85</f>
        <v>1836525</v>
      </c>
      <c r="T85" s="147"/>
      <c r="U85" s="143"/>
    </row>
    <row r="86" spans="1:21" s="144" customFormat="1">
      <c r="A86" s="145" t="s">
        <v>794</v>
      </c>
      <c r="B86" s="146">
        <f t="shared" si="29"/>
        <v>750000</v>
      </c>
      <c r="C86" s="147">
        <v>750000</v>
      </c>
      <c r="D86" s="147"/>
      <c r="E86" s="147">
        <f t="shared" si="30"/>
        <v>750000</v>
      </c>
      <c r="F86" s="147"/>
      <c r="G86" s="147"/>
      <c r="H86" s="147"/>
      <c r="I86" s="147"/>
      <c r="J86" s="147"/>
      <c r="K86" s="147"/>
      <c r="L86" s="147"/>
      <c r="M86" s="147"/>
      <c r="N86" s="147"/>
      <c r="O86" s="147"/>
      <c r="P86" s="147"/>
      <c r="Q86" s="147"/>
      <c r="R86" s="551">
        <f t="shared" si="31"/>
        <v>750000</v>
      </c>
      <c r="S86" s="147">
        <f t="shared" si="32"/>
        <v>750000</v>
      </c>
      <c r="T86" s="147"/>
      <c r="U86" s="143"/>
    </row>
    <row r="87" spans="1:21" s="144" customFormat="1">
      <c r="A87" s="145" t="s">
        <v>795</v>
      </c>
      <c r="B87" s="146">
        <f t="shared" si="29"/>
        <v>0</v>
      </c>
      <c r="C87" s="147"/>
      <c r="D87" s="147"/>
      <c r="E87" s="147">
        <f t="shared" si="30"/>
        <v>0</v>
      </c>
      <c r="F87" s="147"/>
      <c r="G87" s="147"/>
      <c r="H87" s="147"/>
      <c r="I87" s="147"/>
      <c r="J87" s="147"/>
      <c r="K87" s="147"/>
      <c r="L87" s="147"/>
      <c r="M87" s="147"/>
      <c r="N87" s="147"/>
      <c r="O87" s="147"/>
      <c r="P87" s="147"/>
      <c r="Q87" s="147"/>
      <c r="R87" s="551">
        <f t="shared" si="31"/>
        <v>0</v>
      </c>
      <c r="S87" s="147">
        <f t="shared" si="32"/>
        <v>0</v>
      </c>
      <c r="T87" s="147"/>
      <c r="U87" s="143"/>
    </row>
    <row r="88" spans="1:21" s="144" customFormat="1">
      <c r="A88" s="145" t="s">
        <v>796</v>
      </c>
      <c r="B88" s="146">
        <f t="shared" si="29"/>
        <v>38625</v>
      </c>
      <c r="C88" s="147">
        <v>38625</v>
      </c>
      <c r="D88" s="147"/>
      <c r="E88" s="147">
        <f t="shared" si="30"/>
        <v>38625</v>
      </c>
      <c r="F88" s="147"/>
      <c r="G88" s="147"/>
      <c r="H88" s="147"/>
      <c r="I88" s="147"/>
      <c r="J88" s="147"/>
      <c r="K88" s="147"/>
      <c r="L88" s="147"/>
      <c r="M88" s="147"/>
      <c r="N88" s="147"/>
      <c r="O88" s="147"/>
      <c r="P88" s="147"/>
      <c r="Q88" s="147"/>
      <c r="R88" s="551">
        <f t="shared" si="31"/>
        <v>38625</v>
      </c>
      <c r="S88" s="148"/>
      <c r="T88" s="148"/>
      <c r="U88" s="143"/>
    </row>
    <row r="89" spans="1:21" s="144" customFormat="1">
      <c r="A89" s="145" t="s">
        <v>797</v>
      </c>
      <c r="B89" s="146">
        <f t="shared" si="29"/>
        <v>60000</v>
      </c>
      <c r="C89" s="147">
        <v>60000</v>
      </c>
      <c r="D89" s="147"/>
      <c r="E89" s="147">
        <f t="shared" si="30"/>
        <v>60000</v>
      </c>
      <c r="F89" s="147"/>
      <c r="G89" s="147"/>
      <c r="H89" s="147"/>
      <c r="I89" s="147"/>
      <c r="J89" s="147"/>
      <c r="K89" s="147"/>
      <c r="L89" s="147"/>
      <c r="M89" s="147"/>
      <c r="N89" s="147"/>
      <c r="O89" s="147"/>
      <c r="P89" s="147"/>
      <c r="Q89" s="147"/>
      <c r="R89" s="551">
        <f t="shared" si="31"/>
        <v>60000</v>
      </c>
      <c r="S89" s="147">
        <f t="shared" ref="S89:S94" si="33">+R89</f>
        <v>60000</v>
      </c>
      <c r="T89" s="147"/>
      <c r="U89" s="143"/>
    </row>
    <row r="90" spans="1:21" s="144" customFormat="1">
      <c r="A90" s="145" t="s">
        <v>798</v>
      </c>
      <c r="B90" s="146">
        <f t="shared" si="29"/>
        <v>10000</v>
      </c>
      <c r="C90" s="147">
        <v>10000</v>
      </c>
      <c r="D90" s="147"/>
      <c r="E90" s="147">
        <f t="shared" si="30"/>
        <v>10000</v>
      </c>
      <c r="F90" s="147"/>
      <c r="G90" s="147"/>
      <c r="H90" s="147"/>
      <c r="I90" s="147"/>
      <c r="J90" s="147"/>
      <c r="K90" s="147"/>
      <c r="L90" s="147"/>
      <c r="M90" s="147"/>
      <c r="N90" s="147"/>
      <c r="O90" s="147"/>
      <c r="P90" s="147"/>
      <c r="Q90" s="147"/>
      <c r="R90" s="551">
        <f t="shared" si="31"/>
        <v>10000</v>
      </c>
      <c r="S90" s="147">
        <f t="shared" si="33"/>
        <v>10000</v>
      </c>
      <c r="T90" s="147"/>
      <c r="U90" s="143"/>
    </row>
    <row r="91" spans="1:21" s="144" customFormat="1">
      <c r="A91" s="145" t="s">
        <v>374</v>
      </c>
      <c r="B91" s="146">
        <f t="shared" si="29"/>
        <v>45000</v>
      </c>
      <c r="C91" s="147">
        <v>45000</v>
      </c>
      <c r="D91" s="147"/>
      <c r="E91" s="147">
        <f t="shared" si="30"/>
        <v>45000</v>
      </c>
      <c r="F91" s="147"/>
      <c r="G91" s="147"/>
      <c r="H91" s="147"/>
      <c r="I91" s="147"/>
      <c r="J91" s="147"/>
      <c r="K91" s="147"/>
      <c r="L91" s="147"/>
      <c r="M91" s="147"/>
      <c r="N91" s="147"/>
      <c r="O91" s="147"/>
      <c r="P91" s="147"/>
      <c r="Q91" s="147"/>
      <c r="R91" s="551">
        <f t="shared" si="31"/>
        <v>45000</v>
      </c>
      <c r="S91" s="147">
        <f t="shared" si="33"/>
        <v>45000</v>
      </c>
      <c r="T91" s="147"/>
      <c r="U91" s="143"/>
    </row>
    <row r="92" spans="1:21" s="144" customFormat="1">
      <c r="A92" s="304" t="s">
        <v>1355</v>
      </c>
      <c r="B92" s="146">
        <f t="shared" si="29"/>
        <v>7500</v>
      </c>
      <c r="C92" s="147">
        <v>7500</v>
      </c>
      <c r="D92" s="147"/>
      <c r="E92" s="147">
        <f t="shared" si="30"/>
        <v>7500</v>
      </c>
      <c r="F92" s="147"/>
      <c r="G92" s="147"/>
      <c r="H92" s="147"/>
      <c r="I92" s="147"/>
      <c r="J92" s="147"/>
      <c r="K92" s="147"/>
      <c r="L92" s="147"/>
      <c r="M92" s="147"/>
      <c r="N92" s="147"/>
      <c r="O92" s="147"/>
      <c r="P92" s="147"/>
      <c r="Q92" s="147"/>
      <c r="R92" s="551">
        <f t="shared" si="31"/>
        <v>7500</v>
      </c>
      <c r="S92" s="147">
        <f t="shared" si="33"/>
        <v>7500</v>
      </c>
      <c r="T92" s="147"/>
      <c r="U92" s="143"/>
    </row>
    <row r="93" spans="1:21" s="144" customFormat="1">
      <c r="A93" s="1202" t="s">
        <v>34</v>
      </c>
      <c r="B93" s="146">
        <f t="shared" si="29"/>
        <v>0</v>
      </c>
      <c r="C93" s="147"/>
      <c r="D93" s="147"/>
      <c r="E93" s="147">
        <f t="shared" si="30"/>
        <v>0</v>
      </c>
      <c r="F93" s="147"/>
      <c r="G93" s="147"/>
      <c r="H93" s="147"/>
      <c r="I93" s="147"/>
      <c r="J93" s="147"/>
      <c r="K93" s="147"/>
      <c r="L93" s="147"/>
      <c r="M93" s="147"/>
      <c r="N93" s="147"/>
      <c r="O93" s="147"/>
      <c r="P93" s="147"/>
      <c r="Q93" s="147"/>
      <c r="R93" s="551">
        <f t="shared" si="31"/>
        <v>0</v>
      </c>
      <c r="S93" s="147">
        <f t="shared" si="33"/>
        <v>0</v>
      </c>
      <c r="T93" s="147"/>
      <c r="U93" s="143"/>
    </row>
    <row r="94" spans="1:21" s="144" customFormat="1">
      <c r="A94" s="1202" t="s">
        <v>34</v>
      </c>
      <c r="B94" s="146">
        <f t="shared" si="29"/>
        <v>0</v>
      </c>
      <c r="C94" s="147"/>
      <c r="D94" s="147"/>
      <c r="E94" s="147">
        <f t="shared" si="30"/>
        <v>0</v>
      </c>
      <c r="F94" s="147"/>
      <c r="G94" s="147"/>
      <c r="H94" s="147"/>
      <c r="I94" s="147"/>
      <c r="J94" s="147"/>
      <c r="K94" s="147"/>
      <c r="L94" s="147"/>
      <c r="M94" s="147"/>
      <c r="N94" s="147"/>
      <c r="O94" s="147"/>
      <c r="P94" s="147"/>
      <c r="Q94" s="147"/>
      <c r="R94" s="551">
        <f t="shared" si="31"/>
        <v>0</v>
      </c>
      <c r="S94" s="147">
        <f t="shared" si="33"/>
        <v>0</v>
      </c>
      <c r="T94" s="147"/>
      <c r="U94" s="143"/>
    </row>
    <row r="95" spans="1:21" s="144" customFormat="1">
      <c r="A95" s="1202" t="s">
        <v>34</v>
      </c>
      <c r="B95" s="146">
        <f t="shared" si="29"/>
        <v>0</v>
      </c>
      <c r="C95" s="147"/>
      <c r="D95" s="147"/>
      <c r="E95" s="147">
        <f t="shared" si="30"/>
        <v>0</v>
      </c>
      <c r="F95" s="147"/>
      <c r="G95" s="147"/>
      <c r="H95" s="147"/>
      <c r="I95" s="147"/>
      <c r="J95" s="147"/>
      <c r="K95" s="147"/>
      <c r="L95" s="147"/>
      <c r="M95" s="147"/>
      <c r="N95" s="147"/>
      <c r="O95" s="147"/>
      <c r="P95" s="147"/>
      <c r="Q95" s="147"/>
      <c r="R95" s="551">
        <f t="shared" si="31"/>
        <v>0</v>
      </c>
      <c r="S95" s="147"/>
      <c r="T95" s="147"/>
      <c r="U95" s="143"/>
    </row>
    <row r="96" spans="1:21" s="144" customFormat="1">
      <c r="A96" s="149" t="s">
        <v>799</v>
      </c>
      <c r="B96" s="146">
        <f>SUM(C96:D96)</f>
        <v>2874828</v>
      </c>
      <c r="C96" s="146">
        <f t="shared" ref="C96:R96" si="34">SUM(C83:C95)</f>
        <v>2874828</v>
      </c>
      <c r="D96" s="146">
        <f t="shared" si="34"/>
        <v>0</v>
      </c>
      <c r="E96" s="146">
        <f t="shared" si="34"/>
        <v>2874828</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1">
        <f t="shared" si="34"/>
        <v>2874828</v>
      </c>
      <c r="S96" s="150">
        <f>SUM(S84:S87,S89:S95)</f>
        <v>2716025</v>
      </c>
      <c r="T96" s="146">
        <f>SUM(T84:T87,T89:T95)</f>
        <v>0</v>
      </c>
      <c r="U96" s="143"/>
    </row>
    <row r="97" spans="1:21" s="144" customFormat="1">
      <c r="A97" s="149" t="s">
        <v>800</v>
      </c>
      <c r="B97" s="146">
        <f>SUM(C97:D97)</f>
        <v>37578427</v>
      </c>
      <c r="C97" s="146">
        <f t="shared" ref="C97:R97" si="35">SUM(C63+C70+C77+C81+C96)</f>
        <v>37578427</v>
      </c>
      <c r="D97" s="146">
        <f t="shared" si="35"/>
        <v>0</v>
      </c>
      <c r="E97" s="146">
        <f t="shared" si="35"/>
        <v>19054797</v>
      </c>
      <c r="F97" s="146">
        <f t="shared" si="35"/>
        <v>2291757</v>
      </c>
      <c r="G97" s="146">
        <f t="shared" si="35"/>
        <v>10720918</v>
      </c>
      <c r="H97" s="146">
        <f t="shared" si="35"/>
        <v>301864</v>
      </c>
      <c r="I97" s="146">
        <f t="shared" si="35"/>
        <v>0</v>
      </c>
      <c r="J97" s="146">
        <f t="shared" si="35"/>
        <v>5209091</v>
      </c>
      <c r="K97" s="146">
        <f t="shared" si="35"/>
        <v>0</v>
      </c>
      <c r="L97" s="146">
        <f t="shared" si="35"/>
        <v>0</v>
      </c>
      <c r="M97" s="146">
        <f t="shared" si="35"/>
        <v>0</v>
      </c>
      <c r="N97" s="146">
        <f t="shared" si="35"/>
        <v>0</v>
      </c>
      <c r="O97" s="146">
        <f t="shared" si="35"/>
        <v>0</v>
      </c>
      <c r="P97" s="146">
        <f t="shared" si="35"/>
        <v>0</v>
      </c>
      <c r="Q97" s="146">
        <f t="shared" si="35"/>
        <v>0</v>
      </c>
      <c r="R97" s="146">
        <f t="shared" si="35"/>
        <v>37578427</v>
      </c>
      <c r="S97" s="146">
        <f>SUM(S63+S70+S81+S96)</f>
        <v>34135028</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2591850</v>
      </c>
      <c r="C99" s="1016">
        <v>2591850</v>
      </c>
      <c r="D99" s="1016"/>
      <c r="E99" s="1016">
        <f>+C99-SUM(F99:J99)</f>
        <v>2500000</v>
      </c>
      <c r="F99" s="147"/>
      <c r="G99" s="147"/>
      <c r="H99" s="147"/>
      <c r="I99" s="147">
        <v>91850</v>
      </c>
      <c r="J99" s="147"/>
      <c r="K99" s="147"/>
      <c r="L99" s="147"/>
      <c r="M99" s="147"/>
      <c r="N99" s="147"/>
      <c r="O99" s="147"/>
      <c r="P99" s="147"/>
      <c r="Q99" s="147"/>
      <c r="R99" s="551">
        <f>SUM(E99:Q99)</f>
        <v>2591850</v>
      </c>
      <c r="S99" s="147">
        <f>+R99</f>
        <v>2591850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2591850</v>
      </c>
      <c r="C104" s="146">
        <f>SUM(C99:C103)</f>
        <v>2591850</v>
      </c>
      <c r="D104" s="146">
        <f t="shared" ref="D104:T104" si="36">SUM(D99:D103)</f>
        <v>0</v>
      </c>
      <c r="E104" s="146">
        <f t="shared" si="36"/>
        <v>2500000</v>
      </c>
      <c r="F104" s="146">
        <f t="shared" si="36"/>
        <v>0</v>
      </c>
      <c r="G104" s="146">
        <f t="shared" si="36"/>
        <v>0</v>
      </c>
      <c r="H104" s="146">
        <f t="shared" si="36"/>
        <v>0</v>
      </c>
      <c r="I104" s="146">
        <f t="shared" si="36"/>
        <v>91850</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71">
        <f t="shared" si="36"/>
        <v>2591850</v>
      </c>
      <c r="S104" s="150">
        <f t="shared" si="36"/>
        <v>2591850</v>
      </c>
      <c r="T104" s="150">
        <f t="shared" si="36"/>
        <v>0</v>
      </c>
      <c r="U104" s="143"/>
    </row>
    <row r="105" spans="1:21" s="144" customFormat="1">
      <c r="A105" s="149" t="s">
        <v>805</v>
      </c>
      <c r="B105" s="150">
        <f>SUM(C105:D105)</f>
        <v>40170277</v>
      </c>
      <c r="C105" s="150">
        <f t="shared" ref="C105:R105" si="37">SUM(C97+C104)</f>
        <v>40170277</v>
      </c>
      <c r="D105" s="150">
        <f t="shared" si="37"/>
        <v>0</v>
      </c>
      <c r="E105" s="150">
        <f t="shared" si="37"/>
        <v>21554797</v>
      </c>
      <c r="F105" s="150">
        <f t="shared" si="37"/>
        <v>2291757</v>
      </c>
      <c r="G105" s="150">
        <f t="shared" si="37"/>
        <v>10720918</v>
      </c>
      <c r="H105" s="150">
        <f t="shared" si="37"/>
        <v>301864</v>
      </c>
      <c r="I105" s="150">
        <f t="shared" si="37"/>
        <v>91850</v>
      </c>
      <c r="J105" s="150">
        <f t="shared" si="37"/>
        <v>5209091</v>
      </c>
      <c r="K105" s="150">
        <f t="shared" si="37"/>
        <v>0</v>
      </c>
      <c r="L105" s="150">
        <f t="shared" si="37"/>
        <v>0</v>
      </c>
      <c r="M105" s="150">
        <f t="shared" si="37"/>
        <v>0</v>
      </c>
      <c r="N105" s="150">
        <f t="shared" si="37"/>
        <v>0</v>
      </c>
      <c r="O105" s="150">
        <f t="shared" si="37"/>
        <v>0</v>
      </c>
      <c r="P105" s="150">
        <f t="shared" si="37"/>
        <v>0</v>
      </c>
      <c r="Q105" s="150">
        <f t="shared" si="37"/>
        <v>0</v>
      </c>
      <c r="R105" s="371">
        <f t="shared" si="37"/>
        <v>40170277</v>
      </c>
      <c r="S105" s="150">
        <f>S97+S104</f>
        <v>36726878</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36726878</v>
      </c>
      <c r="T107" s="150">
        <f>T105+T106</f>
        <v>0</v>
      </c>
    </row>
    <row r="108" spans="1:21" s="201" customFormat="1">
      <c r="A108" s="162" t="s">
        <v>909</v>
      </c>
      <c r="B108" s="157"/>
      <c r="C108" s="157"/>
      <c r="D108" s="157"/>
      <c r="E108" s="323">
        <f>Application!AO636</f>
        <v>21554797</v>
      </c>
      <c r="F108" s="323">
        <f>Application!AO623</f>
        <v>2291757</v>
      </c>
      <c r="G108" s="323">
        <f>Application!AO624</f>
        <v>10720918</v>
      </c>
      <c r="H108" s="323">
        <f>Application!AO625</f>
        <v>301864</v>
      </c>
      <c r="I108" s="323">
        <f>Application!AO626</f>
        <v>91850</v>
      </c>
      <c r="J108" s="323">
        <f>Application!AO627</f>
        <v>5209091</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2520</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361" t="s">
        <v>1048</v>
      </c>
      <c r="E122" s="1361"/>
      <c r="F122" s="1361"/>
      <c r="G122" s="353"/>
      <c r="H122" s="353"/>
      <c r="I122" s="353"/>
      <c r="J122" s="353"/>
      <c r="K122" s="353"/>
      <c r="L122" s="353"/>
      <c r="M122" s="353"/>
      <c r="N122" s="353"/>
      <c r="O122" s="353"/>
      <c r="P122" s="353"/>
      <c r="Q122" s="353"/>
      <c r="R122" s="353"/>
      <c r="S122" s="353"/>
      <c r="T122" s="353"/>
      <c r="U122" s="355"/>
    </row>
    <row r="123" spans="1:21">
      <c r="A123" s="353" t="s">
        <v>1049</v>
      </c>
      <c r="B123" s="362"/>
      <c r="C123" s="353"/>
      <c r="D123" s="1351" t="s">
        <v>1372</v>
      </c>
      <c r="E123" s="1352"/>
      <c r="F123" s="1352"/>
      <c r="G123" s="1352"/>
      <c r="H123" s="1352"/>
      <c r="I123" s="1352"/>
      <c r="J123" s="1352"/>
      <c r="K123" s="1352"/>
      <c r="L123" s="1352"/>
      <c r="M123" s="1352"/>
      <c r="N123" s="1352"/>
      <c r="O123" s="1352"/>
      <c r="P123" s="1352"/>
      <c r="Q123" s="1352"/>
      <c r="R123" s="1352"/>
      <c r="S123" s="1352"/>
      <c r="T123" s="353"/>
      <c r="U123" s="355"/>
    </row>
    <row r="124" spans="1:21" ht="12.75">
      <c r="A124" s="117" t="s">
        <v>1050</v>
      </c>
      <c r="B124" s="362"/>
      <c r="C124" s="117"/>
      <c r="D124" s="1352"/>
      <c r="E124" s="1352"/>
      <c r="F124" s="1352"/>
      <c r="G124" s="1352"/>
      <c r="H124" s="1352"/>
      <c r="I124" s="1352"/>
      <c r="J124" s="1352"/>
      <c r="K124" s="1352"/>
      <c r="L124" s="1352"/>
      <c r="M124" s="1352"/>
      <c r="N124" s="1352"/>
      <c r="O124" s="1352"/>
      <c r="P124" s="1352"/>
      <c r="Q124" s="1352"/>
      <c r="R124" s="1352"/>
      <c r="S124" s="1352"/>
      <c r="T124" s="353"/>
      <c r="U124" s="355"/>
    </row>
    <row r="125" spans="1:21" ht="12.75">
      <c r="A125" s="117" t="s">
        <v>1051</v>
      </c>
      <c r="B125" s="362"/>
      <c r="C125" s="117"/>
      <c r="D125" s="1352"/>
      <c r="E125" s="1352"/>
      <c r="F125" s="1352"/>
      <c r="G125" s="1352"/>
      <c r="H125" s="1352"/>
      <c r="I125" s="1352"/>
      <c r="J125" s="1352"/>
      <c r="K125" s="1352"/>
      <c r="L125" s="1352"/>
      <c r="M125" s="1352"/>
      <c r="N125" s="1352"/>
      <c r="O125" s="1352"/>
      <c r="P125" s="1352"/>
      <c r="Q125" s="1352"/>
      <c r="R125" s="1352"/>
      <c r="S125" s="1352"/>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356"/>
      <c r="E128" s="1356"/>
      <c r="F128" s="1356"/>
      <c r="G128" s="1356"/>
      <c r="H128" s="1356"/>
      <c r="I128" s="117"/>
      <c r="J128" s="1350"/>
      <c r="K128" s="1350"/>
      <c r="L128" s="117"/>
      <c r="M128" s="117"/>
      <c r="N128" s="117"/>
      <c r="O128" s="117"/>
      <c r="P128" s="117"/>
      <c r="Q128" s="117"/>
      <c r="R128" s="117"/>
      <c r="S128" s="117"/>
      <c r="T128" s="353"/>
      <c r="U128" s="355"/>
    </row>
    <row r="129" spans="1:21" ht="12.75">
      <c r="A129" s="117" t="s">
        <v>302</v>
      </c>
      <c r="B129" s="362"/>
      <c r="C129" s="117"/>
      <c r="D129" s="1360" t="s">
        <v>1055</v>
      </c>
      <c r="E129" s="1360"/>
      <c r="F129" s="1360"/>
      <c r="G129" s="1360"/>
      <c r="H129" s="1360"/>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354"/>
      <c r="E131" s="1354"/>
      <c r="F131" s="1354"/>
      <c r="G131" s="1354"/>
      <c r="H131" s="1354"/>
      <c r="I131" s="117"/>
      <c r="J131" s="1354"/>
      <c r="K131" s="1354"/>
      <c r="L131" s="1354"/>
      <c r="M131" s="1354"/>
      <c r="N131" s="117"/>
      <c r="O131" s="117"/>
      <c r="P131" s="117"/>
      <c r="Q131" s="117"/>
      <c r="R131" s="117"/>
      <c r="S131" s="117"/>
      <c r="T131" s="353"/>
      <c r="U131" s="355"/>
    </row>
    <row r="132" spans="1:21" ht="12" customHeight="1">
      <c r="A132" s="365"/>
      <c r="B132" s="117"/>
      <c r="C132" s="117"/>
      <c r="D132" s="1353" t="s">
        <v>1058</v>
      </c>
      <c r="E132" s="1353"/>
      <c r="F132" s="1353"/>
      <c r="G132" s="1353"/>
      <c r="H132" s="1353"/>
      <c r="I132" s="117"/>
      <c r="J132" s="1353" t="s">
        <v>1059</v>
      </c>
      <c r="K132" s="1353"/>
      <c r="L132" s="1353"/>
      <c r="M132" s="135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355"/>
      <c r="B138" s="1356"/>
      <c r="C138" s="1356"/>
      <c r="D138" s="357"/>
      <c r="E138" s="1350"/>
      <c r="F138" s="1350"/>
      <c r="G138" s="117"/>
      <c r="H138" s="117"/>
      <c r="I138" s="117"/>
      <c r="J138" s="117"/>
      <c r="K138" s="117"/>
      <c r="L138" s="117"/>
      <c r="M138" s="117"/>
      <c r="N138" s="117"/>
      <c r="O138" s="117"/>
      <c r="P138" s="117"/>
      <c r="Q138" s="117"/>
      <c r="R138" s="117"/>
      <c r="S138" s="117"/>
      <c r="T138" s="359"/>
      <c r="U138" s="360"/>
    </row>
    <row r="139" spans="1:21" ht="12.75">
      <c r="A139" s="1349" t="s">
        <v>1062</v>
      </c>
      <c r="B139" s="1349"/>
      <c r="C139" s="1349"/>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208" priority="254" stopIfTrue="1">
      <formula>T9&gt;C9</formula>
    </cfRule>
  </conditionalFormatting>
  <conditionalFormatting sqref="S10">
    <cfRule type="expression" dxfId="207" priority="253" stopIfTrue="1">
      <formula>(S10+T10)&gt;C10</formula>
    </cfRule>
  </conditionalFormatting>
  <conditionalFormatting sqref="R8">
    <cfRule type="cellIs" dxfId="206" priority="242" stopIfTrue="1" operator="notEqual">
      <formula>$B8</formula>
    </cfRule>
    <cfRule type="cellIs" priority="245" stopIfTrue="1" operator="notEqual">
      <formula>$B8</formula>
    </cfRule>
  </conditionalFormatting>
  <conditionalFormatting sqref="R4:R7 R56:R61 R45:R53 R83:R95 R99:R103">
    <cfRule type="cellIs" dxfId="205" priority="244" stopIfTrue="1" operator="notEqual">
      <formula>$B4</formula>
    </cfRule>
  </conditionalFormatting>
  <conditionalFormatting sqref="R9:R10">
    <cfRule type="cellIs" dxfId="204" priority="243" stopIfTrue="1" operator="notEqual">
      <formula>$B9</formula>
    </cfRule>
  </conditionalFormatting>
  <conditionalFormatting sqref="R11:R12">
    <cfRule type="cellIs" dxfId="203" priority="240" stopIfTrue="1" operator="notEqual">
      <formula>$B11</formula>
    </cfRule>
    <cfRule type="cellIs" priority="241" stopIfTrue="1" operator="notEqual">
      <formula>$B11</formula>
    </cfRule>
  </conditionalFormatting>
  <conditionalFormatting sqref="R13:R15">
    <cfRule type="cellIs" dxfId="202" priority="239" stopIfTrue="1" operator="notEqual">
      <formula>$B13</formula>
    </cfRule>
  </conditionalFormatting>
  <conditionalFormatting sqref="R26">
    <cfRule type="cellIs" dxfId="201" priority="237" stopIfTrue="1" operator="notEqual">
      <formula>$B26</formula>
    </cfRule>
    <cfRule type="cellIs" priority="238" stopIfTrue="1" operator="notEqual">
      <formula>$B26</formula>
    </cfRule>
  </conditionalFormatting>
  <conditionalFormatting sqref="R17:R25">
    <cfRule type="cellIs" dxfId="200" priority="236" stopIfTrue="1" operator="notEqual">
      <formula>$B17</formula>
    </cfRule>
  </conditionalFormatting>
  <conditionalFormatting sqref="R27">
    <cfRule type="cellIs" dxfId="199" priority="235" stopIfTrue="1" operator="notEqual">
      <formula>$B27</formula>
    </cfRule>
  </conditionalFormatting>
  <conditionalFormatting sqref="R38">
    <cfRule type="cellIs" dxfId="198" priority="233" stopIfTrue="1" operator="notEqual">
      <formula>$B38</formula>
    </cfRule>
    <cfRule type="cellIs" priority="234" stopIfTrue="1" operator="notEqual">
      <formula>$B38</formula>
    </cfRule>
  </conditionalFormatting>
  <conditionalFormatting sqref="R29:R37">
    <cfRule type="cellIs" dxfId="197" priority="232" stopIfTrue="1" operator="notEqual">
      <formula>$B29</formula>
    </cfRule>
  </conditionalFormatting>
  <conditionalFormatting sqref="R42">
    <cfRule type="cellIs" dxfId="196" priority="230" stopIfTrue="1" operator="notEqual">
      <formula>$B42</formula>
    </cfRule>
    <cfRule type="cellIs" priority="231" stopIfTrue="1" operator="notEqual">
      <formula>$B42</formula>
    </cfRule>
  </conditionalFormatting>
  <conditionalFormatting sqref="R40:R41">
    <cfRule type="cellIs" dxfId="195" priority="229" stopIfTrue="1" operator="notEqual">
      <formula>$B40</formula>
    </cfRule>
  </conditionalFormatting>
  <conditionalFormatting sqref="R43">
    <cfRule type="cellIs" dxfId="194" priority="228" stopIfTrue="1" operator="notEqual">
      <formula>$B43</formula>
    </cfRule>
  </conditionalFormatting>
  <conditionalFormatting sqref="R54">
    <cfRule type="cellIs" dxfId="193" priority="226" stopIfTrue="1" operator="notEqual">
      <formula>$B54</formula>
    </cfRule>
    <cfRule type="cellIs" priority="227" stopIfTrue="1" operator="notEqual">
      <formula>$B54</formula>
    </cfRule>
  </conditionalFormatting>
  <conditionalFormatting sqref="R62:R63">
    <cfRule type="cellIs" dxfId="192" priority="223" stopIfTrue="1" operator="notEqual">
      <formula>$B62</formula>
    </cfRule>
    <cfRule type="cellIs" priority="224" stopIfTrue="1" operator="notEqual">
      <formula>$B62</formula>
    </cfRule>
  </conditionalFormatting>
  <conditionalFormatting sqref="R70">
    <cfRule type="cellIs" dxfId="191" priority="220" stopIfTrue="1" operator="notEqual">
      <formula>$B70</formula>
    </cfRule>
    <cfRule type="cellIs" priority="221" stopIfTrue="1" operator="notEqual">
      <formula>$B70</formula>
    </cfRule>
  </conditionalFormatting>
  <conditionalFormatting sqref="R65:R69">
    <cfRule type="cellIs" dxfId="190" priority="219" stopIfTrue="1" operator="notEqual">
      <formula>$B65</formula>
    </cfRule>
  </conditionalFormatting>
  <conditionalFormatting sqref="R77">
    <cfRule type="cellIs" dxfId="189" priority="217" stopIfTrue="1" operator="notEqual">
      <formula>$B77</formula>
    </cfRule>
    <cfRule type="cellIs" priority="218" stopIfTrue="1" operator="notEqual">
      <formula>$B77</formula>
    </cfRule>
  </conditionalFormatting>
  <conditionalFormatting sqref="R96">
    <cfRule type="cellIs" dxfId="188" priority="215" stopIfTrue="1" operator="notEqual">
      <formula>$B96</formula>
    </cfRule>
    <cfRule type="cellIs" priority="216" stopIfTrue="1" operator="notEqual">
      <formula>$B96</formula>
    </cfRule>
  </conditionalFormatting>
  <conditionalFormatting sqref="R72:R76">
    <cfRule type="cellIs" dxfId="187" priority="214" stopIfTrue="1" operator="notEqual">
      <formula>$B72</formula>
    </cfRule>
  </conditionalFormatting>
  <conditionalFormatting sqref="R79:R80">
    <cfRule type="cellIs" dxfId="186" priority="213" stopIfTrue="1" operator="notEqual">
      <formula>$B79</formula>
    </cfRule>
  </conditionalFormatting>
  <conditionalFormatting sqref="R104:R105">
    <cfRule type="cellIs" dxfId="185" priority="210" stopIfTrue="1" operator="notEqual">
      <formula>$B104</formula>
    </cfRule>
    <cfRule type="cellIs" priority="211" stopIfTrue="1" operator="notEqual">
      <formula>$B104</formula>
    </cfRule>
  </conditionalFormatting>
  <conditionalFormatting sqref="E105:Q105">
    <cfRule type="cellIs" dxfId="184" priority="208" stopIfTrue="1" operator="notEqual">
      <formula>E$108</formula>
    </cfRule>
  </conditionalFormatting>
  <conditionalFormatting sqref="S13">
    <cfRule type="expression" dxfId="183" priority="205" stopIfTrue="1">
      <formula>(S13+T13)&gt;C13</formula>
    </cfRule>
  </conditionalFormatting>
  <conditionalFormatting sqref="S14">
    <cfRule type="expression" dxfId="182" priority="202" stopIfTrue="1">
      <formula>(S14+T14)&gt;C14</formula>
    </cfRule>
  </conditionalFormatting>
  <conditionalFormatting sqref="S17">
    <cfRule type="expression" dxfId="181" priority="201" stopIfTrue="1">
      <formula>(S17+T17)&gt;C17</formula>
    </cfRule>
  </conditionalFormatting>
  <conditionalFormatting sqref="S18">
    <cfRule type="expression" dxfId="180" priority="193" stopIfTrue="1">
      <formula>(S18+T18)&gt;C18</formula>
    </cfRule>
  </conditionalFormatting>
  <conditionalFormatting sqref="S19">
    <cfRule type="expression" dxfId="179" priority="191" stopIfTrue="1">
      <formula>(S19+T19)&gt;C19</formula>
    </cfRule>
  </conditionalFormatting>
  <conditionalFormatting sqref="S20">
    <cfRule type="expression" dxfId="178" priority="190" stopIfTrue="1">
      <formula>(S20+T20)&gt;C20</formula>
    </cfRule>
  </conditionalFormatting>
  <conditionalFormatting sqref="S21">
    <cfRule type="expression" dxfId="177" priority="189" stopIfTrue="1">
      <formula>(S21+T21)&gt;C21</formula>
    </cfRule>
  </conditionalFormatting>
  <conditionalFormatting sqref="S22">
    <cfRule type="expression" dxfId="176" priority="188" stopIfTrue="1">
      <formula>(S22+T22)&gt;C22</formula>
    </cfRule>
  </conditionalFormatting>
  <conditionalFormatting sqref="S23:S24">
    <cfRule type="expression" dxfId="175" priority="187" stopIfTrue="1">
      <formula>(S23+T23)&gt;C23</formula>
    </cfRule>
  </conditionalFormatting>
  <conditionalFormatting sqref="S25">
    <cfRule type="expression" dxfId="174" priority="186" stopIfTrue="1">
      <formula>(S25+T25)&gt;C25</formula>
    </cfRule>
  </conditionalFormatting>
  <conditionalFormatting sqref="S27">
    <cfRule type="expression" dxfId="173" priority="179" stopIfTrue="1">
      <formula>(S27+T27)&gt;C27</formula>
    </cfRule>
  </conditionalFormatting>
  <conditionalFormatting sqref="S29">
    <cfRule type="expression" dxfId="172" priority="177" stopIfTrue="1">
      <formula>(S29+T29)&gt;C29</formula>
    </cfRule>
  </conditionalFormatting>
  <conditionalFormatting sqref="S30">
    <cfRule type="expression" dxfId="171" priority="175" stopIfTrue="1">
      <formula>(S30+T30)&gt;C30</formula>
    </cfRule>
  </conditionalFormatting>
  <conditionalFormatting sqref="S31">
    <cfRule type="expression" dxfId="170" priority="174" stopIfTrue="1">
      <formula>(S31+T31)&gt;C31</formula>
    </cfRule>
  </conditionalFormatting>
  <conditionalFormatting sqref="S32">
    <cfRule type="expression" dxfId="169" priority="173" stopIfTrue="1">
      <formula>(S32+T32)&gt;C32</formula>
    </cfRule>
  </conditionalFormatting>
  <conditionalFormatting sqref="S33">
    <cfRule type="expression" dxfId="168" priority="172" stopIfTrue="1">
      <formula>(S33+T33)&gt;C33</formula>
    </cfRule>
  </conditionalFormatting>
  <conditionalFormatting sqref="S34">
    <cfRule type="expression" dxfId="167" priority="171" stopIfTrue="1">
      <formula>(S34+T34)&gt;C34</formula>
    </cfRule>
  </conditionalFormatting>
  <conditionalFormatting sqref="S35:S36">
    <cfRule type="expression" dxfId="166" priority="170" stopIfTrue="1">
      <formula>(S35+T35)&gt;C35</formula>
    </cfRule>
  </conditionalFormatting>
  <conditionalFormatting sqref="S37">
    <cfRule type="expression" dxfId="165" priority="169" stopIfTrue="1">
      <formula>(S37+T37)&gt;C37</formula>
    </cfRule>
  </conditionalFormatting>
  <conditionalFormatting sqref="S40">
    <cfRule type="expression" dxfId="164" priority="161" stopIfTrue="1">
      <formula>(S40+T40)&gt;C40</formula>
    </cfRule>
  </conditionalFormatting>
  <conditionalFormatting sqref="S41">
    <cfRule type="expression" dxfId="163" priority="160" stopIfTrue="1">
      <formula>(S41+T41)&gt;C41</formula>
    </cfRule>
  </conditionalFormatting>
  <conditionalFormatting sqref="S43">
    <cfRule type="expression" dxfId="162" priority="157" stopIfTrue="1">
      <formula>(S43+T43)&gt;C43</formula>
    </cfRule>
  </conditionalFormatting>
  <conditionalFormatting sqref="S45">
    <cfRule type="expression" dxfId="161" priority="155" stopIfTrue="1">
      <formula>(S45+T45)&gt;C45</formula>
    </cfRule>
  </conditionalFormatting>
  <conditionalFormatting sqref="S46">
    <cfRule type="expression" dxfId="160" priority="150" stopIfTrue="1">
      <formula>(S46+T46)&gt;C46</formula>
    </cfRule>
  </conditionalFormatting>
  <conditionalFormatting sqref="S47">
    <cfRule type="expression" dxfId="159" priority="149" stopIfTrue="1">
      <formula>(S47+T47)&gt;C47</formula>
    </cfRule>
  </conditionalFormatting>
  <conditionalFormatting sqref="S48">
    <cfRule type="expression" dxfId="158" priority="148" stopIfTrue="1">
      <formula>(S48+T48)&gt;C48</formula>
    </cfRule>
  </conditionalFormatting>
  <conditionalFormatting sqref="S49">
    <cfRule type="expression" dxfId="157" priority="147" stopIfTrue="1">
      <formula>(S49+T49)&gt;C49</formula>
    </cfRule>
  </conditionalFormatting>
  <conditionalFormatting sqref="S50">
    <cfRule type="expression" dxfId="156" priority="146" stopIfTrue="1">
      <formula>(S50+T50)&gt;C50</formula>
    </cfRule>
  </conditionalFormatting>
  <conditionalFormatting sqref="S51">
    <cfRule type="expression" dxfId="155" priority="145" stopIfTrue="1">
      <formula>(S51+T51)&gt;C51</formula>
    </cfRule>
  </conditionalFormatting>
  <conditionalFormatting sqref="S52">
    <cfRule type="expression" dxfId="154" priority="144" stopIfTrue="1">
      <formula>(S52+T52)&gt;C52</formula>
    </cfRule>
  </conditionalFormatting>
  <conditionalFormatting sqref="S53">
    <cfRule type="expression" dxfId="153" priority="142" stopIfTrue="1">
      <formula>(S53+T53)&gt;C53</formula>
    </cfRule>
  </conditionalFormatting>
  <conditionalFormatting sqref="S65:S68">
    <cfRule type="expression" dxfId="152" priority="132" stopIfTrue="1">
      <formula>(S65+T65)&gt;C65</formula>
    </cfRule>
  </conditionalFormatting>
  <conditionalFormatting sqref="S69">
    <cfRule type="expression" dxfId="151" priority="131" stopIfTrue="1">
      <formula>(S69+T69)&gt;C69</formula>
    </cfRule>
  </conditionalFormatting>
  <conditionalFormatting sqref="S79">
    <cfRule type="expression" dxfId="150" priority="128" stopIfTrue="1">
      <formula>(S79+T79)&gt;C79</formula>
    </cfRule>
  </conditionalFormatting>
  <conditionalFormatting sqref="S80">
    <cfRule type="expression" dxfId="149" priority="127" stopIfTrue="1">
      <formula>(S80+T80)&gt;C80</formula>
    </cfRule>
  </conditionalFormatting>
  <conditionalFormatting sqref="S84">
    <cfRule type="expression" dxfId="148" priority="124" stopIfTrue="1">
      <formula>(S84+T84)&gt;C84</formula>
    </cfRule>
  </conditionalFormatting>
  <conditionalFormatting sqref="S85">
    <cfRule type="expression" dxfId="147" priority="123" stopIfTrue="1">
      <formula>(S85+T85)&gt;C85</formula>
    </cfRule>
  </conditionalFormatting>
  <conditionalFormatting sqref="S86">
    <cfRule type="expression" dxfId="146" priority="122" stopIfTrue="1">
      <formula>(S86+T86)&gt;C86</formula>
    </cfRule>
  </conditionalFormatting>
  <conditionalFormatting sqref="S87">
    <cfRule type="expression" dxfId="145" priority="121" stopIfTrue="1">
      <formula>(S87+T87)&gt;C87</formula>
    </cfRule>
  </conditionalFormatting>
  <conditionalFormatting sqref="S89">
    <cfRule type="expression" dxfId="144" priority="116" stopIfTrue="1">
      <formula>(S89+T89)&gt;C89</formula>
    </cfRule>
  </conditionalFormatting>
  <conditionalFormatting sqref="S90">
    <cfRule type="expression" dxfId="143" priority="115" stopIfTrue="1">
      <formula>(S90+T90)&gt;C90</formula>
    </cfRule>
  </conditionalFormatting>
  <conditionalFormatting sqref="S91">
    <cfRule type="expression" dxfId="142" priority="114" stopIfTrue="1">
      <formula>(S91+T91)&gt;C91</formula>
    </cfRule>
  </conditionalFormatting>
  <conditionalFormatting sqref="S92">
    <cfRule type="expression" dxfId="141" priority="113" stopIfTrue="1">
      <formula>(S92+T92)&gt;C92</formula>
    </cfRule>
  </conditionalFormatting>
  <conditionalFormatting sqref="S93">
    <cfRule type="expression" dxfId="140" priority="112" stopIfTrue="1">
      <formula>(S93+T93)&gt;C93</formula>
    </cfRule>
  </conditionalFormatting>
  <conditionalFormatting sqref="S94">
    <cfRule type="expression" dxfId="139" priority="111" stopIfTrue="1">
      <formula>(S94+T94)&gt;C94</formula>
    </cfRule>
  </conditionalFormatting>
  <conditionalFormatting sqref="S95">
    <cfRule type="expression" dxfId="138" priority="110" stopIfTrue="1">
      <formula>(S95+T95)&gt;C95</formula>
    </cfRule>
  </conditionalFormatting>
  <conditionalFormatting sqref="S99">
    <cfRule type="expression" dxfId="137" priority="98" stopIfTrue="1">
      <formula>(S99+T99)&gt;C99</formula>
    </cfRule>
  </conditionalFormatting>
  <conditionalFormatting sqref="S100">
    <cfRule type="expression" dxfId="136" priority="97" stopIfTrue="1">
      <formula>(S100+T100)&gt;C100</formula>
    </cfRule>
  </conditionalFormatting>
  <conditionalFormatting sqref="S101">
    <cfRule type="expression" dxfId="135" priority="95" stopIfTrue="1">
      <formula>(S101+T101)&gt;C101</formula>
    </cfRule>
  </conditionalFormatting>
  <conditionalFormatting sqref="S102">
    <cfRule type="expression" dxfId="134" priority="94" stopIfTrue="1">
      <formula>(S102+T102)&gt;C102</formula>
    </cfRule>
  </conditionalFormatting>
  <conditionalFormatting sqref="S103">
    <cfRule type="expression" dxfId="133" priority="93" stopIfTrue="1">
      <formula>(S103+T103)&gt;C103</formula>
    </cfRule>
  </conditionalFormatting>
  <conditionalFormatting sqref="C10">
    <cfRule type="expression" dxfId="132" priority="85">
      <formula>"(S10+T10)&gt;C10 "</formula>
    </cfRule>
  </conditionalFormatting>
  <conditionalFormatting sqref="T10">
    <cfRule type="expression" dxfId="131" priority="83" stopIfTrue="1">
      <formula>(S10+T10)&gt;C10</formula>
    </cfRule>
  </conditionalFormatting>
  <conditionalFormatting sqref="T13">
    <cfRule type="expression" dxfId="130" priority="81" stopIfTrue="1">
      <formula>(S13+T13)&gt;C13</formula>
    </cfRule>
  </conditionalFormatting>
  <conditionalFormatting sqref="T14">
    <cfRule type="expression" dxfId="129" priority="80" stopIfTrue="1">
      <formula>(S14+T14)&gt;C14</formula>
    </cfRule>
  </conditionalFormatting>
  <conditionalFormatting sqref="T17">
    <cfRule type="expression" dxfId="128" priority="79" stopIfTrue="1">
      <formula>(S17+T17)&gt;C17</formula>
    </cfRule>
  </conditionalFormatting>
  <conditionalFormatting sqref="T18">
    <cfRule type="expression" dxfId="127" priority="62" stopIfTrue="1">
      <formula>(S18+T18)&gt;C18</formula>
    </cfRule>
  </conditionalFormatting>
  <conditionalFormatting sqref="T19">
    <cfRule type="expression" dxfId="126" priority="61" stopIfTrue="1">
      <formula>(S19+T19)&gt;C19</formula>
    </cfRule>
  </conditionalFormatting>
  <conditionalFormatting sqref="T20">
    <cfRule type="expression" dxfId="125" priority="60" stopIfTrue="1">
      <formula>(S20+T20)&gt;C20</formula>
    </cfRule>
  </conditionalFormatting>
  <conditionalFormatting sqref="T21">
    <cfRule type="expression" dxfId="124" priority="59" stopIfTrue="1">
      <formula>(S21+T21)&gt;C21</formula>
    </cfRule>
  </conditionalFormatting>
  <conditionalFormatting sqref="T22">
    <cfRule type="expression" dxfId="123" priority="58" stopIfTrue="1">
      <formula>(S22+T22)&gt;C22</formula>
    </cfRule>
  </conditionalFormatting>
  <conditionalFormatting sqref="T23:T24">
    <cfRule type="expression" dxfId="122" priority="57" stopIfTrue="1">
      <formula>(S23+T23)&gt;C23</formula>
    </cfRule>
  </conditionalFormatting>
  <conditionalFormatting sqref="T25">
    <cfRule type="expression" dxfId="121" priority="56" stopIfTrue="1">
      <formula>(S25+T25)&gt;C25</formula>
    </cfRule>
  </conditionalFormatting>
  <conditionalFormatting sqref="T27">
    <cfRule type="expression" dxfId="120" priority="54" stopIfTrue="1">
      <formula>(S27+T27)&gt;C27</formula>
    </cfRule>
  </conditionalFormatting>
  <conditionalFormatting sqref="T29">
    <cfRule type="expression" dxfId="119" priority="53" stopIfTrue="1">
      <formula>(S29+T29)&gt;C29</formula>
    </cfRule>
  </conditionalFormatting>
  <conditionalFormatting sqref="T30">
    <cfRule type="expression" dxfId="118" priority="51" stopIfTrue="1">
      <formula>(S30+T30)&gt;C30</formula>
    </cfRule>
  </conditionalFormatting>
  <conditionalFormatting sqref="T31">
    <cfRule type="expression" dxfId="117" priority="50" stopIfTrue="1">
      <formula>(S31+T31)&gt;C31</formula>
    </cfRule>
  </conditionalFormatting>
  <conditionalFormatting sqref="T32">
    <cfRule type="expression" dxfId="116" priority="49" stopIfTrue="1">
      <formula>(S32+T32)&gt;C32</formula>
    </cfRule>
  </conditionalFormatting>
  <conditionalFormatting sqref="T33">
    <cfRule type="expression" dxfId="115" priority="48" stopIfTrue="1">
      <formula>(S33+T33)&gt;C33</formula>
    </cfRule>
  </conditionalFormatting>
  <conditionalFormatting sqref="T34">
    <cfRule type="expression" dxfId="114" priority="47" stopIfTrue="1">
      <formula>(S34+T34)&gt;C34</formula>
    </cfRule>
  </conditionalFormatting>
  <conditionalFormatting sqref="T35:T36">
    <cfRule type="expression" dxfId="113" priority="46" stopIfTrue="1">
      <formula>(S35+T35)&gt;C35</formula>
    </cfRule>
  </conditionalFormatting>
  <conditionalFormatting sqref="T37">
    <cfRule type="expression" dxfId="112" priority="45" stopIfTrue="1">
      <formula>(S37+T37)&gt;C37</formula>
    </cfRule>
  </conditionalFormatting>
  <conditionalFormatting sqref="T40">
    <cfRule type="expression" dxfId="111" priority="44" stopIfTrue="1">
      <formula>(S40+T40)&gt;C40</formula>
    </cfRule>
  </conditionalFormatting>
  <conditionalFormatting sqref="T41">
    <cfRule type="expression" dxfId="110" priority="43" stopIfTrue="1">
      <formula>(S41+T41)&gt;C41</formula>
    </cfRule>
  </conditionalFormatting>
  <conditionalFormatting sqref="T43">
    <cfRule type="expression" dxfId="109" priority="42" stopIfTrue="1">
      <formula>(S43+T43)&gt;C43</formula>
    </cfRule>
  </conditionalFormatting>
  <conditionalFormatting sqref="T45">
    <cfRule type="expression" dxfId="108" priority="41" stopIfTrue="1">
      <formula>(S45+T45)&gt;C45</formula>
    </cfRule>
  </conditionalFormatting>
  <conditionalFormatting sqref="T46">
    <cfRule type="expression" dxfId="107" priority="40" stopIfTrue="1">
      <formula>(S46+T46)&gt;C46</formula>
    </cfRule>
  </conditionalFormatting>
  <conditionalFormatting sqref="T47">
    <cfRule type="expression" dxfId="106" priority="39" stopIfTrue="1">
      <formula>(S47+T47)&gt;C47</formula>
    </cfRule>
  </conditionalFormatting>
  <conditionalFormatting sqref="T48">
    <cfRule type="expression" dxfId="105" priority="38" stopIfTrue="1">
      <formula>(S48+T48)&gt;C48</formula>
    </cfRule>
  </conditionalFormatting>
  <conditionalFormatting sqref="T49">
    <cfRule type="expression" dxfId="104" priority="37" stopIfTrue="1">
      <formula>(S49+T49)&gt;C49</formula>
    </cfRule>
  </conditionalFormatting>
  <conditionalFormatting sqref="T50">
    <cfRule type="expression" dxfId="103" priority="36" stopIfTrue="1">
      <formula>(S50+T50)&gt;C50</formula>
    </cfRule>
  </conditionalFormatting>
  <conditionalFormatting sqref="T51">
    <cfRule type="expression" dxfId="102" priority="35" stopIfTrue="1">
      <formula>(S51+T51)&gt;C51</formula>
    </cfRule>
  </conditionalFormatting>
  <conditionalFormatting sqref="T52">
    <cfRule type="expression" dxfId="101" priority="34" stopIfTrue="1">
      <formula>(S52+T52)&gt;C52</formula>
    </cfRule>
  </conditionalFormatting>
  <conditionalFormatting sqref="T53">
    <cfRule type="expression" dxfId="100" priority="32" stopIfTrue="1">
      <formula>(S53+T53)&gt;C53</formula>
    </cfRule>
  </conditionalFormatting>
  <conditionalFormatting sqref="T65:T68">
    <cfRule type="expression" dxfId="99" priority="31" stopIfTrue="1">
      <formula>(S65+T65)&gt;C65</formula>
    </cfRule>
  </conditionalFormatting>
  <conditionalFormatting sqref="T69">
    <cfRule type="expression" dxfId="98" priority="30" stopIfTrue="1">
      <formula>(S69+T69)&gt;C69</formula>
    </cfRule>
  </conditionalFormatting>
  <conditionalFormatting sqref="T79">
    <cfRule type="expression" dxfId="97" priority="29" stopIfTrue="1">
      <formula>(S79+T79)&gt;C79</formula>
    </cfRule>
  </conditionalFormatting>
  <conditionalFormatting sqref="T80">
    <cfRule type="expression" dxfId="96" priority="28" stopIfTrue="1">
      <formula>(S80+T80)&gt;C80</formula>
    </cfRule>
  </conditionalFormatting>
  <conditionalFormatting sqref="T84">
    <cfRule type="expression" dxfId="95" priority="27" stopIfTrue="1">
      <formula>(S84+T84)&gt;C84</formula>
    </cfRule>
  </conditionalFormatting>
  <conditionalFormatting sqref="T85">
    <cfRule type="expression" dxfId="94" priority="26" stopIfTrue="1">
      <formula>(S85+T85)&gt;C85</formula>
    </cfRule>
  </conditionalFormatting>
  <conditionalFormatting sqref="T86">
    <cfRule type="expression" dxfId="93" priority="25" stopIfTrue="1">
      <formula>(S86+T86)&gt;C86</formula>
    </cfRule>
  </conditionalFormatting>
  <conditionalFormatting sqref="T87">
    <cfRule type="expression" dxfId="92" priority="24" stopIfTrue="1">
      <formula>(S87+T87)&gt;C87</formula>
    </cfRule>
  </conditionalFormatting>
  <conditionalFormatting sqref="T89">
    <cfRule type="expression" dxfId="91" priority="23" stopIfTrue="1">
      <formula>(S89+T89)&gt;C89</formula>
    </cfRule>
  </conditionalFormatting>
  <conditionalFormatting sqref="T90">
    <cfRule type="expression" dxfId="90" priority="22" stopIfTrue="1">
      <formula>(S90+T90)&gt;C90</formula>
    </cfRule>
  </conditionalFormatting>
  <conditionalFormatting sqref="T91">
    <cfRule type="expression" dxfId="89" priority="21" stopIfTrue="1">
      <formula>(S91+T91)&gt;C91</formula>
    </cfRule>
  </conditionalFormatting>
  <conditionalFormatting sqref="T92">
    <cfRule type="expression" dxfId="88" priority="20" stopIfTrue="1">
      <formula>(S92+T92)&gt;C92</formula>
    </cfRule>
  </conditionalFormatting>
  <conditionalFormatting sqref="T93">
    <cfRule type="expression" dxfId="87" priority="19" stopIfTrue="1">
      <formula>(S93+T93)&gt;C93</formula>
    </cfRule>
  </conditionalFormatting>
  <conditionalFormatting sqref="T94">
    <cfRule type="expression" dxfId="86" priority="18" stopIfTrue="1">
      <formula>(S94+T94)&gt;C94</formula>
    </cfRule>
  </conditionalFormatting>
  <conditionalFormatting sqref="T95">
    <cfRule type="expression" dxfId="85" priority="17" stopIfTrue="1">
      <formula>(S95+T95)&gt;C95</formula>
    </cfRule>
  </conditionalFormatting>
  <conditionalFormatting sqref="T99">
    <cfRule type="expression" dxfId="84" priority="14" stopIfTrue="1">
      <formula>(S99+T99)&gt;C99</formula>
    </cfRule>
  </conditionalFormatting>
  <conditionalFormatting sqref="T100">
    <cfRule type="expression" dxfId="83" priority="13" stopIfTrue="1">
      <formula>(S100+T100)&gt;C100</formula>
    </cfRule>
  </conditionalFormatting>
  <conditionalFormatting sqref="T101">
    <cfRule type="expression" dxfId="82" priority="11" stopIfTrue="1">
      <formula>(S101+T101)&gt;C101</formula>
    </cfRule>
  </conditionalFormatting>
  <conditionalFormatting sqref="T102">
    <cfRule type="expression" dxfId="81" priority="10" stopIfTrue="1">
      <formula>(S102+T102)&gt;C102</formula>
    </cfRule>
  </conditionalFormatting>
  <conditionalFormatting sqref="T103">
    <cfRule type="expression" dxfId="80" priority="9" stopIfTrue="1">
      <formula>(S103+T103)&gt;C103</formula>
    </cfRule>
  </conditionalFormatting>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75" zoomScaleNormal="100" zoomScaleSheetLayoutView="80" workbookViewId="0">
      <selection activeCell="AS694" sqref="AS694"/>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6" t="s">
        <v>101</v>
      </c>
      <c r="B8" s="1726"/>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1726"/>
      <c r="AE8" s="1726"/>
      <c r="AF8" s="1726"/>
      <c r="AG8" s="1726"/>
      <c r="AH8" s="1726"/>
      <c r="AI8" s="1726"/>
      <c r="AJ8" s="1726"/>
      <c r="AK8" s="1726"/>
      <c r="AL8" s="1726"/>
      <c r="AM8" s="935"/>
      <c r="AN8" s="935"/>
      <c r="AO8" s="935"/>
      <c r="AP8" s="935"/>
      <c r="AQ8" s="935"/>
      <c r="AR8" s="935"/>
      <c r="AS8" s="935"/>
      <c r="AT8" s="935"/>
      <c r="AU8" s="935"/>
      <c r="AV8" s="935"/>
      <c r="AW8" s="935"/>
      <c r="AX8" s="935"/>
      <c r="AY8" s="935"/>
    </row>
    <row r="9" spans="1:51" ht="12.95" customHeight="1">
      <c r="A9" s="1300" t="s">
        <v>2480</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64" t="s">
        <v>2622</v>
      </c>
      <c r="B12" s="1565"/>
      <c r="C12" s="1565"/>
      <c r="D12" s="1565"/>
      <c r="E12" s="1565"/>
      <c r="F12" s="1565"/>
      <c r="G12" s="1565"/>
      <c r="H12" s="1565"/>
      <c r="I12" s="1565"/>
      <c r="J12" s="1565"/>
      <c r="K12" s="1565"/>
      <c r="L12" s="1565"/>
      <c r="M12" s="1565"/>
      <c r="N12" s="1565"/>
      <c r="O12" s="1565"/>
      <c r="P12" s="1565"/>
      <c r="Q12" s="1565"/>
      <c r="R12" s="1565"/>
      <c r="S12" s="1565"/>
      <c r="T12" s="1565"/>
      <c r="U12" s="1565"/>
      <c r="V12" s="1565"/>
      <c r="W12" s="1565"/>
      <c r="X12" s="1565"/>
      <c r="Y12" s="1565"/>
      <c r="Z12" s="1565"/>
      <c r="AA12" s="1565"/>
      <c r="AB12" s="1565"/>
      <c r="AC12" s="1565"/>
      <c r="AD12" s="1565"/>
      <c r="AE12" s="1565"/>
      <c r="AF12" s="1565"/>
      <c r="AG12" s="1565"/>
      <c r="AH12" s="1565"/>
      <c r="AI12" s="1565"/>
      <c r="AJ12" s="1565"/>
      <c r="AK12" s="1565"/>
      <c r="AL12" s="1565"/>
      <c r="AM12" s="6"/>
      <c r="AN12" s="6"/>
      <c r="AO12" s="6"/>
      <c r="AP12" s="6"/>
      <c r="AQ12" s="6"/>
      <c r="AR12" s="6"/>
      <c r="AS12" s="6"/>
      <c r="AT12" s="6"/>
      <c r="AU12" s="6"/>
      <c r="AV12" s="6"/>
      <c r="AW12" s="6"/>
      <c r="AX12" s="6"/>
      <c r="AY12" s="6"/>
    </row>
    <row r="13" spans="1:51" ht="12.95" customHeight="1">
      <c r="A13" s="1270" t="s">
        <v>2481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2482</v>
      </c>
      <c r="C16" s="4"/>
      <c r="D16" s="4"/>
      <c r="E16" s="4"/>
      <c r="F16" s="4"/>
      <c r="G16" s="4"/>
      <c r="H16" s="1567" t="s">
        <v>2625</v>
      </c>
      <c r="I16" s="1555"/>
      <c r="J16" s="1555"/>
      <c r="K16" s="1555"/>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c r="AH16" s="1555"/>
      <c r="AI16" s="1555"/>
      <c r="AJ16" s="1555"/>
    </row>
    <row r="17" spans="1:52" ht="12.95" customHeight="1"/>
    <row r="18" spans="1:52" ht="12.95" customHeight="1">
      <c r="A18" s="57" t="s">
        <v>102</v>
      </c>
      <c r="C18" s="4"/>
      <c r="D18" s="4"/>
      <c r="E18" s="4"/>
      <c r="F18" s="4"/>
      <c r="G18" s="4"/>
      <c r="H18" s="1515" t="s">
        <v>2626</v>
      </c>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row>
    <row r="19" spans="1:52" ht="12.95" customHeight="1"/>
    <row r="20" spans="1:52" ht="12.95" customHeight="1">
      <c r="A20" s="1561" t="s">
        <v>902</v>
      </c>
      <c r="B20" s="1561"/>
      <c r="C20" s="1561"/>
      <c r="D20" s="1561"/>
      <c r="E20" s="1561"/>
      <c r="F20" s="1561"/>
      <c r="G20" s="1561"/>
      <c r="H20" s="1561"/>
      <c r="I20" s="1561"/>
      <c r="J20" s="1561"/>
      <c r="K20" s="1561"/>
      <c r="L20" s="1561"/>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937"/>
      <c r="AN20" s="937"/>
      <c r="AO20" s="937"/>
      <c r="AP20" s="937"/>
      <c r="AQ20" s="937"/>
      <c r="AR20" s="937"/>
      <c r="AS20" s="937"/>
      <c r="AT20" s="937"/>
      <c r="AU20" s="937"/>
      <c r="AV20" s="937"/>
      <c r="AW20" s="937"/>
      <c r="AX20" s="937"/>
      <c r="AY20" s="937"/>
    </row>
    <row r="21" spans="1:52" ht="12.95" customHeight="1">
      <c r="A21" s="1568" t="s">
        <v>1067</v>
      </c>
      <c r="B21" s="1568"/>
      <c r="C21" s="1568"/>
      <c r="D21" s="1568"/>
      <c r="E21" s="1568"/>
      <c r="F21" s="1568"/>
      <c r="G21" s="1568"/>
      <c r="H21" s="1568"/>
      <c r="I21" s="1568"/>
      <c r="J21" s="1568"/>
      <c r="K21" s="1568"/>
      <c r="L21" s="15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6">
        <f>'Basis &amp; Credits'!AB56</f>
        <v>1900776</v>
      </c>
      <c r="N26" s="1566"/>
      <c r="O26" s="1566"/>
      <c r="P26" s="1566"/>
      <c r="Q26" s="1566"/>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0">
        <f>'Basis &amp; Credits'!AB77</f>
        <v>5638254</v>
      </c>
      <c r="N27" s="1500"/>
      <c r="O27" s="1500"/>
      <c r="P27" s="1500"/>
      <c r="Q27" s="1500"/>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97" t="s">
        <v>555</v>
      </c>
      <c r="P33" s="1397"/>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58">
        <v>18</v>
      </c>
      <c r="H122" s="1558"/>
      <c r="I122" s="3" t="s">
        <v>183</v>
      </c>
      <c r="L122" s="1558" t="s">
        <v>2627</v>
      </c>
      <c r="M122" s="1558"/>
      <c r="N122" s="1558"/>
      <c r="O122" s="1573" t="s">
        <v>2628</v>
      </c>
      <c r="P122" s="1573"/>
      <c r="Q122" s="1573"/>
      <c r="R122" s="157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538" t="s">
        <v>2629</v>
      </c>
      <c r="D124" s="1538"/>
      <c r="E124" s="1538"/>
      <c r="F124" s="1538"/>
      <c r="G124" s="1538"/>
      <c r="H124" s="1538"/>
      <c r="I124" s="1538"/>
      <c r="J124" s="1538"/>
      <c r="K124" s="153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58"/>
      <c r="Z126" s="1558"/>
      <c r="AA126" s="1558"/>
      <c r="AB126" s="1558"/>
      <c r="AC126" s="1558"/>
      <c r="AD126" s="1558"/>
      <c r="AE126" s="1558"/>
      <c r="AF126" s="1558"/>
      <c r="AG126" s="1558"/>
      <c r="AH126" s="1558"/>
      <c r="AI126" s="1558"/>
      <c r="AJ126" s="1558"/>
      <c r="AK126" s="1558"/>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58" t="s">
        <v>2630</v>
      </c>
      <c r="Z129" s="1558"/>
      <c r="AA129" s="1558"/>
      <c r="AB129" s="1558"/>
      <c r="AC129" s="1558"/>
      <c r="AD129" s="1558"/>
      <c r="AE129" s="1558"/>
      <c r="AF129" s="1558"/>
      <c r="AG129" s="1558"/>
      <c r="AH129" s="1558"/>
      <c r="AI129" s="1558"/>
      <c r="AJ129" s="1558"/>
      <c r="AK129" s="1558"/>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58" t="s">
        <v>2631</v>
      </c>
      <c r="Z132" s="1558"/>
      <c r="AA132" s="1558"/>
      <c r="AB132" s="1558"/>
      <c r="AC132" s="1558"/>
      <c r="AD132" s="1558"/>
      <c r="AE132" s="1558"/>
      <c r="AF132" s="1558"/>
      <c r="AG132" s="1558"/>
      <c r="AH132" s="1558"/>
      <c r="AI132" s="1558"/>
      <c r="AJ132" s="1558"/>
      <c r="AK132" s="1558"/>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15" t="s">
        <v>2632</v>
      </c>
      <c r="P153" s="1535"/>
      <c r="Q153" s="1535"/>
      <c r="R153" s="1535"/>
      <c r="S153" s="1535"/>
      <c r="T153" s="1535"/>
      <c r="U153" s="1535"/>
      <c r="V153" s="1535"/>
      <c r="W153" s="1535"/>
      <c r="X153" s="1535"/>
      <c r="Y153" s="1535"/>
      <c r="Z153" s="1535"/>
      <c r="AA153" s="1535"/>
      <c r="AB153" s="1535"/>
      <c r="AC153" s="1535"/>
      <c r="AD153" s="1535"/>
      <c r="AE153" s="1535"/>
      <c r="AF153" s="1535"/>
      <c r="AG153" s="1535"/>
      <c r="AH153" s="1535"/>
    </row>
    <row r="154" spans="1:72" ht="12.95" customHeight="1">
      <c r="D154" s="325" t="s">
        <v>443</v>
      </c>
      <c r="O154" s="1537" t="s">
        <v>2633</v>
      </c>
      <c r="P154" s="1433"/>
      <c r="Q154" s="1433"/>
      <c r="R154" s="1433"/>
      <c r="S154" s="1433"/>
      <c r="T154" s="1433"/>
      <c r="U154" s="1433"/>
      <c r="V154" s="1433"/>
      <c r="W154" s="1433"/>
      <c r="X154" s="1433"/>
      <c r="Y154" s="1433"/>
      <c r="Z154" s="1433"/>
      <c r="AA154" s="1433"/>
      <c r="AB154" s="1433"/>
      <c r="AC154" s="1433"/>
      <c r="AD154" s="1433"/>
      <c r="AE154" s="1433"/>
      <c r="AF154" s="1433"/>
      <c r="AG154" s="1433"/>
      <c r="AH154" s="1433"/>
    </row>
    <row r="155" spans="1:72" ht="12.95" customHeight="1">
      <c r="D155" s="8" t="s">
        <v>445</v>
      </c>
      <c r="F155" s="8"/>
      <c r="G155" s="8"/>
      <c r="H155" s="8"/>
      <c r="I155" s="8"/>
      <c r="J155" s="8"/>
      <c r="K155" s="8"/>
      <c r="L155" s="8"/>
      <c r="M155" s="8"/>
      <c r="N155" s="8"/>
      <c r="O155" s="1570" t="s">
        <v>444</v>
      </c>
      <c r="P155" s="1570"/>
      <c r="Q155" s="1570"/>
      <c r="R155" s="1570"/>
      <c r="S155" s="1570"/>
      <c r="T155" s="1570"/>
      <c r="U155" s="1570"/>
      <c r="V155" s="1570"/>
      <c r="W155" s="1570"/>
      <c r="X155" s="1570"/>
      <c r="Y155" s="1570"/>
      <c r="Z155" s="1570"/>
      <c r="AA155" s="1570"/>
      <c r="AB155" s="1570"/>
      <c r="AC155" s="1570"/>
      <c r="AD155" s="1570"/>
      <c r="AE155" s="1570"/>
      <c r="AF155" s="1570"/>
      <c r="AG155" s="1570"/>
      <c r="AH155" s="1570"/>
    </row>
    <row r="156" spans="1:72" ht="12.95" customHeight="1">
      <c r="D156" t="s">
        <v>315</v>
      </c>
      <c r="O156" s="1408" t="s">
        <v>2634</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309</v>
      </c>
    </row>
    <row r="157" spans="1:72" ht="12.95" customHeight="1">
      <c r="D157" t="s">
        <v>316</v>
      </c>
      <c r="O157" s="1515" t="s">
        <v>2635</v>
      </c>
      <c r="P157" s="1535"/>
      <c r="Q157" s="1535"/>
      <c r="R157" s="1535"/>
      <c r="S157" s="1535"/>
      <c r="T157" s="1535"/>
      <c r="U157" s="1535"/>
      <c r="V157" s="1535"/>
      <c r="W157" s="1535"/>
      <c r="X157" s="1535"/>
      <c r="Y157" s="8"/>
      <c r="Z157" s="8"/>
      <c r="AA157" s="8"/>
      <c r="AB157" s="8"/>
      <c r="AC157" s="8"/>
      <c r="AD157" s="8"/>
      <c r="AE157" s="8"/>
      <c r="AF157" s="8"/>
      <c r="BN157" s="23" t="s">
        <v>646</v>
      </c>
      <c r="BT157" t="s">
        <v>486</v>
      </c>
    </row>
    <row r="158" spans="1:72" ht="12.95" customHeight="1">
      <c r="D158" t="s">
        <v>317</v>
      </c>
      <c r="O158" s="1571">
        <v>95928</v>
      </c>
      <c r="P158" s="1571"/>
      <c r="Q158" s="1571"/>
      <c r="R158" s="1571"/>
      <c r="S158" s="9"/>
      <c r="T158" s="9"/>
      <c r="U158" s="9"/>
      <c r="V158" s="9"/>
      <c r="W158" s="9"/>
      <c r="X158" s="9"/>
      <c r="Y158" s="9"/>
      <c r="Z158" s="9"/>
      <c r="AA158" s="9"/>
      <c r="AB158" s="9"/>
      <c r="AC158" s="9"/>
      <c r="AD158" s="9"/>
      <c r="AE158" s="9"/>
      <c r="AF158" s="9"/>
      <c r="BN158" s="23" t="s">
        <v>647</v>
      </c>
      <c r="BT158" t="s">
        <v>487</v>
      </c>
    </row>
    <row r="159" spans="1:72" ht="12.95" customHeight="1">
      <c r="D159" t="s">
        <v>318</v>
      </c>
      <c r="O159" s="1539">
        <v>5308967200</v>
      </c>
      <c r="P159" s="1539"/>
      <c r="Q159" s="1539"/>
      <c r="R159" s="1539"/>
      <c r="S159" s="1539"/>
      <c r="T159" s="1539"/>
      <c r="V159" s="97" t="s">
        <v>273</v>
      </c>
      <c r="W159" s="1572"/>
      <c r="X159" s="1572"/>
      <c r="Y159" s="10"/>
      <c r="Z159" s="10"/>
      <c r="AA159" s="10"/>
      <c r="AB159" s="10"/>
      <c r="AC159" s="10"/>
      <c r="AD159" s="10"/>
      <c r="AE159" s="10"/>
      <c r="AF159" s="10"/>
      <c r="BN159" s="23" t="s">
        <v>341</v>
      </c>
      <c r="BT159" t="s">
        <v>488</v>
      </c>
    </row>
    <row r="160" spans="1:72" ht="12.95" customHeight="1">
      <c r="D160" t="s">
        <v>319</v>
      </c>
      <c r="O160" s="1539">
        <v>5308954825</v>
      </c>
      <c r="P160" s="1539"/>
      <c r="Q160" s="1539"/>
      <c r="R160" s="1539"/>
      <c r="S160" s="1539"/>
      <c r="T160" s="1539"/>
      <c r="U160" s="10"/>
      <c r="V160" s="10"/>
      <c r="W160" s="10"/>
      <c r="X160" s="10"/>
      <c r="Y160" s="10"/>
      <c r="Z160" s="10"/>
      <c r="AA160" s="10"/>
      <c r="AB160" s="10"/>
      <c r="AC160" s="10"/>
      <c r="AD160" s="10"/>
      <c r="AE160" s="10"/>
      <c r="AF160" s="10"/>
      <c r="BN160" s="23" t="s">
        <v>670</v>
      </c>
      <c r="BT160" t="s">
        <v>489</v>
      </c>
    </row>
    <row r="161" spans="1:72" ht="12.95" customHeight="1">
      <c r="D161" t="s">
        <v>320</v>
      </c>
      <c r="O161" s="1540" t="s">
        <v>2636</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541" t="s">
        <v>1388</v>
      </c>
      <c r="E164" s="1541"/>
      <c r="F164" s="1541"/>
      <c r="G164" s="1541"/>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c r="AB164" s="1541"/>
      <c r="AC164" s="1541"/>
      <c r="AD164" s="1541"/>
      <c r="AE164" s="1541"/>
      <c r="AF164" s="1541"/>
      <c r="AG164" s="1541"/>
      <c r="AH164" s="1541"/>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52" t="s">
        <v>549</v>
      </c>
      <c r="B169" s="1452"/>
      <c r="C169" s="1452"/>
      <c r="D169" s="1452"/>
      <c r="E169" s="1452"/>
      <c r="F169" s="1452"/>
      <c r="G169" s="1452"/>
      <c r="H169" s="1452"/>
      <c r="I169" s="1452"/>
      <c r="J169" s="1452"/>
      <c r="K169" s="1452"/>
      <c r="L169" s="1452"/>
      <c r="M169" s="1452"/>
      <c r="N169" s="1452"/>
      <c r="O169" s="1452"/>
      <c r="P169" s="1452"/>
      <c r="Q169" s="1452"/>
      <c r="R169" s="1452"/>
      <c r="S169" s="1452"/>
      <c r="T169" s="1452"/>
      <c r="U169" s="1452"/>
      <c r="V169" s="1452"/>
      <c r="W169" s="1452"/>
      <c r="X169" s="1452"/>
      <c r="Y169" s="1452"/>
      <c r="Z169" s="1452"/>
      <c r="AA169" s="1452"/>
      <c r="AB169" s="1452"/>
      <c r="AC169" s="1452"/>
      <c r="AD169" s="1452"/>
      <c r="AE169" s="1452"/>
      <c r="AF169" s="1452"/>
      <c r="AG169" s="1452"/>
      <c r="AH169" s="1452"/>
      <c r="AI169" s="1452"/>
      <c r="AJ169" s="1452"/>
      <c r="AK169" s="1452"/>
      <c r="AL169" s="1452"/>
      <c r="AM169" s="95"/>
      <c r="AN169" s="95"/>
      <c r="AO169" s="95"/>
      <c r="AP169" s="95"/>
      <c r="AQ169" s="95"/>
      <c r="AR169" s="95"/>
      <c r="AS169" s="95"/>
      <c r="AT169" s="95"/>
      <c r="AU169" s="95"/>
      <c r="AV169" s="95"/>
      <c r="AW169" s="95"/>
      <c r="AX169" s="95"/>
      <c r="AY169" s="95"/>
      <c r="BN169" s="23" t="s">
        <v>683</v>
      </c>
      <c r="BT169" t="s">
        <v>498</v>
      </c>
    </row>
    <row r="170" spans="1:72" ht="12.95" customHeight="1" thickBot="1">
      <c r="A170" s="1453"/>
      <c r="B170" s="1453"/>
      <c r="C170" s="1453"/>
      <c r="D170" s="1453"/>
      <c r="E170" s="1453"/>
      <c r="F170" s="1453"/>
      <c r="G170" s="1453"/>
      <c r="H170" s="1453"/>
      <c r="I170" s="1453"/>
      <c r="J170" s="1453"/>
      <c r="K170" s="1453"/>
      <c r="L170" s="1453"/>
      <c r="M170" s="1453"/>
      <c r="N170" s="1453"/>
      <c r="O170" s="1453"/>
      <c r="P170" s="1453"/>
      <c r="Q170" s="1453"/>
      <c r="R170" s="1453"/>
      <c r="S170" s="1453"/>
      <c r="T170" s="1453"/>
      <c r="U170" s="1453"/>
      <c r="V170" s="1453"/>
      <c r="W170" s="1453"/>
      <c r="X170" s="1453"/>
      <c r="Y170" s="1453"/>
      <c r="Z170" s="1453"/>
      <c r="AA170" s="1453"/>
      <c r="AB170" s="1453"/>
      <c r="AC170" s="1453"/>
      <c r="AD170" s="1453"/>
      <c r="AE170" s="1453"/>
      <c r="AF170" s="1453"/>
      <c r="AG170" s="1453"/>
      <c r="AH170" s="1453"/>
      <c r="AI170" s="1453"/>
      <c r="AJ170" s="1453"/>
      <c r="AK170" s="1453"/>
      <c r="AL170" s="1453"/>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69" t="s">
        <v>373</v>
      </c>
      <c r="K173" s="1569"/>
      <c r="L173" s="1569"/>
      <c r="M173" s="1569"/>
      <c r="N173" s="1569"/>
      <c r="O173" s="1569"/>
      <c r="P173" s="1569"/>
      <c r="Q173" s="1569"/>
      <c r="R173" s="1569"/>
      <c r="S173" s="1569"/>
      <c r="U173" s="25"/>
      <c r="X173" s="25"/>
      <c r="BN173" s="23" t="s">
        <v>216</v>
      </c>
      <c r="BT173" t="s">
        <v>502</v>
      </c>
    </row>
    <row r="174" spans="1:72" ht="12.95" customHeight="1">
      <c r="C174" s="24"/>
      <c r="D174" s="3" t="s">
        <v>1346</v>
      </c>
      <c r="J174" s="1408" t="s">
        <v>2530</v>
      </c>
      <c r="K174" s="1408"/>
      <c r="L174" s="1408"/>
      <c r="M174" s="1408"/>
      <c r="N174" s="1408"/>
      <c r="O174" s="1408"/>
      <c r="P174" s="1408"/>
      <c r="Q174" s="1408"/>
      <c r="R174" s="1408"/>
      <c r="S174" s="1408"/>
      <c r="T174" s="1408"/>
      <c r="U174" s="1408"/>
      <c r="V174" s="1408"/>
      <c r="W174" s="1408"/>
      <c r="X174" s="1408"/>
      <c r="Y174" s="1408"/>
      <c r="Z174" s="1408"/>
      <c r="AA174" s="1408"/>
      <c r="AB174" s="1408"/>
      <c r="BN174" s="23" t="s">
        <v>218</v>
      </c>
      <c r="BT174" t="s">
        <v>503</v>
      </c>
    </row>
    <row r="175" spans="1:72" ht="12.95" customHeight="1">
      <c r="C175" s="8"/>
      <c r="D175" s="3" t="s">
        <v>324</v>
      </c>
      <c r="O175" s="27"/>
      <c r="U175" s="1397" t="s">
        <v>555</v>
      </c>
      <c r="V175" s="1397"/>
      <c r="BN175" s="23" t="s">
        <v>219</v>
      </c>
      <c r="BT175" t="s">
        <v>504</v>
      </c>
    </row>
    <row r="176" spans="1:72" ht="12.95" customHeight="1">
      <c r="C176" s="8"/>
      <c r="D176" s="26"/>
      <c r="E176" t="s">
        <v>306</v>
      </c>
      <c r="O176" s="27"/>
      <c r="P176" t="s">
        <v>2502</v>
      </c>
      <c r="T176" s="27" t="s">
        <v>307</v>
      </c>
      <c r="U176" s="1562">
        <v>22</v>
      </c>
      <c r="V176" s="1562"/>
      <c r="W176" s="1" t="s">
        <v>308</v>
      </c>
      <c r="X176" s="1574">
        <v>595</v>
      </c>
      <c r="Y176" s="1574"/>
      <c r="BN176" s="23" t="s">
        <v>221</v>
      </c>
      <c r="BT176" t="s">
        <v>505</v>
      </c>
    </row>
    <row r="177" spans="1:72" ht="12.95" customHeight="1">
      <c r="C177" s="24"/>
      <c r="D177" t="s">
        <v>251</v>
      </c>
      <c r="R177" s="1397" t="s">
        <v>679</v>
      </c>
      <c r="S177" s="1397"/>
      <c r="BN177" s="23" t="s">
        <v>222</v>
      </c>
      <c r="BT177" t="s">
        <v>506</v>
      </c>
    </row>
    <row r="178" spans="1:72" ht="12.95" customHeight="1">
      <c r="C178" s="24"/>
      <c r="D178" s="3" t="s">
        <v>1347</v>
      </c>
      <c r="AA178" t="s">
        <v>2502</v>
      </c>
      <c r="AE178" s="27" t="s">
        <v>307</v>
      </c>
      <c r="AF178" s="1732"/>
      <c r="AG178" s="1732"/>
      <c r="AH178" s="1" t="s">
        <v>308</v>
      </c>
      <c r="AI178" s="1543"/>
      <c r="AJ178" s="1543"/>
      <c r="AK178" s="1543"/>
      <c r="BN178" s="23" t="s">
        <v>223</v>
      </c>
      <c r="BT178" t="s">
        <v>53</v>
      </c>
    </row>
    <row r="179" spans="1:72" ht="12.95" customHeight="1">
      <c r="C179" s="24"/>
      <c r="BN179" s="23" t="s">
        <v>224</v>
      </c>
      <c r="BT179" t="s">
        <v>54</v>
      </c>
    </row>
    <row r="180" spans="1:72" ht="12.95" customHeight="1">
      <c r="C180" s="24"/>
      <c r="D180" t="s">
        <v>2503</v>
      </c>
      <c r="X180" s="1397" t="s">
        <v>679</v>
      </c>
      <c r="Y180" s="1397"/>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4" t="str">
        <f>H18</f>
        <v>Cussick Apartments</v>
      </c>
      <c r="J184" s="1514"/>
      <c r="K184" s="1514"/>
      <c r="L184" s="1514"/>
      <c r="M184" s="1514"/>
      <c r="N184" s="1514"/>
      <c r="O184" s="1514"/>
      <c r="P184" s="1514"/>
      <c r="Q184" s="1514"/>
      <c r="R184" s="1514"/>
      <c r="S184" s="1514"/>
      <c r="T184" s="1514"/>
      <c r="U184" s="1514"/>
      <c r="V184" s="1514"/>
      <c r="W184" s="1514"/>
      <c r="X184" s="1514"/>
      <c r="Y184" s="1514"/>
      <c r="Z184" s="1514"/>
      <c r="AA184" s="1514"/>
      <c r="AB184" s="1514"/>
      <c r="AC184" s="1514"/>
      <c r="AD184" s="1514"/>
      <c r="AE184" s="1514"/>
      <c r="BC184" t="s">
        <v>597</v>
      </c>
      <c r="BN184" s="23" t="s">
        <v>232</v>
      </c>
      <c r="BT184" t="s">
        <v>62</v>
      </c>
    </row>
    <row r="185" spans="1:72" ht="12.95" customHeight="1">
      <c r="C185" s="21"/>
      <c r="D185" t="s">
        <v>589</v>
      </c>
      <c r="I185" s="1393" t="s">
        <v>2637</v>
      </c>
      <c r="J185" s="1393"/>
      <c r="K185" s="1393"/>
      <c r="L185" s="1393"/>
      <c r="M185" s="1393"/>
      <c r="N185" s="1393"/>
      <c r="O185" s="1393"/>
      <c r="P185" s="1393"/>
      <c r="Q185" s="1393"/>
      <c r="R185" s="1393"/>
      <c r="S185" s="1393"/>
      <c r="T185" s="1393"/>
      <c r="U185" s="1393"/>
      <c r="V185" s="1393"/>
      <c r="W185" s="1393"/>
      <c r="X185" s="1393"/>
      <c r="Y185" s="1393"/>
      <c r="Z185" s="1393"/>
      <c r="AA185" s="1393"/>
      <c r="AB185" s="1393"/>
      <c r="AC185" s="1393"/>
      <c r="AD185" s="1393"/>
      <c r="AE185" s="1393"/>
      <c r="BC185" t="s">
        <v>598</v>
      </c>
      <c r="BN185" s="23" t="s">
        <v>233</v>
      </c>
      <c r="BT185" t="s">
        <v>63</v>
      </c>
    </row>
    <row r="186" spans="1:72" ht="12.95" customHeight="1">
      <c r="C186" s="21"/>
      <c r="E186" t="s">
        <v>169</v>
      </c>
      <c r="BN186" s="23" t="s">
        <v>234</v>
      </c>
      <c r="BT186" t="s">
        <v>64</v>
      </c>
    </row>
    <row r="187" spans="1:72" ht="12.95" customHeight="1">
      <c r="C187" s="21"/>
      <c r="E187" s="1455" t="s">
        <v>2637</v>
      </c>
      <c r="F187" s="1455"/>
      <c r="G187" s="1455"/>
      <c r="H187" s="1455"/>
      <c r="I187" s="1455"/>
      <c r="J187" s="1455"/>
      <c r="K187" s="1455"/>
      <c r="L187" s="1455"/>
      <c r="M187" s="1455"/>
      <c r="N187" s="1455"/>
      <c r="O187" s="1455"/>
      <c r="P187" s="1455"/>
      <c r="Q187" s="1455"/>
      <c r="R187" s="1455"/>
      <c r="S187" s="1455"/>
      <c r="T187" s="1455"/>
      <c r="U187" s="1455"/>
      <c r="V187" s="1455"/>
      <c r="W187" s="1455"/>
      <c r="X187" s="1455"/>
      <c r="Y187" s="1455"/>
      <c r="Z187" s="1455"/>
      <c r="AA187" s="1455"/>
      <c r="AB187" s="1455"/>
      <c r="AC187" s="1455"/>
      <c r="AD187" s="1455"/>
      <c r="AE187" s="1455"/>
      <c r="BN187" s="23" t="s">
        <v>235</v>
      </c>
      <c r="BT187" t="s">
        <v>65</v>
      </c>
    </row>
    <row r="188" spans="1:72" ht="12.95" customHeight="1">
      <c r="C188" s="21"/>
      <c r="E188" s="1471"/>
      <c r="F188" s="1471"/>
      <c r="G188" s="1471"/>
      <c r="H188" s="1471"/>
      <c r="I188" s="1471"/>
      <c r="J188" s="1471"/>
      <c r="K188" s="1471"/>
      <c r="L188" s="1471"/>
      <c r="M188" s="1471"/>
      <c r="N188" s="1471"/>
      <c r="O188" s="1471"/>
      <c r="P188" s="1471"/>
      <c r="Q188" s="1471"/>
      <c r="R188" s="1471"/>
      <c r="S188" s="1471"/>
      <c r="T188" s="1471"/>
      <c r="U188" s="1471"/>
      <c r="V188" s="1471"/>
      <c r="W188" s="1471"/>
      <c r="X188" s="1471"/>
      <c r="Y188" s="1471"/>
      <c r="Z188" s="1471"/>
      <c r="AA188" s="1471"/>
      <c r="AB188" s="1471"/>
      <c r="AC188" s="1471"/>
      <c r="AD188" s="1471"/>
      <c r="AE188" s="1471"/>
      <c r="BN188" s="23" t="s">
        <v>237</v>
      </c>
      <c r="BT188" t="s">
        <v>66</v>
      </c>
    </row>
    <row r="189" spans="1:72" ht="12.95" customHeight="1">
      <c r="C189" s="21"/>
      <c r="D189" t="s">
        <v>590</v>
      </c>
      <c r="I189" s="1472" t="s">
        <v>2638</v>
      </c>
      <c r="J189" s="1472"/>
      <c r="K189" s="1472"/>
      <c r="L189" s="1472"/>
      <c r="M189" s="1472"/>
      <c r="N189" s="1472"/>
      <c r="O189" s="1472"/>
      <c r="P189" s="1472"/>
      <c r="Q189" t="s">
        <v>592</v>
      </c>
      <c r="T189" s="1472" t="s">
        <v>489</v>
      </c>
      <c r="U189" s="1472"/>
      <c r="V189" s="1472"/>
      <c r="W189" s="1472"/>
      <c r="X189" s="1472"/>
      <c r="Y189" s="1472"/>
      <c r="Z189" s="1472"/>
      <c r="AA189" s="1472"/>
      <c r="AB189" s="1472"/>
      <c r="AC189" s="1472"/>
      <c r="AD189" s="1472"/>
      <c r="AE189" s="1472"/>
      <c r="BC189" t="s">
        <v>309</v>
      </c>
      <c r="BH189" s="3" t="s">
        <v>601</v>
      </c>
      <c r="BN189" s="23" t="s">
        <v>238</v>
      </c>
      <c r="BT189" t="s">
        <v>67</v>
      </c>
    </row>
    <row r="190" spans="1:72" ht="12.95" customHeight="1">
      <c r="C190" s="21"/>
      <c r="D190" t="s">
        <v>593</v>
      </c>
      <c r="I190" s="1393">
        <v>95928</v>
      </c>
      <c r="J190" s="1393"/>
      <c r="K190" s="1393"/>
      <c r="L190" s="1393"/>
      <c r="M190" s="1393"/>
      <c r="N190" s="1393"/>
      <c r="O190" t="s">
        <v>595</v>
      </c>
      <c r="T190" s="1581">
        <v>4.03</v>
      </c>
      <c r="U190" s="1581"/>
      <c r="V190" s="1581"/>
      <c r="W190" s="1581"/>
      <c r="X190" s="1581"/>
      <c r="Y190" s="1581"/>
      <c r="Z190" s="1581"/>
      <c r="AA190" s="1581"/>
      <c r="AB190" s="1581"/>
      <c r="AC190" s="1581"/>
      <c r="AD190" s="1581"/>
      <c r="AE190" s="1581"/>
      <c r="BC190" t="s">
        <v>1103</v>
      </c>
      <c r="BH190" t="s">
        <v>1103</v>
      </c>
      <c r="BN190" s="23" t="s">
        <v>645</v>
      </c>
      <c r="BT190" t="s">
        <v>68</v>
      </c>
    </row>
    <row r="191" spans="1:72" ht="12.95" customHeight="1">
      <c r="C191" s="21"/>
      <c r="D191" t="s">
        <v>472</v>
      </c>
      <c r="N191" s="1455" t="s">
        <v>2639</v>
      </c>
      <c r="O191" s="1455"/>
      <c r="P191" s="1455"/>
      <c r="Q191" s="1455"/>
      <c r="R191" s="1455"/>
      <c r="S191" s="1455"/>
      <c r="T191" s="1455"/>
      <c r="U191" s="1455"/>
      <c r="V191" s="1455"/>
      <c r="W191" s="1455"/>
      <c r="X191" s="1455"/>
      <c r="Y191" s="1455"/>
      <c r="Z191" s="1455"/>
      <c r="AA191" s="1455"/>
      <c r="AB191" s="1455"/>
      <c r="AC191" s="1455"/>
      <c r="AD191" s="1455"/>
      <c r="AE191" s="1455"/>
      <c r="BC191" t="s">
        <v>1102</v>
      </c>
      <c r="BH191" t="s">
        <v>1102</v>
      </c>
      <c r="BN191" s="23" t="s">
        <v>699</v>
      </c>
      <c r="BT191" t="s">
        <v>740</v>
      </c>
    </row>
    <row r="192" spans="1:72" ht="12.95" customHeight="1">
      <c r="C192" s="21"/>
      <c r="M192" s="40"/>
      <c r="N192" s="1456"/>
      <c r="O192" s="1456"/>
      <c r="P192" s="1456"/>
      <c r="Q192" s="1456"/>
      <c r="R192" s="1456"/>
      <c r="S192" s="1456"/>
      <c r="T192" s="1456"/>
      <c r="U192" s="1456"/>
      <c r="V192" s="1456"/>
      <c r="W192" s="1456"/>
      <c r="X192" s="1456"/>
      <c r="Y192" s="1456"/>
      <c r="Z192" s="1456"/>
      <c r="AA192" s="1456"/>
      <c r="AB192" s="1456"/>
      <c r="AC192" s="1456"/>
      <c r="AD192" s="1456"/>
      <c r="AE192" s="1456"/>
      <c r="BC192" t="s">
        <v>1105</v>
      </c>
      <c r="BH192" s="3" t="s">
        <v>1808</v>
      </c>
      <c r="BN192" s="23" t="s">
        <v>700</v>
      </c>
      <c r="BT192" t="s">
        <v>741</v>
      </c>
    </row>
    <row r="193" spans="1:74" ht="12.95" customHeight="1">
      <c r="C193" s="21"/>
      <c r="D193" t="s">
        <v>2504</v>
      </c>
      <c r="M193" s="40"/>
      <c r="N193" s="930"/>
      <c r="O193" s="930"/>
      <c r="P193" s="930"/>
      <c r="Q193" s="930"/>
      <c r="R193" s="930"/>
      <c r="S193" s="930"/>
      <c r="T193" s="1577" t="s">
        <v>2322</v>
      </c>
      <c r="U193" s="1577"/>
      <c r="V193" s="1577"/>
      <c r="W193" s="1577"/>
      <c r="X193" s="1577"/>
      <c r="Y193" s="1577"/>
      <c r="Z193" s="1577"/>
      <c r="AA193" s="1577"/>
      <c r="AB193" s="1577"/>
      <c r="AC193" s="1577"/>
      <c r="AD193" s="1577"/>
      <c r="AE193" s="1577"/>
      <c r="AF193" s="1577"/>
      <c r="AG193" s="1577"/>
      <c r="AH193" s="1577"/>
      <c r="AI193" s="1577"/>
      <c r="BC193" t="s">
        <v>1104</v>
      </c>
      <c r="BH193" s="3" t="s">
        <v>1809</v>
      </c>
      <c r="BN193" s="23" t="s">
        <v>701</v>
      </c>
      <c r="BT193" t="s">
        <v>742</v>
      </c>
    </row>
    <row r="194" spans="1:74" ht="12.95" customHeight="1">
      <c r="C194" s="21"/>
      <c r="D194" t="s">
        <v>333</v>
      </c>
      <c r="T194" s="1397" t="s">
        <v>555</v>
      </c>
      <c r="U194" s="1397"/>
      <c r="W194" t="s">
        <v>695</v>
      </c>
      <c r="AH194" s="1397">
        <v>1</v>
      </c>
      <c r="AI194" s="1397"/>
      <c r="BC194" t="s">
        <v>1537</v>
      </c>
      <c r="BN194" s="23" t="s">
        <v>702</v>
      </c>
      <c r="BT194" t="s">
        <v>743</v>
      </c>
    </row>
    <row r="195" spans="1:74" ht="12.95" customHeight="1">
      <c r="C195" s="21"/>
      <c r="D195" t="s">
        <v>388</v>
      </c>
      <c r="T195" s="1362" t="s">
        <v>679</v>
      </c>
      <c r="U195" s="1362"/>
      <c r="W195" t="s">
        <v>696</v>
      </c>
      <c r="AH195" s="1397">
        <v>3</v>
      </c>
      <c r="AI195" s="1397"/>
      <c r="BC195" t="s">
        <v>2120</v>
      </c>
      <c r="BN195" s="23" t="s">
        <v>244</v>
      </c>
      <c r="BT195" t="s">
        <v>744</v>
      </c>
    </row>
    <row r="196" spans="1:74" ht="12.95" customHeight="1">
      <c r="C196" s="21"/>
      <c r="D196" s="3" t="s">
        <v>170</v>
      </c>
      <c r="T196" s="1362" t="s">
        <v>679</v>
      </c>
      <c r="U196" s="1362"/>
      <c r="W196" t="s">
        <v>697</v>
      </c>
      <c r="AH196" s="1397">
        <v>4</v>
      </c>
      <c r="AI196" s="1397"/>
      <c r="BN196" s="23" t="s">
        <v>245</v>
      </c>
      <c r="BT196" t="s">
        <v>69</v>
      </c>
    </row>
    <row r="197" spans="1:74" ht="12.95" customHeight="1">
      <c r="C197" s="21"/>
      <c r="D197" s="3" t="s">
        <v>1833</v>
      </c>
      <c r="T197" s="1362"/>
      <c r="U197" s="1362"/>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2505</v>
      </c>
      <c r="Y198" s="1397" t="s">
        <v>679</v>
      </c>
      <c r="Z198" s="1397"/>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4" t="s">
        <v>387</v>
      </c>
      <c r="E203" s="1514"/>
      <c r="F203" s="1514"/>
      <c r="G203" s="1514"/>
      <c r="H203" s="1514"/>
      <c r="I203" s="1514"/>
      <c r="J203" s="1514"/>
      <c r="K203" s="1514"/>
      <c r="L203" s="1514"/>
      <c r="M203" s="1514"/>
      <c r="P203" s="1559">
        <f>M26</f>
        <v>1900776</v>
      </c>
      <c r="Q203" s="1560"/>
      <c r="R203" s="1560"/>
      <c r="S203" s="1560"/>
      <c r="T203" s="1560"/>
      <c r="U203" s="1560"/>
      <c r="Z203" s="1579" t="s">
        <v>2640</v>
      </c>
      <c r="AA203" s="1579"/>
      <c r="AB203" s="1579"/>
      <c r="AC203" s="1579"/>
      <c r="AD203" s="1579"/>
      <c r="AE203" s="1579"/>
      <c r="AF203" s="1579"/>
      <c r="BC203" t="s">
        <v>1130</v>
      </c>
      <c r="BN203" s="23" t="s">
        <v>713</v>
      </c>
      <c r="BO203" s="14"/>
      <c r="BP203" s="32"/>
      <c r="BQ203" s="32"/>
      <c r="BR203" s="32"/>
      <c r="BS203" s="32"/>
      <c r="BT203" s="32" t="s">
        <v>198</v>
      </c>
    </row>
    <row r="204" spans="1:74" ht="12.95" customHeight="1">
      <c r="C204" s="21"/>
      <c r="D204" s="1578" t="s">
        <v>1404</v>
      </c>
      <c r="E204" s="1514"/>
      <c r="F204" s="1514"/>
      <c r="G204" s="1514"/>
      <c r="H204" s="1514"/>
      <c r="I204" s="1514"/>
      <c r="J204" s="1514"/>
      <c r="K204" s="1514"/>
      <c r="L204" s="1514"/>
      <c r="M204" s="1514"/>
      <c r="P204" s="1560">
        <f>M27</f>
        <v>5638254</v>
      </c>
      <c r="Q204" s="1560"/>
      <c r="R204" s="1560"/>
      <c r="S204" s="1560"/>
      <c r="T204" s="1560"/>
      <c r="U204" s="1560"/>
      <c r="V204" s="28"/>
      <c r="W204" s="3" t="s">
        <v>1981</v>
      </c>
      <c r="Z204" s="1579"/>
      <c r="AA204" s="1579"/>
      <c r="AB204" s="1579"/>
      <c r="AC204" s="1579"/>
      <c r="AD204" s="1579"/>
      <c r="AE204" s="1579"/>
      <c r="AF204" s="1579"/>
      <c r="AG204" t="s">
        <v>1405</v>
      </c>
      <c r="AP204" s="1397" t="s">
        <v>679</v>
      </c>
      <c r="AQ204" s="1397"/>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80"/>
      <c r="AA205" s="1580"/>
      <c r="AB205" s="1580"/>
      <c r="AC205" s="1580"/>
      <c r="AD205" s="1580"/>
      <c r="AE205" s="1580"/>
      <c r="AF205" s="1580"/>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5" t="s">
        <v>2641</v>
      </c>
      <c r="E207" s="1535"/>
      <c r="F207" s="1535"/>
      <c r="G207" s="1535"/>
      <c r="H207" s="1535"/>
      <c r="I207" s="1535"/>
      <c r="J207" s="1535"/>
      <c r="K207" s="1535"/>
      <c r="L207" s="1535"/>
      <c r="M207" s="1535"/>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5" t="s">
        <v>1103</v>
      </c>
      <c r="E210" s="1535"/>
      <c r="F210" s="1535"/>
      <c r="G210" s="1535"/>
      <c r="H210" s="1535"/>
      <c r="I210" s="1535"/>
      <c r="J210" s="1535"/>
      <c r="K210" s="1535"/>
      <c r="L210" s="1535"/>
      <c r="M210" s="1535"/>
      <c r="BN210" s="23" t="s">
        <v>48</v>
      </c>
      <c r="BT210" s="32" t="s">
        <v>204</v>
      </c>
    </row>
    <row r="211" spans="1:72" ht="12.95" customHeight="1">
      <c r="C211" s="21"/>
      <c r="D211" t="s">
        <v>1394</v>
      </c>
      <c r="Y211" s="1397"/>
      <c r="Z211" s="1397"/>
      <c r="AB211" s="1575">
        <f>IFERROR(Y211/AG439,"")</f>
        <v>0</v>
      </c>
      <c r="AC211" s="1576"/>
      <c r="BN211" s="23" t="s">
        <v>130</v>
      </c>
      <c r="BT211" s="32" t="s">
        <v>131</v>
      </c>
    </row>
    <row r="212" spans="1:72" ht="12.95" customHeight="1">
      <c r="D212" s="1198" t="s">
        <v>1807</v>
      </c>
      <c r="BC212" t="s">
        <v>309</v>
      </c>
      <c r="BN212" s="23" t="s">
        <v>49</v>
      </c>
      <c r="BT212" s="32" t="s">
        <v>205</v>
      </c>
    </row>
    <row r="213" spans="1:72" ht="12.95" customHeight="1">
      <c r="D213" s="1462" t="s">
        <v>601</v>
      </c>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BC213" t="s">
        <v>536</v>
      </c>
      <c r="BN213" s="23" t="s">
        <v>50</v>
      </c>
      <c r="BT213" s="32" t="s">
        <v>206</v>
      </c>
    </row>
    <row r="214" spans="1:72" ht="12.95" customHeight="1">
      <c r="D214" s="3" t="s">
        <v>1834</v>
      </c>
      <c r="Z214" s="40"/>
      <c r="AB214" s="1461"/>
      <c r="AC214" s="1461"/>
      <c r="AD214" s="1461"/>
      <c r="AE214" s="1461"/>
      <c r="AF214" s="1461"/>
      <c r="AG214" s="1461"/>
      <c r="AH214" s="1461"/>
      <c r="AI214" s="1461"/>
      <c r="AJ214" s="1461"/>
      <c r="AK214" s="1461"/>
      <c r="AL214" s="1461"/>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61"/>
      <c r="AC215" s="1461"/>
      <c r="AD215" s="1461"/>
      <c r="AE215" s="1461"/>
      <c r="AF215" s="1461"/>
      <c r="AG215" s="1461"/>
      <c r="AH215" s="1461"/>
      <c r="AI215" s="1461"/>
      <c r="AJ215" s="1461"/>
      <c r="AK215" s="1461"/>
      <c r="AL215" s="1461"/>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5" t="s">
        <v>1132</v>
      </c>
      <c r="E219" s="1535"/>
      <c r="F219" s="1535"/>
      <c r="G219" s="1535"/>
      <c r="H219" s="1535"/>
      <c r="I219" s="1535"/>
      <c r="J219" s="1535"/>
      <c r="K219" s="1535"/>
      <c r="L219" s="1535"/>
      <c r="M219" s="1535"/>
      <c r="N219" s="1535"/>
      <c r="O219" s="1535"/>
      <c r="P219" s="1535"/>
      <c r="Q219" s="1535"/>
      <c r="R219" s="1535"/>
      <c r="S219" s="1535"/>
      <c r="T219" s="1535"/>
      <c r="U219" s="1535"/>
      <c r="V219" s="1535"/>
      <c r="W219" s="1535"/>
      <c r="X219" s="1535"/>
      <c r="Y219" s="1535"/>
      <c r="Z219" s="1535"/>
      <c r="AZ219" s="3"/>
      <c r="BA219" s="3"/>
      <c r="BC219" t="s">
        <v>379</v>
      </c>
    </row>
    <row r="220" spans="1:72" ht="12.95" customHeight="1">
      <c r="A220" s="2"/>
      <c r="B220" s="14"/>
      <c r="C220" s="2"/>
      <c r="BA220" s="3"/>
      <c r="BC220" t="s">
        <v>302</v>
      </c>
    </row>
    <row r="221" spans="1:72" ht="12.95" customHeight="1">
      <c r="A221" s="1452" t="s">
        <v>550</v>
      </c>
      <c r="B221" s="1452"/>
      <c r="C221" s="1452"/>
      <c r="D221" s="1452"/>
      <c r="E221" s="1452"/>
      <c r="F221" s="1452"/>
      <c r="G221" s="1452"/>
      <c r="H221" s="1452"/>
      <c r="I221" s="1452"/>
      <c r="J221" s="1452"/>
      <c r="K221" s="1452"/>
      <c r="L221" s="1452"/>
      <c r="M221" s="1452"/>
      <c r="N221" s="1452"/>
      <c r="O221" s="1452"/>
      <c r="P221" s="1452"/>
      <c r="Q221" s="1452"/>
      <c r="R221" s="1452"/>
      <c r="S221" s="1452"/>
      <c r="T221" s="1452"/>
      <c r="U221" s="1452"/>
      <c r="V221" s="1452"/>
      <c r="W221" s="1452"/>
      <c r="X221" s="1452"/>
      <c r="Y221" s="1452"/>
      <c r="Z221" s="1452"/>
      <c r="AA221" s="1452"/>
      <c r="AB221" s="1452"/>
      <c r="AC221" s="1452"/>
      <c r="AD221" s="1452"/>
      <c r="AE221" s="1452"/>
      <c r="AF221" s="1452"/>
      <c r="AG221" s="1452"/>
      <c r="AH221" s="1452"/>
      <c r="AI221" s="1452"/>
      <c r="AJ221" s="1452"/>
      <c r="AK221" s="1452"/>
      <c r="AL221" s="1452"/>
      <c r="AM221" s="95"/>
      <c r="AN221" s="95"/>
      <c r="AO221" s="95"/>
      <c r="AP221" s="95"/>
      <c r="AQ221" s="95"/>
      <c r="AR221" s="95"/>
      <c r="AS221" s="95"/>
      <c r="AT221" s="95"/>
      <c r="AU221" s="95"/>
      <c r="AV221" s="95"/>
      <c r="AW221" s="95"/>
      <c r="AX221" s="95"/>
      <c r="AY221" s="95"/>
      <c r="BA221" s="3"/>
    </row>
    <row r="222" spans="1:72" ht="12.95" customHeight="1" thickBot="1">
      <c r="A222" s="1453"/>
      <c r="B222" s="1453"/>
      <c r="C222" s="1453"/>
      <c r="D222" s="1453"/>
      <c r="E222" s="1453"/>
      <c r="F222" s="1453"/>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45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97" t="s">
        <v>601</v>
      </c>
      <c r="AJ225" s="1397"/>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7" t="s">
        <v>555</v>
      </c>
      <c r="AJ226" s="1397"/>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7" t="s">
        <v>601</v>
      </c>
      <c r="AJ227" s="1397"/>
      <c r="AL227" s="3"/>
      <c r="AM227" s="3"/>
      <c r="AN227" s="3"/>
      <c r="AO227" s="3"/>
      <c r="AP227" s="3"/>
      <c r="AQ227" s="3"/>
      <c r="AR227" s="3"/>
      <c r="AS227" s="3"/>
      <c r="AT227" s="3"/>
      <c r="AU227" s="3"/>
      <c r="AV227" s="3"/>
      <c r="AW227" s="3"/>
      <c r="AX227" s="3"/>
      <c r="AY227" s="3"/>
      <c r="BA227" s="3"/>
      <c r="BB227" s="218" t="s">
        <v>548</v>
      </c>
      <c r="BG227" s="259">
        <f>IF(AND(AND($M$248="for profit",$M$256="nonprofit",$M$264="for profit")),2,0)</f>
        <v>2</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7" t="s">
        <v>601</v>
      </c>
      <c r="AJ228" s="1397"/>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63" t="str">
        <f>H16</f>
        <v>Community Revitalization and Development Corporation</v>
      </c>
      <c r="N231" s="1563"/>
      <c r="O231" s="1563"/>
      <c r="P231" s="1563"/>
      <c r="Q231" s="1563"/>
      <c r="R231" s="1563"/>
      <c r="S231" s="1563"/>
      <c r="T231" s="1563"/>
      <c r="U231" s="1563"/>
      <c r="V231" s="1563"/>
      <c r="W231" s="1563"/>
      <c r="X231" s="1563"/>
      <c r="Y231" s="1563"/>
      <c r="Z231" s="1563"/>
      <c r="AA231" s="1563"/>
      <c r="AB231" s="1563"/>
      <c r="AC231" s="1563"/>
      <c r="AD231" s="1563"/>
      <c r="AE231" s="1563"/>
      <c r="AF231" s="1563"/>
      <c r="AG231" s="1563"/>
      <c r="AH231" s="1563"/>
      <c r="AI231" s="1563"/>
      <c r="AJ231" s="1563"/>
      <c r="AK231" s="1563"/>
      <c r="BA231" s="3"/>
      <c r="BB231" s="218"/>
      <c r="BG231" s="218"/>
      <c r="BQ231" s="34"/>
    </row>
    <row r="232" spans="1:69" ht="12.95" customHeight="1">
      <c r="D232" s="4" t="s">
        <v>86</v>
      </c>
      <c r="E232" s="4"/>
      <c r="F232" s="4"/>
      <c r="G232" s="4"/>
      <c r="H232" s="4"/>
      <c r="I232" s="4"/>
      <c r="J232" s="4"/>
      <c r="K232" s="4"/>
      <c r="M232" s="1535" t="s">
        <v>2642</v>
      </c>
      <c r="N232" s="1535"/>
      <c r="O232" s="1535"/>
      <c r="P232" s="1535"/>
      <c r="Q232" s="1535"/>
      <c r="R232" s="1535"/>
      <c r="S232" s="1535"/>
      <c r="T232" s="1535"/>
      <c r="U232" s="1535"/>
      <c r="V232" s="1535"/>
      <c r="W232" s="1535"/>
      <c r="X232" s="1535"/>
      <c r="Y232" s="1535"/>
      <c r="Z232" s="1535"/>
      <c r="AA232" s="1535"/>
      <c r="AB232" s="1535"/>
      <c r="AC232" s="1535"/>
      <c r="AD232" s="1535"/>
      <c r="AE232" s="1535"/>
      <c r="AZ232" s="4"/>
      <c r="BA232" s="3"/>
      <c r="BB232" s="219" t="s">
        <v>548</v>
      </c>
      <c r="BG232" s="259">
        <f>IF(AND(AND($M$248="nonprofit",$M$256="nonprofit",$M$264="for profit")),2,0)</f>
        <v>0</v>
      </c>
      <c r="BQ232" s="34"/>
    </row>
    <row r="233" spans="1:69" ht="12.95" customHeight="1">
      <c r="D233" s="4" t="s">
        <v>590</v>
      </c>
      <c r="E233" s="4"/>
      <c r="M233" s="1535" t="s">
        <v>2643</v>
      </c>
      <c r="N233" s="1535"/>
      <c r="O233" s="1535"/>
      <c r="P233" s="1535"/>
      <c r="Q233" s="1535"/>
      <c r="R233" s="1535"/>
      <c r="S233" s="1535"/>
      <c r="T233" s="1535"/>
      <c r="V233" s="33" t="s">
        <v>87</v>
      </c>
      <c r="W233" s="1537" t="s">
        <v>2644</v>
      </c>
      <c r="X233" s="1433"/>
      <c r="Y233" s="4" t="s">
        <v>593</v>
      </c>
      <c r="AC233" s="1535">
        <v>96001</v>
      </c>
      <c r="AD233" s="1535"/>
      <c r="AE233" s="1535"/>
      <c r="BB233" s="219" t="s">
        <v>548</v>
      </c>
      <c r="BG233" s="259">
        <f>IF(AND(AND($M$248="nonprofit",$M$256="for profit",$M$264="nonprofit")),2,0)</f>
        <v>0</v>
      </c>
    </row>
    <row r="234" spans="1:69" ht="12.95" customHeight="1">
      <c r="D234" s="4" t="s">
        <v>88</v>
      </c>
      <c r="E234" s="4"/>
      <c r="F234" s="4"/>
      <c r="G234" s="4"/>
      <c r="H234" s="4"/>
      <c r="I234" s="4"/>
      <c r="J234" s="4"/>
      <c r="K234" s="19"/>
      <c r="M234" s="1515" t="s">
        <v>2630</v>
      </c>
      <c r="N234" s="1535"/>
      <c r="O234" s="1535"/>
      <c r="P234" s="1535"/>
      <c r="Q234" s="1535"/>
      <c r="R234" s="1535"/>
      <c r="S234" s="1535"/>
      <c r="T234" s="1535"/>
      <c r="U234" s="1535"/>
      <c r="V234" s="1535"/>
      <c r="W234" s="1535"/>
      <c r="X234" s="1535"/>
      <c r="Y234" s="1535"/>
      <c r="Z234" s="1535"/>
      <c r="AA234" s="1535"/>
      <c r="AB234" s="1535"/>
      <c r="AC234" s="1535"/>
      <c r="AD234" s="1535"/>
      <c r="AE234" s="1535"/>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47">
        <v>5302457129</v>
      </c>
      <c r="N235" s="1447"/>
      <c r="O235" s="1447"/>
      <c r="P235" s="1447"/>
      <c r="Q235" s="1447"/>
      <c r="R235" s="1447"/>
      <c r="S235" s="4" t="s">
        <v>208</v>
      </c>
      <c r="T235" s="4"/>
      <c r="U235" s="1433"/>
      <c r="V235" s="1433"/>
      <c r="W235" s="1433"/>
      <c r="X235" s="4" t="s">
        <v>90</v>
      </c>
      <c r="Z235" s="1447"/>
      <c r="AA235" s="1447"/>
      <c r="AB235" s="1447"/>
      <c r="AC235" s="1447"/>
      <c r="AD235" s="1447"/>
      <c r="AE235" s="1447"/>
      <c r="BB235" s="219"/>
      <c r="BG235" s="218"/>
    </row>
    <row r="236" spans="1:69" ht="12.95" customHeight="1">
      <c r="D236" s="4" t="s">
        <v>91</v>
      </c>
      <c r="E236" s="4"/>
      <c r="F236" s="4"/>
      <c r="M236" s="1540" t="s">
        <v>2645</v>
      </c>
      <c r="N236" s="1540"/>
      <c r="O236" s="1540"/>
      <c r="P236" s="1540"/>
      <c r="Q236" s="1540"/>
      <c r="R236" s="1540"/>
      <c r="S236" s="1540"/>
      <c r="T236" s="1540"/>
      <c r="U236" s="1540"/>
      <c r="V236" s="1540"/>
      <c r="W236" s="1540"/>
      <c r="X236" s="1540"/>
      <c r="Y236" s="1540"/>
      <c r="Z236" s="1540"/>
      <c r="AA236" s="1540"/>
      <c r="AB236" s="1540"/>
      <c r="AC236" s="1540"/>
      <c r="AD236" s="1540"/>
      <c r="AE236" s="1540"/>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93" t="s">
        <v>379</v>
      </c>
      <c r="N237" s="1393"/>
      <c r="O237" s="1393"/>
      <c r="P237" s="1393"/>
      <c r="Q237" s="1393"/>
      <c r="R237" s="1393"/>
      <c r="S237" s="1393"/>
      <c r="T237" s="1393"/>
      <c r="U237" s="218" t="s">
        <v>940</v>
      </c>
      <c r="V237" s="218"/>
      <c r="W237" s="218"/>
      <c r="X237" s="218"/>
      <c r="Y237" s="218"/>
      <c r="Z237" s="218"/>
      <c r="AA237" s="1554"/>
      <c r="AB237" s="1554"/>
      <c r="AC237" s="1554"/>
      <c r="AD237" s="1554"/>
      <c r="AE237" s="1554"/>
      <c r="AF237" s="1554"/>
      <c r="AG237" s="1554"/>
      <c r="AH237" s="1554"/>
      <c r="AI237" s="1554"/>
      <c r="AJ237" s="1554"/>
      <c r="AK237" s="1554"/>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408"/>
      <c r="N238" s="1408"/>
      <c r="O238" s="1408"/>
      <c r="P238" s="1408"/>
      <c r="Q238" s="1408"/>
      <c r="R238" s="1408"/>
      <c r="S238" s="1408"/>
      <c r="T238" s="1408"/>
      <c r="U238" s="1408"/>
      <c r="V238" s="1408"/>
      <c r="W238" s="1408"/>
      <c r="X238" s="1408"/>
      <c r="Y238" s="1408"/>
      <c r="Z238" s="1408"/>
      <c r="AA238" s="1408"/>
      <c r="AB238" s="1408"/>
      <c r="AC238" s="1408"/>
      <c r="AD238" s="1408"/>
      <c r="AE238" s="1408"/>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55" t="s">
        <v>2646</v>
      </c>
      <c r="N242" s="1555"/>
      <c r="O242" s="1555"/>
      <c r="P242" s="1555"/>
      <c r="Q242" s="1555"/>
      <c r="R242" s="1555"/>
      <c r="S242" s="1555"/>
      <c r="T242" s="1555"/>
      <c r="U242" s="1555"/>
      <c r="V242" s="1555"/>
      <c r="W242" s="1555"/>
      <c r="X242" s="1555"/>
      <c r="Y242" s="1555"/>
      <c r="Z242" s="1555"/>
      <c r="AA242" s="1555"/>
      <c r="AB242" s="1555"/>
      <c r="AC242" s="1555"/>
      <c r="AD242" s="1555"/>
      <c r="AE242" s="1555"/>
      <c r="AF242" s="1555" t="s">
        <v>2648</v>
      </c>
      <c r="AG242" s="1555"/>
      <c r="AH242" s="1555"/>
      <c r="AI242" s="1555"/>
      <c r="AJ242" s="1555"/>
      <c r="AK242" s="1555"/>
      <c r="BO242" s="34"/>
      <c r="BP242" s="4"/>
      <c r="BQ242" s="4"/>
      <c r="BR242" s="4"/>
      <c r="BS242" s="4"/>
    </row>
    <row r="243" spans="1:71" ht="12.95" customHeight="1">
      <c r="A243" s="19"/>
      <c r="B243" s="4"/>
      <c r="C243" s="4"/>
      <c r="D243" s="4" t="s">
        <v>86</v>
      </c>
      <c r="E243" s="4"/>
      <c r="F243" s="4"/>
      <c r="G243" s="4"/>
      <c r="H243" s="4"/>
      <c r="I243" s="4"/>
      <c r="J243" s="4"/>
      <c r="K243" s="4"/>
      <c r="L243" s="4"/>
      <c r="M243" s="1535" t="s">
        <v>2647</v>
      </c>
      <c r="N243" s="1535"/>
      <c r="O243" s="1535"/>
      <c r="P243" s="1535"/>
      <c r="Q243" s="1535"/>
      <c r="R243" s="1535"/>
      <c r="S243" s="1535"/>
      <c r="T243" s="1535"/>
      <c r="U243" s="1535"/>
      <c r="V243" s="1535"/>
      <c r="W243" s="1535"/>
      <c r="X243" s="1535"/>
      <c r="Y243" s="1535"/>
      <c r="Z243" s="1535"/>
      <c r="AA243" s="1535"/>
      <c r="AB243" s="1535"/>
      <c r="AC243" s="1535"/>
      <c r="AD243" s="1535"/>
      <c r="AE243" s="1535"/>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5" t="s">
        <v>2629</v>
      </c>
      <c r="N244" s="1535"/>
      <c r="O244" s="1535"/>
      <c r="P244" s="1535"/>
      <c r="Q244" s="1535"/>
      <c r="R244" s="1535"/>
      <c r="S244" s="1535"/>
      <c r="T244" s="1535"/>
      <c r="V244" s="33" t="s">
        <v>87</v>
      </c>
      <c r="W244" s="1537" t="s">
        <v>2644</v>
      </c>
      <c r="X244" s="1433"/>
      <c r="Y244" s="4" t="s">
        <v>593</v>
      </c>
      <c r="AC244" s="1535">
        <v>95521</v>
      </c>
      <c r="AD244" s="1535"/>
      <c r="AE244" s="1535"/>
      <c r="AF244" s="3" t="s">
        <v>1324</v>
      </c>
      <c r="BB244" t="s">
        <v>309</v>
      </c>
      <c r="BG244">
        <v>1</v>
      </c>
      <c r="BH244" t="s">
        <v>544</v>
      </c>
    </row>
    <row r="245" spans="1:71" ht="12.95" customHeight="1">
      <c r="A245" s="19"/>
      <c r="B245" s="4"/>
      <c r="C245" s="4"/>
      <c r="D245" s="4" t="s">
        <v>88</v>
      </c>
      <c r="E245" s="4"/>
      <c r="F245" s="4"/>
      <c r="G245" s="4"/>
      <c r="H245" s="4"/>
      <c r="I245" s="4"/>
      <c r="J245" s="4"/>
      <c r="K245" s="4"/>
      <c r="L245" s="19"/>
      <c r="M245" s="1535" t="s">
        <v>2649</v>
      </c>
      <c r="N245" s="1535"/>
      <c r="O245" s="1535"/>
      <c r="P245" s="1535"/>
      <c r="Q245" s="1535"/>
      <c r="R245" s="1535"/>
      <c r="S245" s="1535"/>
      <c r="T245" s="1535"/>
      <c r="U245" s="1535"/>
      <c r="V245" s="1535"/>
      <c r="W245" s="1535"/>
      <c r="X245" s="1535"/>
      <c r="Y245" s="1535"/>
      <c r="Z245" s="1535"/>
      <c r="AA245" s="1535"/>
      <c r="AB245" s="1535"/>
      <c r="AC245" s="1535"/>
      <c r="AD245" s="1535"/>
      <c r="AE245" s="1535"/>
      <c r="AH245" s="1445">
        <v>4.4999999999999998E-2</v>
      </c>
      <c r="AI245" s="1445"/>
      <c r="AJ245" s="1445"/>
      <c r="AK245" s="1445"/>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47">
        <v>7078229000</v>
      </c>
      <c r="N246" s="1447"/>
      <c r="O246" s="1447"/>
      <c r="P246" s="1447"/>
      <c r="Q246" s="1447"/>
      <c r="R246" s="1447"/>
      <c r="S246" s="4" t="s">
        <v>208</v>
      </c>
      <c r="T246" s="4"/>
      <c r="U246" s="1433"/>
      <c r="V246" s="1433"/>
      <c r="W246" s="1433"/>
      <c r="X246" s="4" t="s">
        <v>90</v>
      </c>
      <c r="Z246" s="1447"/>
      <c r="AA246" s="1447"/>
      <c r="AB246" s="1447"/>
      <c r="AC246" s="1447"/>
      <c r="AD246" s="1447"/>
      <c r="AE246" s="1447"/>
      <c r="BB246" s="4" t="s">
        <v>174</v>
      </c>
      <c r="BG246">
        <v>3</v>
      </c>
      <c r="BH246" t="s">
        <v>546</v>
      </c>
      <c r="BN246" s="34"/>
    </row>
    <row r="247" spans="1:71" ht="12.95" customHeight="1">
      <c r="A247" s="19"/>
      <c r="B247" s="4"/>
      <c r="C247" s="4"/>
      <c r="D247" s="4" t="s">
        <v>91</v>
      </c>
      <c r="E247" s="4"/>
      <c r="F247" s="4"/>
      <c r="M247" s="1540" t="s">
        <v>2650</v>
      </c>
      <c r="N247" s="1540"/>
      <c r="O247" s="1540"/>
      <c r="P247" s="1540"/>
      <c r="Q247" s="1540"/>
      <c r="R247" s="1540"/>
      <c r="S247" s="1540"/>
      <c r="T247" s="1540"/>
      <c r="U247" s="1540"/>
      <c r="V247" s="1540"/>
      <c r="W247" s="1540"/>
      <c r="X247" s="1540"/>
      <c r="Y247" s="1540"/>
      <c r="Z247" s="1540"/>
      <c r="AA247" s="1540"/>
      <c r="AB247" s="1540"/>
      <c r="AC247" s="1540"/>
      <c r="AD247" s="1540"/>
      <c r="AE247" s="1540"/>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93" t="s">
        <v>546</v>
      </c>
      <c r="N248" s="1393"/>
      <c r="O248" s="1393"/>
      <c r="P248" s="1393"/>
      <c r="Q248" s="1393"/>
      <c r="R248" s="1393"/>
      <c r="S248" s="1393"/>
      <c r="T248" s="1393"/>
      <c r="U248" s="218" t="s">
        <v>940</v>
      </c>
      <c r="V248" s="218"/>
      <c r="W248" s="218"/>
      <c r="X248" s="218"/>
      <c r="Y248" s="218"/>
      <c r="Z248" s="218"/>
      <c r="AA248" s="1554"/>
      <c r="AB248" s="1554"/>
      <c r="AC248" s="1554"/>
      <c r="AD248" s="1554"/>
      <c r="AE248" s="1554"/>
      <c r="AF248" s="1554"/>
      <c r="AG248" s="1554"/>
      <c r="AH248" s="1554"/>
      <c r="AI248" s="1554"/>
      <c r="AJ248" s="1554"/>
      <c r="AK248" s="1554"/>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55" t="s">
        <v>2625</v>
      </c>
      <c r="N250" s="1555"/>
      <c r="O250" s="1555"/>
      <c r="P250" s="1555"/>
      <c r="Q250" s="1555"/>
      <c r="R250" s="1555"/>
      <c r="S250" s="1555"/>
      <c r="T250" s="1555"/>
      <c r="U250" s="1555"/>
      <c r="V250" s="1555"/>
      <c r="W250" s="1555"/>
      <c r="X250" s="1555"/>
      <c r="Y250" s="1555"/>
      <c r="Z250" s="1555"/>
      <c r="AA250" s="1555"/>
      <c r="AB250" s="1555"/>
      <c r="AC250" s="1555"/>
      <c r="AD250" s="1555"/>
      <c r="AE250" s="1555"/>
      <c r="AF250" s="1555" t="s">
        <v>2651</v>
      </c>
      <c r="AG250" s="1555"/>
      <c r="AH250" s="1555"/>
      <c r="AI250" s="1555"/>
      <c r="AJ250" s="1555"/>
      <c r="AK250" s="1555"/>
      <c r="BN250" s="34"/>
    </row>
    <row r="251" spans="1:71" ht="12.95" customHeight="1">
      <c r="A251" s="19"/>
      <c r="B251" s="4"/>
      <c r="C251" s="4"/>
      <c r="D251" s="4" t="s">
        <v>86</v>
      </c>
      <c r="E251" s="4"/>
      <c r="F251" s="4"/>
      <c r="G251" s="4"/>
      <c r="H251" s="4"/>
      <c r="I251" s="4"/>
      <c r="J251" s="4"/>
      <c r="K251" s="4"/>
      <c r="L251" s="4"/>
      <c r="M251" s="1535" t="s">
        <v>2642</v>
      </c>
      <c r="N251" s="1535"/>
      <c r="O251" s="1535"/>
      <c r="P251" s="1535"/>
      <c r="Q251" s="1535"/>
      <c r="R251" s="1535"/>
      <c r="S251" s="1535"/>
      <c r="T251" s="1535"/>
      <c r="U251" s="1535"/>
      <c r="V251" s="1535"/>
      <c r="W251" s="1535"/>
      <c r="X251" s="1535"/>
      <c r="Y251" s="1535"/>
      <c r="Z251" s="1535"/>
      <c r="AA251" s="1535"/>
      <c r="AB251" s="1535"/>
      <c r="AC251" s="1535"/>
      <c r="AD251" s="1535"/>
      <c r="AE251" s="1535"/>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15" t="s">
        <v>2643</v>
      </c>
      <c r="N252" s="1535"/>
      <c r="O252" s="1535"/>
      <c r="P252" s="1535"/>
      <c r="Q252" s="1535"/>
      <c r="R252" s="1535"/>
      <c r="S252" s="1535"/>
      <c r="T252" s="1535"/>
      <c r="V252" s="33" t="s">
        <v>87</v>
      </c>
      <c r="W252" s="1537" t="s">
        <v>2644</v>
      </c>
      <c r="X252" s="1433"/>
      <c r="Y252" s="4" t="s">
        <v>593</v>
      </c>
      <c r="AC252" s="1535">
        <v>96001</v>
      </c>
      <c r="AD252" s="1535"/>
      <c r="AE252" s="1535"/>
      <c r="AF252" s="3" t="s">
        <v>1324</v>
      </c>
      <c r="BN252" s="34"/>
    </row>
    <row r="253" spans="1:71" ht="12.95" customHeight="1">
      <c r="A253" s="19"/>
      <c r="B253" s="4"/>
      <c r="C253" s="4"/>
      <c r="D253" s="4" t="s">
        <v>88</v>
      </c>
      <c r="E253" s="4"/>
      <c r="F253" s="4"/>
      <c r="G253" s="4"/>
      <c r="H253" s="4"/>
      <c r="I253" s="4"/>
      <c r="J253" s="4"/>
      <c r="K253" s="4"/>
      <c r="L253" s="19"/>
      <c r="M253" s="1515" t="s">
        <v>2630</v>
      </c>
      <c r="N253" s="1535"/>
      <c r="O253" s="1535"/>
      <c r="P253" s="1535"/>
      <c r="Q253" s="1535"/>
      <c r="R253" s="1535"/>
      <c r="S253" s="1535"/>
      <c r="T253" s="1535"/>
      <c r="U253" s="1535"/>
      <c r="V253" s="1535"/>
      <c r="W253" s="1535"/>
      <c r="X253" s="1535"/>
      <c r="Y253" s="1535"/>
      <c r="Z253" s="1535"/>
      <c r="AA253" s="1535"/>
      <c r="AB253" s="1535"/>
      <c r="AC253" s="1535"/>
      <c r="AD253" s="1535"/>
      <c r="AE253" s="1535"/>
      <c r="AH253" s="1445">
        <v>0.01</v>
      </c>
      <c r="AI253" s="1445"/>
      <c r="AJ253" s="1445"/>
      <c r="AK253" s="144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47">
        <v>5302457129</v>
      </c>
      <c r="N254" s="1447"/>
      <c r="O254" s="1447"/>
      <c r="P254" s="1447"/>
      <c r="Q254" s="1447"/>
      <c r="R254" s="1447"/>
      <c r="S254" s="4" t="s">
        <v>208</v>
      </c>
      <c r="T254" s="4"/>
      <c r="U254" s="1433"/>
      <c r="V254" s="1433"/>
      <c r="W254" s="1433"/>
      <c r="X254" s="4" t="s">
        <v>90</v>
      </c>
      <c r="Z254" s="1447"/>
      <c r="AA254" s="1447"/>
      <c r="AB254" s="1447"/>
      <c r="AC254" s="1447"/>
      <c r="AD254" s="1447"/>
      <c r="AE254" s="1447"/>
    </row>
    <row r="255" spans="1:71" ht="12.95" customHeight="1">
      <c r="A255" s="19"/>
      <c r="B255" s="4"/>
      <c r="C255" s="4"/>
      <c r="D255" s="4" t="s">
        <v>91</v>
      </c>
      <c r="E255" s="4"/>
      <c r="F255" s="4"/>
      <c r="M255" s="1540" t="str">
        <f>+M236</f>
        <v>David@crdc-housing.org</v>
      </c>
      <c r="N255" s="1540"/>
      <c r="O255" s="1540"/>
      <c r="P255" s="1540"/>
      <c r="Q255" s="1540"/>
      <c r="R255" s="1540"/>
      <c r="S255" s="1540"/>
      <c r="T255" s="1540"/>
      <c r="U255" s="1540"/>
      <c r="V255" s="1540"/>
      <c r="W255" s="1540"/>
      <c r="X255" s="1540"/>
      <c r="Y255" s="1540"/>
      <c r="Z255" s="1540"/>
      <c r="AA255" s="1540"/>
      <c r="AB255" s="1540"/>
      <c r="AC255" s="1540"/>
      <c r="AD255" s="1540"/>
      <c r="AE255" s="1540"/>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93" t="s">
        <v>544</v>
      </c>
      <c r="N256" s="1393"/>
      <c r="O256" s="1393"/>
      <c r="P256" s="1393"/>
      <c r="Q256" s="1393"/>
      <c r="R256" s="1393"/>
      <c r="S256" s="1393"/>
      <c r="T256" s="1393"/>
      <c r="U256" s="218" t="s">
        <v>940</v>
      </c>
      <c r="V256" s="218"/>
      <c r="W256" s="218"/>
      <c r="X256" s="218"/>
      <c r="Y256" s="218"/>
      <c r="Z256" s="218"/>
      <c r="AA256" s="1554"/>
      <c r="AB256" s="1554"/>
      <c r="AC256" s="1554"/>
      <c r="AD256" s="1554"/>
      <c r="AE256" s="1554"/>
      <c r="AF256" s="1554"/>
      <c r="AG256" s="1554"/>
      <c r="AH256" s="1554"/>
      <c r="AI256" s="1554"/>
      <c r="AJ256" s="1554"/>
      <c r="AK256" s="1554"/>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55" t="s">
        <v>2652</v>
      </c>
      <c r="N258" s="1555"/>
      <c r="O258" s="1555"/>
      <c r="P258" s="1555"/>
      <c r="Q258" s="1555"/>
      <c r="R258" s="1555"/>
      <c r="S258" s="1555"/>
      <c r="T258" s="1555"/>
      <c r="U258" s="1555"/>
      <c r="V258" s="1555"/>
      <c r="W258" s="1555"/>
      <c r="X258" s="1555"/>
      <c r="Y258" s="1555"/>
      <c r="Z258" s="1555"/>
      <c r="AA258" s="1555"/>
      <c r="AB258" s="1555"/>
      <c r="AC258" s="1555"/>
      <c r="AD258" s="1555"/>
      <c r="AE258" s="1555"/>
      <c r="AF258" s="1555" t="s">
        <v>2648</v>
      </c>
      <c r="AG258" s="1555"/>
      <c r="AH258" s="1555"/>
      <c r="AI258" s="1555"/>
      <c r="AJ258" s="1555"/>
      <c r="AK258" s="1555"/>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5" t="s">
        <v>2647</v>
      </c>
      <c r="N259" s="1535"/>
      <c r="O259" s="1535"/>
      <c r="P259" s="1535"/>
      <c r="Q259" s="1535"/>
      <c r="R259" s="1535"/>
      <c r="S259" s="1535"/>
      <c r="T259" s="1535"/>
      <c r="U259" s="1535"/>
      <c r="V259" s="1535"/>
      <c r="W259" s="1535"/>
      <c r="X259" s="1535"/>
      <c r="Y259" s="1535"/>
      <c r="Z259" s="1535"/>
      <c r="AA259" s="1535"/>
      <c r="AB259" s="1535"/>
      <c r="AC259" s="1535"/>
      <c r="AD259" s="1535"/>
      <c r="AE259" s="1535"/>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15" t="s">
        <v>2629</v>
      </c>
      <c r="N260" s="1535"/>
      <c r="O260" s="1535"/>
      <c r="P260" s="1535"/>
      <c r="Q260" s="1535"/>
      <c r="R260" s="1535"/>
      <c r="S260" s="1535"/>
      <c r="T260" s="1535"/>
      <c r="V260" s="33" t="s">
        <v>87</v>
      </c>
      <c r="W260" s="1537" t="s">
        <v>2644</v>
      </c>
      <c r="X260" s="1433"/>
      <c r="Y260" s="4" t="s">
        <v>593</v>
      </c>
      <c r="AC260" s="1535">
        <v>95521</v>
      </c>
      <c r="AD260" s="1535"/>
      <c r="AE260" s="1535"/>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5" t="str">
        <f>+M245</f>
        <v>Chris Dart</v>
      </c>
      <c r="N261" s="1535"/>
      <c r="O261" s="1535"/>
      <c r="P261" s="1535"/>
      <c r="Q261" s="1535"/>
      <c r="R261" s="1535"/>
      <c r="S261" s="1535"/>
      <c r="T261" s="1535"/>
      <c r="U261" s="1535"/>
      <c r="V261" s="1535"/>
      <c r="W261" s="1535"/>
      <c r="X261" s="1535"/>
      <c r="Y261" s="1535"/>
      <c r="Z261" s="1535"/>
      <c r="AA261" s="1535"/>
      <c r="AB261" s="1535"/>
      <c r="AC261" s="1535"/>
      <c r="AD261" s="1535"/>
      <c r="AE261" s="1535"/>
      <c r="AH261" s="1445">
        <v>4.4999999999999998E-2</v>
      </c>
      <c r="AI261" s="1445"/>
      <c r="AJ261" s="1445"/>
      <c r="AK261" s="144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47">
        <f>+M246</f>
        <v>7078229000</v>
      </c>
      <c r="N262" s="1447"/>
      <c r="O262" s="1447"/>
      <c r="P262" s="1447"/>
      <c r="Q262" s="1447"/>
      <c r="R262" s="1447"/>
      <c r="S262" s="4" t="s">
        <v>208</v>
      </c>
      <c r="T262" s="4"/>
      <c r="U262" s="1433"/>
      <c r="V262" s="1433"/>
      <c r="W262" s="1433"/>
      <c r="X262" s="4" t="s">
        <v>90</v>
      </c>
      <c r="Z262" s="1447"/>
      <c r="AA262" s="1447"/>
      <c r="AB262" s="1447"/>
      <c r="AC262" s="1447"/>
      <c r="AD262" s="1447"/>
      <c r="AE262" s="144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540" t="str">
        <f>++M247</f>
        <v>cdart@danco-group.com</v>
      </c>
      <c r="N263" s="1540"/>
      <c r="O263" s="1540"/>
      <c r="P263" s="1540"/>
      <c r="Q263" s="1540"/>
      <c r="R263" s="1540"/>
      <c r="S263" s="1540"/>
      <c r="T263" s="1540"/>
      <c r="U263" s="1540"/>
      <c r="V263" s="1540"/>
      <c r="W263" s="1540"/>
      <c r="X263" s="1540"/>
      <c r="Y263" s="1540"/>
      <c r="Z263" s="1540"/>
      <c r="AA263" s="1557"/>
      <c r="AB263" s="1557"/>
      <c r="AC263" s="1557"/>
      <c r="AD263" s="1557"/>
      <c r="AE263" s="155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93" t="s">
        <v>546</v>
      </c>
      <c r="N264" s="1393"/>
      <c r="O264" s="1393"/>
      <c r="P264" s="1393"/>
      <c r="Q264" s="1393"/>
      <c r="R264" s="1393"/>
      <c r="S264" s="1393"/>
      <c r="T264" s="1393"/>
      <c r="U264" s="218" t="s">
        <v>940</v>
      </c>
      <c r="V264" s="218"/>
      <c r="W264" s="218"/>
      <c r="X264" s="218"/>
      <c r="Y264" s="218"/>
      <c r="Z264" s="218"/>
      <c r="AA264" s="1582"/>
      <c r="AB264" s="1582"/>
      <c r="AC264" s="1582"/>
      <c r="AD264" s="1582"/>
      <c r="AE264" s="1582"/>
      <c r="AF264" s="1582"/>
      <c r="AG264" s="1582"/>
      <c r="AH264" s="1582"/>
      <c r="AI264" s="1582"/>
      <c r="AJ264" s="1582"/>
      <c r="AK264" s="1582"/>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56" t="str">
        <f>BO245</f>
        <v>Joint Venture</v>
      </c>
      <c r="U266" s="1556"/>
      <c r="V266" s="1556"/>
      <c r="W266" s="1556"/>
      <c r="X266" s="1556"/>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5" t="s">
        <v>174</v>
      </c>
      <c r="E269" s="1535"/>
      <c r="F269" s="1535"/>
      <c r="G269" s="1535"/>
      <c r="H269" s="1535"/>
      <c r="J269" t="s">
        <v>281</v>
      </c>
      <c r="X269" s="1551">
        <v>45078</v>
      </c>
      <c r="Y269" s="1552"/>
      <c r="Z269" s="1552"/>
      <c r="AA269" s="1552"/>
      <c r="AB269" s="1552"/>
      <c r="AC269" s="1552"/>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50" t="s">
        <v>2652</v>
      </c>
      <c r="M273" s="1550"/>
      <c r="N273" s="1550"/>
      <c r="O273" s="1550"/>
      <c r="P273" s="1550"/>
      <c r="Q273" s="1550"/>
      <c r="R273" s="1550"/>
      <c r="S273" s="1550"/>
      <c r="T273" s="1550"/>
      <c r="U273" s="1550"/>
      <c r="V273" s="1550"/>
      <c r="W273" s="1550"/>
      <c r="X273" s="1550"/>
      <c r="Y273" s="1550"/>
      <c r="Z273" s="1550"/>
      <c r="AA273" s="1550"/>
      <c r="AB273" s="1550"/>
      <c r="AC273" s="1550"/>
      <c r="AD273" s="1550"/>
      <c r="AE273" s="1550"/>
      <c r="AF273" s="1550"/>
      <c r="AG273" s="1550"/>
      <c r="AH273" s="1550"/>
      <c r="AI273" s="1550"/>
      <c r="AJ273" s="155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5" t="str">
        <f>+M259</f>
        <v>5251 Ericson Way</v>
      </c>
      <c r="M274" s="1535"/>
      <c r="N274" s="1535"/>
      <c r="O274" s="1535"/>
      <c r="P274" s="1535"/>
      <c r="Q274" s="1535"/>
      <c r="R274" s="1535"/>
      <c r="S274" s="1535"/>
      <c r="T274" s="1535"/>
      <c r="U274" s="1535"/>
      <c r="V274" s="1535"/>
      <c r="W274" s="1535"/>
      <c r="X274" s="1535"/>
      <c r="Y274" s="1535"/>
      <c r="Z274" s="1535"/>
      <c r="AA274" s="1535"/>
      <c r="AB274" s="1535"/>
      <c r="AC274" s="1535"/>
      <c r="AD274" s="1535"/>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5" t="str">
        <f>+M260</f>
        <v>Arcata</v>
      </c>
      <c r="M275" s="1535"/>
      <c r="N275" s="1535"/>
      <c r="O275" s="1535"/>
      <c r="P275" s="1535"/>
      <c r="Q275" s="1535"/>
      <c r="R275" s="1535"/>
      <c r="S275" s="1535"/>
      <c r="U275" s="33" t="s">
        <v>87</v>
      </c>
      <c r="V275" s="1433" t="str">
        <f>+W260</f>
        <v>CA</v>
      </c>
      <c r="W275" s="1433"/>
      <c r="X275" s="4" t="s">
        <v>593</v>
      </c>
      <c r="AB275" s="1535">
        <f>+AC260</f>
        <v>95521</v>
      </c>
      <c r="AC275" s="1535"/>
      <c r="AD275" s="1535"/>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15" t="s">
        <v>2653</v>
      </c>
      <c r="M276" s="1535"/>
      <c r="N276" s="1535"/>
      <c r="O276" s="1535"/>
      <c r="P276" s="1535"/>
      <c r="Q276" s="1535"/>
      <c r="R276" s="1535"/>
      <c r="S276" s="1535"/>
      <c r="T276" s="1535"/>
      <c r="U276" s="1535"/>
      <c r="V276" s="1535"/>
      <c r="W276" s="1535"/>
      <c r="X276" s="1535"/>
      <c r="Y276" s="1535"/>
      <c r="Z276" s="1535"/>
      <c r="AA276" s="1535"/>
      <c r="AB276" s="1535"/>
      <c r="AC276" s="1535"/>
      <c r="AD276" s="1535"/>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47">
        <v>7078251580</v>
      </c>
      <c r="M277" s="1447"/>
      <c r="N277" s="1447"/>
      <c r="O277" s="1447"/>
      <c r="P277" s="1447"/>
      <c r="Q277" s="1447"/>
      <c r="R277" s="4" t="s">
        <v>208</v>
      </c>
      <c r="S277" s="4"/>
      <c r="T277" s="1433"/>
      <c r="U277" s="1433"/>
      <c r="V277" s="1433"/>
      <c r="W277" s="4" t="s">
        <v>90</v>
      </c>
      <c r="Y277" s="1447">
        <v>7078229596</v>
      </c>
      <c r="Z277" s="1447"/>
      <c r="AA277" s="1447"/>
      <c r="AB277" s="1447"/>
      <c r="AC277" s="1447"/>
      <c r="AD277" s="1447"/>
      <c r="BN277" s="34"/>
    </row>
    <row r="278" spans="1:66" ht="12.95" customHeight="1">
      <c r="D278" s="4" t="s">
        <v>91</v>
      </c>
      <c r="E278" s="4"/>
      <c r="F278" s="4"/>
      <c r="L278" s="1540" t="s">
        <v>2654</v>
      </c>
      <c r="M278" s="1540"/>
      <c r="N278" s="1540"/>
      <c r="O278" s="1540"/>
      <c r="P278" s="1540"/>
      <c r="Q278" s="1540"/>
      <c r="R278" s="1540"/>
      <c r="S278" s="1540"/>
      <c r="T278" s="1540"/>
      <c r="U278" s="1540"/>
      <c r="V278" s="1540"/>
      <c r="W278" s="1540"/>
      <c r="X278" s="1540"/>
      <c r="Y278" s="1540"/>
      <c r="Z278" s="1540"/>
      <c r="AA278" s="1540"/>
      <c r="AB278" s="1540"/>
      <c r="AC278" s="1540"/>
      <c r="AD278" s="1540"/>
      <c r="AF278" s="4"/>
      <c r="AG278" s="4"/>
      <c r="AH278" s="4"/>
      <c r="AI278" s="4"/>
      <c r="AJ278" s="4"/>
      <c r="BN278" s="34"/>
    </row>
    <row r="279" spans="1:66" ht="12.95" customHeight="1">
      <c r="D279" s="3" t="s">
        <v>633</v>
      </c>
      <c r="E279" s="3"/>
      <c r="F279" s="3"/>
      <c r="G279" s="3"/>
      <c r="H279" s="3"/>
      <c r="I279" s="3"/>
      <c r="L279" s="1537" t="s">
        <v>2655</v>
      </c>
      <c r="M279" s="1537"/>
      <c r="N279" s="1537"/>
      <c r="O279" s="1537"/>
      <c r="P279" s="1537"/>
      <c r="Q279" s="1537"/>
      <c r="R279" s="1537"/>
      <c r="S279" s="1537"/>
      <c r="T279" s="1537"/>
      <c r="U279" s="1537"/>
      <c r="V279" s="1537"/>
      <c r="W279" s="1537"/>
      <c r="X279" s="1537"/>
      <c r="Y279" s="1537"/>
      <c r="Z279" s="1537"/>
      <c r="AA279" s="1537"/>
      <c r="AB279" s="1537"/>
      <c r="AC279" s="1537"/>
      <c r="AD279" s="1537"/>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52" t="s">
        <v>551</v>
      </c>
      <c r="B281" s="1452"/>
      <c r="C281" s="1452"/>
      <c r="D281" s="1452"/>
      <c r="E281" s="1452"/>
      <c r="F281" s="1452"/>
      <c r="G281" s="1452"/>
      <c r="H281" s="1452"/>
      <c r="I281" s="1452"/>
      <c r="J281" s="1452"/>
      <c r="K281" s="1452"/>
      <c r="L281" s="1452"/>
      <c r="M281" s="1452"/>
      <c r="N281" s="1452"/>
      <c r="O281" s="1452"/>
      <c r="P281" s="1452"/>
      <c r="Q281" s="1452"/>
      <c r="R281" s="1452"/>
      <c r="S281" s="1452"/>
      <c r="T281" s="1452"/>
      <c r="U281" s="1452"/>
      <c r="V281" s="1452"/>
      <c r="W281" s="1452"/>
      <c r="X281" s="1452"/>
      <c r="Y281" s="1452"/>
      <c r="Z281" s="1452"/>
      <c r="AA281" s="1452"/>
      <c r="AB281" s="1452"/>
      <c r="AC281" s="1452"/>
      <c r="AD281" s="1452"/>
      <c r="AE281" s="1452"/>
      <c r="AF281" s="1452"/>
      <c r="AG281" s="1452"/>
      <c r="AH281" s="1452"/>
      <c r="AI281" s="1452"/>
      <c r="AJ281" s="1452"/>
      <c r="AK281" s="1452"/>
      <c r="AL281" s="1452"/>
      <c r="AM281" s="95"/>
      <c r="AN281" s="95"/>
      <c r="AO281" s="95"/>
      <c r="AP281" s="95"/>
      <c r="AQ281" s="95"/>
      <c r="AR281" s="95"/>
      <c r="AS281" s="95"/>
      <c r="AT281" s="95"/>
      <c r="AU281" s="95"/>
      <c r="AV281" s="95"/>
      <c r="AW281" s="95"/>
      <c r="AX281" s="95"/>
      <c r="AY281" s="95"/>
      <c r="BN281" s="34"/>
    </row>
    <row r="282" spans="1:66" ht="12.95" customHeight="1" thickBot="1">
      <c r="A282" s="1453"/>
      <c r="B282" s="1453"/>
      <c r="C282" s="1453"/>
      <c r="D282" s="1453"/>
      <c r="E282" s="1453"/>
      <c r="F282" s="1453"/>
      <c r="G282" s="1453"/>
      <c r="H282" s="1453"/>
      <c r="I282" s="1453"/>
      <c r="J282" s="1453"/>
      <c r="K282" s="1453"/>
      <c r="L282" s="1453"/>
      <c r="M282" s="1453"/>
      <c r="N282" s="1453"/>
      <c r="O282" s="1453"/>
      <c r="P282" s="1453"/>
      <c r="Q282" s="1453"/>
      <c r="R282" s="1453"/>
      <c r="S282" s="1453"/>
      <c r="T282" s="1453"/>
      <c r="U282" s="1453"/>
      <c r="V282" s="1453"/>
      <c r="W282" s="1453"/>
      <c r="X282" s="1453"/>
      <c r="Y282" s="1453"/>
      <c r="Z282" s="1453"/>
      <c r="AA282" s="1453"/>
      <c r="AB282" s="1453"/>
      <c r="AC282" s="1453"/>
      <c r="AD282" s="1453"/>
      <c r="AE282" s="1453"/>
      <c r="AF282" s="1453"/>
      <c r="AG282" s="1453"/>
      <c r="AH282" s="1453"/>
      <c r="AI282" s="1453"/>
      <c r="AJ282" s="1453"/>
      <c r="AK282" s="1453"/>
      <c r="AL282" s="145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408" t="s">
        <v>2652</v>
      </c>
      <c r="I286" s="1408"/>
      <c r="J286" s="1408"/>
      <c r="K286" s="1408"/>
      <c r="L286" s="1408"/>
      <c r="M286" s="1408"/>
      <c r="N286" s="1408"/>
      <c r="O286" s="1408"/>
      <c r="P286" s="1408"/>
      <c r="Q286" s="1408"/>
      <c r="R286" s="1408"/>
      <c r="T286" s="3" t="s">
        <v>577</v>
      </c>
      <c r="V286" s="3"/>
      <c r="W286" s="3"/>
      <c r="X286" s="3"/>
      <c r="Y286" s="3"/>
      <c r="AA286" s="1408" t="s">
        <v>2657</v>
      </c>
      <c r="AB286" s="1408"/>
      <c r="AC286" s="1408"/>
      <c r="AD286" s="1408"/>
      <c r="AE286" s="1408"/>
      <c r="AF286" s="1408"/>
      <c r="AG286" s="1408"/>
      <c r="AH286" s="1408"/>
      <c r="AI286" s="1408"/>
      <c r="AJ286" s="1408"/>
      <c r="AK286" s="1408"/>
      <c r="BN286" s="34"/>
    </row>
    <row r="287" spans="1:66" ht="12.95" customHeight="1">
      <c r="B287" s="3" t="s">
        <v>481</v>
      </c>
      <c r="C287" s="3"/>
      <c r="D287" s="3"/>
      <c r="E287" s="3"/>
      <c r="F287" s="3"/>
      <c r="H287" s="1393" t="s">
        <v>2647</v>
      </c>
      <c r="I287" s="1393"/>
      <c r="J287" s="1393"/>
      <c r="K287" s="1393"/>
      <c r="L287" s="1393"/>
      <c r="M287" s="1393"/>
      <c r="N287" s="1393"/>
      <c r="O287" s="1393"/>
      <c r="P287" s="1393"/>
      <c r="Q287" s="1393"/>
      <c r="R287" s="1393"/>
      <c r="T287" s="3" t="s">
        <v>481</v>
      </c>
      <c r="V287" s="3"/>
      <c r="W287" s="3"/>
      <c r="X287" s="3"/>
      <c r="Y287" s="3"/>
      <c r="AA287" s="1393" t="s">
        <v>2658</v>
      </c>
      <c r="AB287" s="1393"/>
      <c r="AC287" s="1393"/>
      <c r="AD287" s="1393"/>
      <c r="AE287" s="1393"/>
      <c r="AF287" s="1393"/>
      <c r="AG287" s="1393"/>
      <c r="AH287" s="1393"/>
      <c r="AI287" s="1393"/>
      <c r="AJ287" s="1393"/>
      <c r="AK287" s="1393"/>
      <c r="BN287" s="34"/>
    </row>
    <row r="288" spans="1:66" ht="12.95" customHeight="1">
      <c r="B288" s="3" t="s">
        <v>482</v>
      </c>
      <c r="C288" s="3"/>
      <c r="D288" s="3"/>
      <c r="E288" s="3"/>
      <c r="F288" s="3"/>
      <c r="H288" s="1393" t="s">
        <v>2656</v>
      </c>
      <c r="I288" s="1393"/>
      <c r="J288" s="1393"/>
      <c r="K288" s="1393"/>
      <c r="L288" s="1393"/>
      <c r="M288" s="1393"/>
      <c r="N288" s="1393"/>
      <c r="O288" s="1393"/>
      <c r="P288" s="1393"/>
      <c r="Q288" s="1393"/>
      <c r="R288" s="1393"/>
      <c r="T288" s="3" t="s">
        <v>76</v>
      </c>
      <c r="V288" s="3"/>
      <c r="W288" s="3"/>
      <c r="X288" s="3"/>
      <c r="Y288" s="3"/>
      <c r="AA288" s="1393" t="s">
        <v>2659</v>
      </c>
      <c r="AB288" s="1393"/>
      <c r="AC288" s="1393"/>
      <c r="AD288" s="1393"/>
      <c r="AE288" s="1393"/>
      <c r="AF288" s="1393"/>
      <c r="AG288" s="1393"/>
      <c r="AH288" s="1393"/>
      <c r="AI288" s="1393"/>
      <c r="AJ288" s="1393"/>
      <c r="AK288" s="1393"/>
      <c r="BN288" s="34"/>
    </row>
    <row r="289" spans="2:66" ht="12.95" customHeight="1">
      <c r="B289" s="3" t="s">
        <v>88</v>
      </c>
      <c r="C289" s="3"/>
      <c r="D289" s="3"/>
      <c r="E289" s="3"/>
      <c r="F289" s="3"/>
      <c r="H289" s="1393" t="s">
        <v>2653</v>
      </c>
      <c r="I289" s="1393"/>
      <c r="J289" s="1393"/>
      <c r="K289" s="1393"/>
      <c r="L289" s="1393"/>
      <c r="M289" s="1393"/>
      <c r="N289" s="1393"/>
      <c r="O289" s="1393"/>
      <c r="P289" s="1393"/>
      <c r="Q289" s="1393"/>
      <c r="R289" s="1393"/>
      <c r="T289" s="3" t="s">
        <v>88</v>
      </c>
      <c r="V289" s="3"/>
      <c r="W289" s="3"/>
      <c r="X289" s="3"/>
      <c r="Y289" s="3"/>
      <c r="AA289" s="1393" t="s">
        <v>2660</v>
      </c>
      <c r="AB289" s="1393"/>
      <c r="AC289" s="1393"/>
      <c r="AD289" s="1393"/>
      <c r="AE289" s="1393"/>
      <c r="AF289" s="1393"/>
      <c r="AG289" s="1393"/>
      <c r="AH289" s="1393"/>
      <c r="AI289" s="1393"/>
      <c r="AJ289" s="1393"/>
      <c r="AK289" s="1393"/>
      <c r="BN289" s="34"/>
    </row>
    <row r="290" spans="2:66" ht="12.95" customHeight="1">
      <c r="B290" s="3" t="s">
        <v>89</v>
      </c>
      <c r="C290" s="3"/>
      <c r="D290" s="3"/>
      <c r="E290" s="3"/>
      <c r="F290" s="3"/>
      <c r="G290" s="3"/>
      <c r="H290" s="1536">
        <v>7078251580</v>
      </c>
      <c r="I290" s="1536"/>
      <c r="J290" s="1536"/>
      <c r="K290" s="1536"/>
      <c r="L290" s="1536"/>
      <c r="M290" s="1536"/>
      <c r="N290" s="4" t="s">
        <v>208</v>
      </c>
      <c r="O290" s="4"/>
      <c r="P290" s="1535"/>
      <c r="Q290" s="1535"/>
      <c r="R290" s="1535"/>
      <c r="S290" s="3"/>
      <c r="T290" s="3" t="s">
        <v>89</v>
      </c>
      <c r="V290" s="3"/>
      <c r="W290" s="3"/>
      <c r="X290" s="3"/>
      <c r="Y290" s="3"/>
      <c r="AA290" s="1536" t="s">
        <v>2661</v>
      </c>
      <c r="AB290" s="1536"/>
      <c r="AC290" s="1536"/>
      <c r="AD290" s="1536"/>
      <c r="AE290" s="1536"/>
      <c r="AF290" s="1536"/>
      <c r="AG290" s="4" t="s">
        <v>208</v>
      </c>
      <c r="AH290" s="4"/>
      <c r="AI290" s="1535"/>
      <c r="AJ290" s="1535"/>
      <c r="AK290" s="1535"/>
      <c r="BN290" s="34"/>
    </row>
    <row r="291" spans="2:66" ht="12.95" customHeight="1">
      <c r="B291" s="3" t="s">
        <v>90</v>
      </c>
      <c r="C291" s="3"/>
      <c r="D291" s="3"/>
      <c r="E291" s="3"/>
      <c r="F291" s="3"/>
      <c r="G291" s="3"/>
      <c r="H291" s="1447">
        <v>7078229596</v>
      </c>
      <c r="I291" s="1447"/>
      <c r="J291" s="1447"/>
      <c r="K291" s="1447"/>
      <c r="L291" s="1447"/>
      <c r="M291" s="1447"/>
      <c r="N291" s="4"/>
      <c r="O291" s="4"/>
      <c r="P291" s="35"/>
      <c r="Q291" s="35"/>
      <c r="R291" s="35"/>
      <c r="S291" s="3"/>
      <c r="T291" s="3" t="s">
        <v>90</v>
      </c>
      <c r="V291" s="3"/>
      <c r="W291" s="3"/>
      <c r="X291" s="3"/>
      <c r="Y291" s="3"/>
      <c r="AA291" s="1447"/>
      <c r="AB291" s="1447"/>
      <c r="AC291" s="1447"/>
      <c r="AD291" s="1447"/>
      <c r="AE291" s="1447"/>
      <c r="AF291" s="1447"/>
      <c r="AG291" s="4"/>
      <c r="AH291" s="4"/>
      <c r="AI291" s="35"/>
      <c r="AJ291" s="35"/>
      <c r="AK291" s="35"/>
      <c r="BN291" s="34"/>
    </row>
    <row r="292" spans="2:66" ht="12.95" customHeight="1">
      <c r="B292" s="3" t="s">
        <v>77</v>
      </c>
      <c r="C292" s="3"/>
      <c r="D292" s="3"/>
      <c r="E292" s="3"/>
      <c r="F292" s="3"/>
      <c r="G292" s="3"/>
      <c r="H292" s="1393" t="s">
        <v>2654</v>
      </c>
      <c r="I292" s="1393"/>
      <c r="J292" s="1393"/>
      <c r="K292" s="1393"/>
      <c r="L292" s="1393"/>
      <c r="M292" s="1393"/>
      <c r="N292" s="1408"/>
      <c r="O292" s="1408"/>
      <c r="P292" s="1408"/>
      <c r="Q292" s="1408"/>
      <c r="R292" s="1408"/>
      <c r="S292" s="3"/>
      <c r="T292" s="3" t="s">
        <v>77</v>
      </c>
      <c r="V292" s="3"/>
      <c r="W292" s="3"/>
      <c r="X292" s="3"/>
      <c r="Y292" s="3"/>
      <c r="AA292" s="1393" t="s">
        <v>2662</v>
      </c>
      <c r="AB292" s="1393"/>
      <c r="AC292" s="1393"/>
      <c r="AD292" s="1393"/>
      <c r="AE292" s="1393"/>
      <c r="AF292" s="1393"/>
      <c r="AG292" s="1408"/>
      <c r="AH292" s="1408"/>
      <c r="AI292" s="1408"/>
      <c r="AJ292" s="1408"/>
      <c r="AK292" s="1408"/>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408" t="s">
        <v>2663</v>
      </c>
      <c r="I294" s="1408"/>
      <c r="J294" s="1408"/>
      <c r="K294" s="1408"/>
      <c r="L294" s="1408"/>
      <c r="M294" s="1408"/>
      <c r="N294" s="1408"/>
      <c r="O294" s="1408"/>
      <c r="P294" s="1408"/>
      <c r="Q294" s="1408"/>
      <c r="R294" s="1408"/>
      <c r="T294" s="3" t="s">
        <v>366</v>
      </c>
      <c r="V294" s="3"/>
      <c r="W294" s="3"/>
      <c r="X294" s="3"/>
      <c r="Y294" s="3"/>
      <c r="AA294" s="1408" t="s">
        <v>2668</v>
      </c>
      <c r="AB294" s="1408"/>
      <c r="AC294" s="1408"/>
      <c r="AD294" s="1408"/>
      <c r="AE294" s="1408"/>
      <c r="AF294" s="1408"/>
      <c r="AG294" s="1408"/>
      <c r="AH294" s="1408"/>
      <c r="AI294" s="1408"/>
      <c r="AJ294" s="1408"/>
      <c r="AK294" s="1408"/>
      <c r="BN294" s="34"/>
    </row>
    <row r="295" spans="2:66" ht="12.95" customHeight="1">
      <c r="B295" s="3" t="s">
        <v>481</v>
      </c>
      <c r="C295" s="3"/>
      <c r="D295" s="3"/>
      <c r="E295" s="3"/>
      <c r="F295" s="3"/>
      <c r="H295" s="1393" t="s">
        <v>2664</v>
      </c>
      <c r="I295" s="1393"/>
      <c r="J295" s="1393"/>
      <c r="K295" s="1393"/>
      <c r="L295" s="1393"/>
      <c r="M295" s="1393"/>
      <c r="N295" s="1393"/>
      <c r="O295" s="1393"/>
      <c r="P295" s="1393"/>
      <c r="Q295" s="1393"/>
      <c r="R295" s="1393"/>
      <c r="T295" s="3" t="s">
        <v>481</v>
      </c>
      <c r="V295" s="3"/>
      <c r="W295" s="3"/>
      <c r="X295" s="3"/>
      <c r="Y295" s="3"/>
      <c r="AA295" s="1393" t="s">
        <v>2647</v>
      </c>
      <c r="AB295" s="1393"/>
      <c r="AC295" s="1393"/>
      <c r="AD295" s="1393"/>
      <c r="AE295" s="1393"/>
      <c r="AF295" s="1393"/>
      <c r="AG295" s="1393"/>
      <c r="AH295" s="1393"/>
      <c r="AI295" s="1393"/>
      <c r="AJ295" s="1393"/>
      <c r="AK295" s="1393"/>
      <c r="BN295" s="34"/>
    </row>
    <row r="296" spans="2:66" ht="12.95" customHeight="1">
      <c r="B296" s="3" t="s">
        <v>482</v>
      </c>
      <c r="C296" s="3"/>
      <c r="D296" s="3"/>
      <c r="E296" s="3"/>
      <c r="F296" s="3"/>
      <c r="H296" s="1393" t="s">
        <v>2665</v>
      </c>
      <c r="I296" s="1393"/>
      <c r="J296" s="1393"/>
      <c r="K296" s="1393"/>
      <c r="L296" s="1393"/>
      <c r="M296" s="1393"/>
      <c r="N296" s="1393"/>
      <c r="O296" s="1393"/>
      <c r="P296" s="1393"/>
      <c r="Q296" s="1393"/>
      <c r="R296" s="1393"/>
      <c r="T296" s="3" t="s">
        <v>76</v>
      </c>
      <c r="V296" s="3"/>
      <c r="W296" s="3"/>
      <c r="X296" s="3"/>
      <c r="Y296" s="3"/>
      <c r="AA296" s="1393" t="s">
        <v>2656</v>
      </c>
      <c r="AB296" s="1393"/>
      <c r="AC296" s="1393"/>
      <c r="AD296" s="1393"/>
      <c r="AE296" s="1393"/>
      <c r="AF296" s="1393"/>
      <c r="AG296" s="1393"/>
      <c r="AH296" s="1393"/>
      <c r="AI296" s="1393"/>
      <c r="AJ296" s="1393"/>
      <c r="AK296" s="1393"/>
      <c r="BN296" s="34"/>
    </row>
    <row r="297" spans="2:66" ht="12.95" customHeight="1">
      <c r="B297" s="3" t="s">
        <v>88</v>
      </c>
      <c r="C297" s="3"/>
      <c r="D297" s="3"/>
      <c r="E297" s="3"/>
      <c r="F297" s="3"/>
      <c r="H297" s="1393" t="s">
        <v>2666</v>
      </c>
      <c r="I297" s="1393"/>
      <c r="J297" s="1393"/>
      <c r="K297" s="1393"/>
      <c r="L297" s="1393"/>
      <c r="M297" s="1393"/>
      <c r="N297" s="1393"/>
      <c r="O297" s="1393"/>
      <c r="P297" s="1393"/>
      <c r="Q297" s="1393"/>
      <c r="R297" s="1393"/>
      <c r="T297" s="3" t="s">
        <v>88</v>
      </c>
      <c r="V297" s="3"/>
      <c r="W297" s="3"/>
      <c r="X297" s="3"/>
      <c r="Y297" s="3"/>
      <c r="AA297" s="1393" t="s">
        <v>2649</v>
      </c>
      <c r="AB297" s="1393"/>
      <c r="AC297" s="1393"/>
      <c r="AD297" s="1393"/>
      <c r="AE297" s="1393"/>
      <c r="AF297" s="1393"/>
      <c r="AG297" s="1393"/>
      <c r="AH297" s="1393"/>
      <c r="AI297" s="1393"/>
      <c r="AJ297" s="1393"/>
      <c r="AK297" s="1393"/>
      <c r="BN297" s="34"/>
    </row>
    <row r="298" spans="2:66" ht="12.95" customHeight="1">
      <c r="B298" s="3" t="s">
        <v>89</v>
      </c>
      <c r="C298" s="3"/>
      <c r="D298" s="3"/>
      <c r="E298" s="3"/>
      <c r="F298" s="3"/>
      <c r="G298" s="3"/>
      <c r="H298" s="1536">
        <v>9512156212</v>
      </c>
      <c r="I298" s="1536"/>
      <c r="J298" s="1536"/>
      <c r="K298" s="1536"/>
      <c r="L298" s="1536"/>
      <c r="M298" s="1536"/>
      <c r="N298" s="4" t="s">
        <v>208</v>
      </c>
      <c r="O298" s="4"/>
      <c r="P298" s="1535"/>
      <c r="Q298" s="1535"/>
      <c r="R298" s="1535"/>
      <c r="S298" s="3"/>
      <c r="T298" s="3" t="s">
        <v>89</v>
      </c>
      <c r="V298" s="3"/>
      <c r="W298" s="3"/>
      <c r="X298" s="3"/>
      <c r="Y298" s="3"/>
      <c r="AA298" s="1536" t="s">
        <v>2669</v>
      </c>
      <c r="AB298" s="1536"/>
      <c r="AC298" s="1536"/>
      <c r="AD298" s="1536"/>
      <c r="AE298" s="1536"/>
      <c r="AF298" s="1536"/>
      <c r="AG298" s="4" t="s">
        <v>208</v>
      </c>
      <c r="AH298" s="4"/>
      <c r="AI298" s="1535"/>
      <c r="AJ298" s="1535"/>
      <c r="AK298" s="1535"/>
      <c r="BN298" s="34"/>
    </row>
    <row r="299" spans="2:66" ht="12.95" customHeight="1">
      <c r="B299" s="3" t="s">
        <v>90</v>
      </c>
      <c r="C299" s="3"/>
      <c r="D299" s="3"/>
      <c r="E299" s="3"/>
      <c r="F299" s="3"/>
      <c r="G299" s="3"/>
      <c r="H299" s="1447"/>
      <c r="I299" s="1447"/>
      <c r="J299" s="1447"/>
      <c r="K299" s="1447"/>
      <c r="L299" s="1447"/>
      <c r="M299" s="1447"/>
      <c r="N299" s="4"/>
      <c r="O299" s="4"/>
      <c r="P299" s="35"/>
      <c r="Q299" s="35"/>
      <c r="R299" s="35"/>
      <c r="S299" s="3"/>
      <c r="T299" s="3" t="s">
        <v>90</v>
      </c>
      <c r="V299" s="3"/>
      <c r="W299" s="3"/>
      <c r="X299" s="3"/>
      <c r="Y299" s="3"/>
      <c r="AA299" s="1447" t="s">
        <v>2670</v>
      </c>
      <c r="AB299" s="1447"/>
      <c r="AC299" s="1447"/>
      <c r="AD299" s="1447"/>
      <c r="AE299" s="1447"/>
      <c r="AF299" s="1447"/>
      <c r="AG299" s="4"/>
      <c r="AH299" s="4"/>
      <c r="AI299" s="35"/>
      <c r="AJ299" s="35"/>
      <c r="AK299" s="35"/>
      <c r="BN299" s="34"/>
    </row>
    <row r="300" spans="2:66" ht="12.95" customHeight="1">
      <c r="B300" s="3" t="s">
        <v>77</v>
      </c>
      <c r="C300" s="3"/>
      <c r="D300" s="3"/>
      <c r="E300" s="3"/>
      <c r="F300" s="3"/>
      <c r="G300" s="3"/>
      <c r="H300" s="1393" t="s">
        <v>2667</v>
      </c>
      <c r="I300" s="1393"/>
      <c r="J300" s="1393"/>
      <c r="K300" s="1393"/>
      <c r="L300" s="1393"/>
      <c r="M300" s="1393"/>
      <c r="N300" s="1408"/>
      <c r="O300" s="1408"/>
      <c r="P300" s="1408"/>
      <c r="Q300" s="1408"/>
      <c r="R300" s="1408"/>
      <c r="S300" s="3"/>
      <c r="T300" s="3" t="s">
        <v>77</v>
      </c>
      <c r="V300" s="3"/>
      <c r="W300" s="3"/>
      <c r="X300" s="3"/>
      <c r="Y300" s="3"/>
      <c r="AA300" s="1393" t="s">
        <v>2650</v>
      </c>
      <c r="AB300" s="1393"/>
      <c r="AC300" s="1393"/>
      <c r="AD300" s="1393"/>
      <c r="AE300" s="1393"/>
      <c r="AF300" s="1393"/>
      <c r="AG300" s="1408"/>
      <c r="AH300" s="1408"/>
      <c r="AI300" s="1408"/>
      <c r="AJ300" s="1408"/>
      <c r="AK300" s="1408"/>
      <c r="BN300" s="34"/>
    </row>
    <row r="301" spans="2:66" ht="12.95" customHeight="1">
      <c r="BN301" s="34"/>
    </row>
    <row r="302" spans="2:66" ht="12.95" customHeight="1">
      <c r="B302" s="3" t="s">
        <v>78</v>
      </c>
      <c r="C302" s="3"/>
      <c r="D302" s="3"/>
      <c r="E302" s="3"/>
      <c r="F302" s="3"/>
      <c r="H302" s="1408"/>
      <c r="I302" s="1408"/>
      <c r="J302" s="1408"/>
      <c r="K302" s="1408"/>
      <c r="L302" s="1408"/>
      <c r="M302" s="1408"/>
      <c r="N302" s="1408"/>
      <c r="O302" s="1408"/>
      <c r="P302" s="1408"/>
      <c r="Q302" s="1408"/>
      <c r="R302" s="1408"/>
      <c r="T302" s="4" t="s">
        <v>908</v>
      </c>
      <c r="V302" s="3"/>
      <c r="W302" s="3"/>
      <c r="X302" s="3"/>
      <c r="Y302" s="3"/>
      <c r="AA302" s="1408" t="s">
        <v>2671</v>
      </c>
      <c r="AB302" s="1408"/>
      <c r="AC302" s="1408"/>
      <c r="AD302" s="1408"/>
      <c r="AE302" s="1408"/>
      <c r="AF302" s="1408"/>
      <c r="AG302" s="1408"/>
      <c r="AH302" s="1408"/>
      <c r="AI302" s="1408"/>
      <c r="AJ302" s="1408"/>
      <c r="AK302" s="1408"/>
      <c r="BN302" s="34"/>
    </row>
    <row r="303" spans="2:66" ht="12.95" customHeight="1">
      <c r="B303" s="3" t="s">
        <v>481</v>
      </c>
      <c r="C303" s="3"/>
      <c r="D303" s="3"/>
      <c r="E303" s="3"/>
      <c r="F303" s="3"/>
      <c r="H303" s="1393"/>
      <c r="I303" s="1393"/>
      <c r="J303" s="1393"/>
      <c r="K303" s="1393"/>
      <c r="L303" s="1393"/>
      <c r="M303" s="1393"/>
      <c r="N303" s="1393"/>
      <c r="O303" s="1393"/>
      <c r="P303" s="1393"/>
      <c r="Q303" s="1393"/>
      <c r="R303" s="1393"/>
      <c r="T303" s="3" t="s">
        <v>481</v>
      </c>
      <c r="V303" s="3"/>
      <c r="W303" s="3"/>
      <c r="X303" s="3"/>
      <c r="Y303" s="3"/>
      <c r="AA303" s="1393" t="s">
        <v>2672</v>
      </c>
      <c r="AB303" s="1393"/>
      <c r="AC303" s="1393"/>
      <c r="AD303" s="1393"/>
      <c r="AE303" s="1393"/>
      <c r="AF303" s="1393"/>
      <c r="AG303" s="1393"/>
      <c r="AH303" s="1393"/>
      <c r="AI303" s="1393"/>
      <c r="AJ303" s="1393"/>
      <c r="AK303" s="1393"/>
      <c r="BN303" s="34"/>
    </row>
    <row r="304" spans="2:66" ht="12.95" customHeight="1">
      <c r="B304" s="3" t="s">
        <v>482</v>
      </c>
      <c r="C304" s="3"/>
      <c r="D304" s="3"/>
      <c r="E304" s="3"/>
      <c r="F304" s="3"/>
      <c r="H304" s="1393"/>
      <c r="I304" s="1393"/>
      <c r="J304" s="1393"/>
      <c r="K304" s="1393"/>
      <c r="L304" s="1393"/>
      <c r="M304" s="1393"/>
      <c r="N304" s="1393"/>
      <c r="O304" s="1393"/>
      <c r="P304" s="1393"/>
      <c r="Q304" s="1393"/>
      <c r="R304" s="1393"/>
      <c r="T304" s="3" t="s">
        <v>76</v>
      </c>
      <c r="V304" s="3"/>
      <c r="W304" s="3"/>
      <c r="X304" s="3"/>
      <c r="Y304" s="3"/>
      <c r="AA304" s="1393" t="s">
        <v>2656</v>
      </c>
      <c r="AB304" s="1393"/>
      <c r="AC304" s="1393"/>
      <c r="AD304" s="1393"/>
      <c r="AE304" s="1393"/>
      <c r="AF304" s="1393"/>
      <c r="AG304" s="1393"/>
      <c r="AH304" s="1393"/>
      <c r="AI304" s="1393"/>
      <c r="AJ304" s="1393"/>
      <c r="AK304" s="1393"/>
      <c r="BN304" s="34"/>
    </row>
    <row r="305" spans="2:66" ht="12.95" customHeight="1">
      <c r="B305" s="3" t="s">
        <v>88</v>
      </c>
      <c r="C305" s="3"/>
      <c r="D305" s="3"/>
      <c r="E305" s="3"/>
      <c r="F305" s="3"/>
      <c r="H305" s="1393"/>
      <c r="I305" s="1393"/>
      <c r="J305" s="1393"/>
      <c r="K305" s="1393"/>
      <c r="L305" s="1393"/>
      <c r="M305" s="1393"/>
      <c r="N305" s="1393"/>
      <c r="O305" s="1393"/>
      <c r="P305" s="1393"/>
      <c r="Q305" s="1393"/>
      <c r="R305" s="1393"/>
      <c r="T305" s="3" t="s">
        <v>88</v>
      </c>
      <c r="V305" s="3"/>
      <c r="W305" s="3"/>
      <c r="X305" s="3"/>
      <c r="Y305" s="3"/>
      <c r="AA305" s="1393" t="s">
        <v>2673</v>
      </c>
      <c r="AB305" s="1393"/>
      <c r="AC305" s="1393"/>
      <c r="AD305" s="1393"/>
      <c r="AE305" s="1393"/>
      <c r="AF305" s="1393"/>
      <c r="AG305" s="1393"/>
      <c r="AH305" s="1393"/>
      <c r="AI305" s="1393"/>
      <c r="AJ305" s="1393"/>
      <c r="AK305" s="1393"/>
      <c r="BN305" s="34"/>
    </row>
    <row r="306" spans="2:66" ht="12.95" customHeight="1">
      <c r="B306" s="3" t="s">
        <v>89</v>
      </c>
      <c r="C306" s="3"/>
      <c r="D306" s="3"/>
      <c r="E306" s="3"/>
      <c r="F306" s="3"/>
      <c r="G306" s="3"/>
      <c r="H306" s="1536"/>
      <c r="I306" s="1536"/>
      <c r="J306" s="1536"/>
      <c r="K306" s="1536"/>
      <c r="L306" s="1536"/>
      <c r="M306" s="1536"/>
      <c r="N306" s="4" t="s">
        <v>208</v>
      </c>
      <c r="O306" s="4"/>
      <c r="P306" s="1535"/>
      <c r="Q306" s="1535"/>
      <c r="R306" s="1535"/>
      <c r="S306" s="3"/>
      <c r="T306" s="3" t="s">
        <v>89</v>
      </c>
      <c r="V306" s="3"/>
      <c r="W306" s="3"/>
      <c r="X306" s="3"/>
      <c r="Y306" s="3"/>
      <c r="AA306" s="1536" t="s">
        <v>2674</v>
      </c>
      <c r="AB306" s="1536"/>
      <c r="AC306" s="1536"/>
      <c r="AD306" s="1536"/>
      <c r="AE306" s="1536"/>
      <c r="AF306" s="1536"/>
      <c r="AG306" s="4" t="s">
        <v>208</v>
      </c>
      <c r="AH306" s="4"/>
      <c r="AI306" s="1535"/>
      <c r="AJ306" s="1535"/>
      <c r="AK306" s="1535"/>
      <c r="BN306" s="34"/>
    </row>
    <row r="307" spans="2:66" ht="12.95" customHeight="1">
      <c r="B307" s="3" t="s">
        <v>90</v>
      </c>
      <c r="C307" s="3"/>
      <c r="D307" s="3"/>
      <c r="E307" s="3"/>
      <c r="F307" s="3"/>
      <c r="G307" s="3"/>
      <c r="H307" s="1447"/>
      <c r="I307" s="1447"/>
      <c r="J307" s="1447"/>
      <c r="K307" s="1447"/>
      <c r="L307" s="1447"/>
      <c r="M307" s="1447"/>
      <c r="N307" s="4"/>
      <c r="O307" s="4"/>
      <c r="P307" s="35"/>
      <c r="Q307" s="35"/>
      <c r="R307" s="35"/>
      <c r="S307" s="3"/>
      <c r="T307" s="3" t="s">
        <v>90</v>
      </c>
      <c r="V307" s="3"/>
      <c r="W307" s="3"/>
      <c r="X307" s="3"/>
      <c r="Y307" s="3"/>
      <c r="AA307" s="1447"/>
      <c r="AB307" s="1447"/>
      <c r="AC307" s="1447"/>
      <c r="AD307" s="1447"/>
      <c r="AE307" s="1447"/>
      <c r="AF307" s="1447"/>
      <c r="AG307" s="4"/>
      <c r="AH307" s="4"/>
      <c r="AI307" s="35"/>
      <c r="AJ307" s="35"/>
      <c r="AK307" s="35"/>
      <c r="BN307" s="34"/>
    </row>
    <row r="308" spans="2:66" ht="12.95" customHeight="1">
      <c r="B308" s="3" t="s">
        <v>77</v>
      </c>
      <c r="C308" s="3"/>
      <c r="D308" s="3"/>
      <c r="E308" s="3"/>
      <c r="F308" s="3"/>
      <c r="G308" s="3"/>
      <c r="H308" s="1393"/>
      <c r="I308" s="1393"/>
      <c r="J308" s="1393"/>
      <c r="K308" s="1393"/>
      <c r="L308" s="1393"/>
      <c r="M308" s="1393"/>
      <c r="N308" s="1408"/>
      <c r="O308" s="1408"/>
      <c r="P308" s="1408"/>
      <c r="Q308" s="1408"/>
      <c r="R308" s="1408"/>
      <c r="S308" s="3"/>
      <c r="T308" s="3" t="s">
        <v>77</v>
      </c>
      <c r="V308" s="3"/>
      <c r="W308" s="3"/>
      <c r="X308" s="3"/>
      <c r="Y308" s="3"/>
      <c r="AA308" s="1393" t="s">
        <v>2675</v>
      </c>
      <c r="AB308" s="1393"/>
      <c r="AC308" s="1393"/>
      <c r="AD308" s="1393"/>
      <c r="AE308" s="1393"/>
      <c r="AF308" s="1393"/>
      <c r="AG308" s="1408"/>
      <c r="AH308" s="1408"/>
      <c r="AI308" s="1408"/>
      <c r="AJ308" s="1408"/>
      <c r="AK308" s="1408"/>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408"/>
      <c r="I310" s="1408"/>
      <c r="J310" s="1408"/>
      <c r="K310" s="1408"/>
      <c r="L310" s="1408"/>
      <c r="M310" s="1408"/>
      <c r="N310" s="1408"/>
      <c r="O310" s="1408"/>
      <c r="P310" s="1408"/>
      <c r="Q310" s="1408"/>
      <c r="R310" s="1408"/>
      <c r="S310" s="3"/>
      <c r="T310" s="3" t="s">
        <v>367</v>
      </c>
      <c r="V310" s="3"/>
      <c r="W310" s="3"/>
      <c r="X310" s="3"/>
      <c r="Y310" s="3"/>
      <c r="AA310" s="1408" t="s">
        <v>2734</v>
      </c>
      <c r="AB310" s="1408"/>
      <c r="AC310" s="1408"/>
      <c r="AD310" s="1408"/>
      <c r="AE310" s="1408"/>
      <c r="AF310" s="1408"/>
      <c r="AG310" s="1408"/>
      <c r="AH310" s="1408"/>
      <c r="AI310" s="1408"/>
      <c r="AJ310" s="1408"/>
      <c r="AK310" s="1408"/>
      <c r="BN310" s="34"/>
    </row>
    <row r="311" spans="2:66" ht="12.95" customHeight="1">
      <c r="B311" s="3" t="s">
        <v>481</v>
      </c>
      <c r="C311" s="3"/>
      <c r="D311" s="3"/>
      <c r="E311" s="3"/>
      <c r="F311" s="3"/>
      <c r="H311" s="1393"/>
      <c r="I311" s="1393"/>
      <c r="J311" s="1393"/>
      <c r="K311" s="1393"/>
      <c r="L311" s="1393"/>
      <c r="M311" s="1393"/>
      <c r="N311" s="1393"/>
      <c r="O311" s="1393"/>
      <c r="P311" s="1393"/>
      <c r="Q311" s="1393"/>
      <c r="R311" s="1393"/>
      <c r="S311" s="3"/>
      <c r="T311" s="3" t="s">
        <v>481</v>
      </c>
      <c r="V311" s="3"/>
      <c r="W311" s="3"/>
      <c r="X311" s="3"/>
      <c r="Y311" s="3"/>
      <c r="AA311" s="1393" t="s">
        <v>2735</v>
      </c>
      <c r="AB311" s="1393"/>
      <c r="AC311" s="1393"/>
      <c r="AD311" s="1393"/>
      <c r="AE311" s="1393"/>
      <c r="AF311" s="1393"/>
      <c r="AG311" s="1393"/>
      <c r="AH311" s="1393"/>
      <c r="AI311" s="1393"/>
      <c r="AJ311" s="1393"/>
      <c r="AK311" s="1393"/>
      <c r="BN311" s="34"/>
    </row>
    <row r="312" spans="2:66" ht="12.95" customHeight="1">
      <c r="B312" s="3" t="s">
        <v>482</v>
      </c>
      <c r="C312" s="3"/>
      <c r="D312" s="3"/>
      <c r="E312" s="3"/>
      <c r="F312" s="3"/>
      <c r="H312" s="1393"/>
      <c r="I312" s="1393"/>
      <c r="J312" s="1393"/>
      <c r="K312" s="1393"/>
      <c r="L312" s="1393"/>
      <c r="M312" s="1393"/>
      <c r="N312" s="1393"/>
      <c r="O312" s="1393"/>
      <c r="P312" s="1393"/>
      <c r="Q312" s="1393"/>
      <c r="R312" s="1393"/>
      <c r="S312" s="3"/>
      <c r="T312" s="3" t="s">
        <v>76</v>
      </c>
      <c r="V312" s="3"/>
      <c r="W312" s="3"/>
      <c r="X312" s="3"/>
      <c r="Y312" s="3"/>
      <c r="AA312" s="1393" t="s">
        <v>2736</v>
      </c>
      <c r="AB312" s="1393"/>
      <c r="AC312" s="1393"/>
      <c r="AD312" s="1393"/>
      <c r="AE312" s="1393"/>
      <c r="AF312" s="1393"/>
      <c r="AG312" s="1393"/>
      <c r="AH312" s="1393"/>
      <c r="AI312" s="1393"/>
      <c r="AJ312" s="1393"/>
      <c r="AK312" s="1393"/>
      <c r="BN312" s="34"/>
    </row>
    <row r="313" spans="2:66" ht="12.95" customHeight="1">
      <c r="B313" s="3" t="s">
        <v>88</v>
      </c>
      <c r="C313" s="3"/>
      <c r="D313" s="3"/>
      <c r="E313" s="3"/>
      <c r="F313" s="3"/>
      <c r="H313" s="1393"/>
      <c r="I313" s="1393"/>
      <c r="J313" s="1393"/>
      <c r="K313" s="1393"/>
      <c r="L313" s="1393"/>
      <c r="M313" s="1393"/>
      <c r="N313" s="1393"/>
      <c r="O313" s="1393"/>
      <c r="P313" s="1393"/>
      <c r="Q313" s="1393"/>
      <c r="R313" s="1393"/>
      <c r="S313" s="3"/>
      <c r="T313" s="3" t="s">
        <v>88</v>
      </c>
      <c r="V313" s="3"/>
      <c r="W313" s="3"/>
      <c r="X313" s="3"/>
      <c r="Y313" s="3"/>
      <c r="AA313" s="1393" t="s">
        <v>2737</v>
      </c>
      <c r="AB313" s="1393"/>
      <c r="AC313" s="1393"/>
      <c r="AD313" s="1393"/>
      <c r="AE313" s="1393"/>
      <c r="AF313" s="1393"/>
      <c r="AG313" s="1393"/>
      <c r="AH313" s="1393"/>
      <c r="AI313" s="1393"/>
      <c r="AJ313" s="1393"/>
      <c r="AK313" s="1393"/>
      <c r="BN313" s="34"/>
    </row>
    <row r="314" spans="2:66" ht="12.95" customHeight="1">
      <c r="B314" s="3" t="s">
        <v>89</v>
      </c>
      <c r="C314" s="3"/>
      <c r="D314" s="3"/>
      <c r="E314" s="3"/>
      <c r="F314" s="3"/>
      <c r="G314" s="3"/>
      <c r="H314" s="1536"/>
      <c r="I314" s="1536"/>
      <c r="J314" s="1536"/>
      <c r="K314" s="1536"/>
      <c r="L314" s="1536"/>
      <c r="M314" s="1536"/>
      <c r="N314" s="4" t="s">
        <v>208</v>
      </c>
      <c r="O314" s="4"/>
      <c r="P314" s="1535"/>
      <c r="Q314" s="1535"/>
      <c r="R314" s="1535"/>
      <c r="S314" s="3"/>
      <c r="T314" s="3" t="s">
        <v>89</v>
      </c>
      <c r="V314" s="3"/>
      <c r="W314" s="3"/>
      <c r="X314" s="3"/>
      <c r="Y314" s="3"/>
      <c r="AA314" s="1536">
        <v>3108604550</v>
      </c>
      <c r="AB314" s="1536"/>
      <c r="AC314" s="1536"/>
      <c r="AD314" s="1536"/>
      <c r="AE314" s="1536"/>
      <c r="AF314" s="1536"/>
      <c r="AG314" s="4" t="s">
        <v>208</v>
      </c>
      <c r="AH314" s="4"/>
      <c r="AI314" s="1535"/>
      <c r="AJ314" s="1535"/>
      <c r="AK314" s="1535"/>
      <c r="BN314" s="34"/>
    </row>
    <row r="315" spans="2:66" ht="12.95" customHeight="1">
      <c r="B315" s="3" t="s">
        <v>90</v>
      </c>
      <c r="C315" s="3"/>
      <c r="D315" s="3"/>
      <c r="E315" s="3"/>
      <c r="F315" s="3"/>
      <c r="G315" s="3"/>
      <c r="H315" s="1447"/>
      <c r="I315" s="1447"/>
      <c r="J315" s="1447"/>
      <c r="K315" s="1447"/>
      <c r="L315" s="1447"/>
      <c r="M315" s="1447"/>
      <c r="N315" s="4"/>
      <c r="O315" s="4"/>
      <c r="P315" s="35"/>
      <c r="Q315" s="35"/>
      <c r="R315" s="35"/>
      <c r="S315" s="3"/>
      <c r="T315" s="3" t="s">
        <v>90</v>
      </c>
      <c r="V315" s="3"/>
      <c r="W315" s="3"/>
      <c r="X315" s="3"/>
      <c r="Y315" s="3"/>
      <c r="AA315" s="1447"/>
      <c r="AB315" s="1447"/>
      <c r="AC315" s="1447"/>
      <c r="AD315" s="1447"/>
      <c r="AE315" s="1447"/>
      <c r="AF315" s="1447"/>
      <c r="AG315" s="4"/>
      <c r="AH315" s="4"/>
      <c r="AI315" s="35"/>
      <c r="AJ315" s="35"/>
      <c r="AK315" s="35"/>
      <c r="BN315" s="34"/>
    </row>
    <row r="316" spans="2:66" ht="12.95" customHeight="1">
      <c r="B316" s="3" t="s">
        <v>77</v>
      </c>
      <c r="C316" s="3"/>
      <c r="D316" s="3"/>
      <c r="E316" s="3"/>
      <c r="F316" s="3"/>
      <c r="G316" s="3"/>
      <c r="H316" s="1393"/>
      <c r="I316" s="1393"/>
      <c r="J316" s="1393"/>
      <c r="K316" s="1393"/>
      <c r="L316" s="1393"/>
      <c r="M316" s="1393"/>
      <c r="N316" s="1408"/>
      <c r="O316" s="1408"/>
      <c r="P316" s="1408"/>
      <c r="Q316" s="1408"/>
      <c r="R316" s="1408"/>
      <c r="S316" s="3"/>
      <c r="T316" s="3" t="s">
        <v>77</v>
      </c>
      <c r="V316" s="3"/>
      <c r="W316" s="3"/>
      <c r="X316" s="3"/>
      <c r="Y316" s="3"/>
      <c r="AA316" s="1393" t="s">
        <v>2738</v>
      </c>
      <c r="AB316" s="1393"/>
      <c r="AC316" s="1393"/>
      <c r="AD316" s="1393"/>
      <c r="AE316" s="1393"/>
      <c r="AF316" s="1393"/>
      <c r="AG316" s="1408"/>
      <c r="AH316" s="1408"/>
      <c r="AI316" s="1408"/>
      <c r="AJ316" s="1408"/>
      <c r="AK316" s="1408"/>
      <c r="BN316" s="34"/>
    </row>
    <row r="317" spans="2:66" ht="12.95" customHeight="1">
      <c r="BN317" s="34"/>
    </row>
    <row r="318" spans="2:66" ht="12.95" customHeight="1">
      <c r="B318" s="4" t="s">
        <v>942</v>
      </c>
      <c r="C318" s="3"/>
      <c r="D318" s="3"/>
      <c r="E318" s="3"/>
      <c r="F318" s="3"/>
      <c r="H318" s="1408"/>
      <c r="I318" s="1408"/>
      <c r="J318" s="1408"/>
      <c r="K318" s="1408"/>
      <c r="L318" s="1408"/>
      <c r="M318" s="1408"/>
      <c r="N318" s="1408"/>
      <c r="O318" s="1408"/>
      <c r="P318" s="1408"/>
      <c r="Q318" s="1408"/>
      <c r="R318" s="1408"/>
      <c r="T318" s="3" t="s">
        <v>368</v>
      </c>
      <c r="V318" s="3"/>
      <c r="W318" s="3"/>
      <c r="X318" s="3"/>
      <c r="Y318" s="3"/>
      <c r="AA318" s="1408" t="s">
        <v>2676</v>
      </c>
      <c r="AB318" s="1408"/>
      <c r="AC318" s="1408"/>
      <c r="AD318" s="1408"/>
      <c r="AE318" s="1408"/>
      <c r="AF318" s="1408"/>
      <c r="AG318" s="1408"/>
      <c r="AH318" s="1408"/>
      <c r="AI318" s="1408"/>
      <c r="AJ318" s="1408"/>
      <c r="AK318" s="1408"/>
      <c r="BN318" s="34"/>
    </row>
    <row r="319" spans="2:66" ht="12.95" customHeight="1">
      <c r="B319" s="3" t="s">
        <v>481</v>
      </c>
      <c r="C319" s="3"/>
      <c r="D319" s="3"/>
      <c r="E319" s="3"/>
      <c r="F319" s="3"/>
      <c r="H319" s="1393"/>
      <c r="I319" s="1393"/>
      <c r="J319" s="1393"/>
      <c r="K319" s="1393"/>
      <c r="L319" s="1393"/>
      <c r="M319" s="1393"/>
      <c r="N319" s="1393"/>
      <c r="O319" s="1393"/>
      <c r="P319" s="1393"/>
      <c r="Q319" s="1393"/>
      <c r="R319" s="1393"/>
      <c r="T319" s="3" t="s">
        <v>481</v>
      </c>
      <c r="V319" s="3"/>
      <c r="W319" s="3"/>
      <c r="X319" s="3"/>
      <c r="Y319" s="3"/>
      <c r="AA319" s="1393" t="s">
        <v>2677</v>
      </c>
      <c r="AB319" s="1393"/>
      <c r="AC319" s="1393"/>
      <c r="AD319" s="1393"/>
      <c r="AE319" s="1393"/>
      <c r="AF319" s="1393"/>
      <c r="AG319" s="1393"/>
      <c r="AH319" s="1393"/>
      <c r="AI319" s="1393"/>
      <c r="AJ319" s="1393"/>
      <c r="AK319" s="1393"/>
      <c r="BN319" s="34"/>
    </row>
    <row r="320" spans="2:66" ht="12.95" customHeight="1">
      <c r="B320" s="3" t="s">
        <v>482</v>
      </c>
      <c r="C320" s="3"/>
      <c r="D320" s="3"/>
      <c r="E320" s="3"/>
      <c r="F320" s="3"/>
      <c r="H320" s="1393"/>
      <c r="I320" s="1393"/>
      <c r="J320" s="1393"/>
      <c r="K320" s="1393"/>
      <c r="L320" s="1393"/>
      <c r="M320" s="1393"/>
      <c r="N320" s="1393"/>
      <c r="O320" s="1393"/>
      <c r="P320" s="1393"/>
      <c r="Q320" s="1393"/>
      <c r="R320" s="1393"/>
      <c r="T320" s="3" t="s">
        <v>76</v>
      </c>
      <c r="V320" s="3"/>
      <c r="W320" s="3"/>
      <c r="X320" s="3"/>
      <c r="Y320" s="3"/>
      <c r="AA320" s="1393" t="s">
        <v>2678</v>
      </c>
      <c r="AB320" s="1393"/>
      <c r="AC320" s="1393"/>
      <c r="AD320" s="1393"/>
      <c r="AE320" s="1393"/>
      <c r="AF320" s="1393"/>
      <c r="AG320" s="1393"/>
      <c r="AH320" s="1393"/>
      <c r="AI320" s="1393"/>
      <c r="AJ320" s="1393"/>
      <c r="AK320" s="1393"/>
      <c r="BN320" s="34"/>
    </row>
    <row r="321" spans="2:66" ht="12.95" customHeight="1">
      <c r="B321" s="3" t="s">
        <v>88</v>
      </c>
      <c r="C321" s="3"/>
      <c r="D321" s="3"/>
      <c r="E321" s="3"/>
      <c r="F321" s="3"/>
      <c r="H321" s="1393"/>
      <c r="I321" s="1393"/>
      <c r="J321" s="1393"/>
      <c r="K321" s="1393"/>
      <c r="L321" s="1393"/>
      <c r="M321" s="1393"/>
      <c r="N321" s="1393"/>
      <c r="O321" s="1393"/>
      <c r="P321" s="1393"/>
      <c r="Q321" s="1393"/>
      <c r="R321" s="1393"/>
      <c r="T321" s="3" t="s">
        <v>88</v>
      </c>
      <c r="V321" s="3"/>
      <c r="W321" s="3"/>
      <c r="X321" s="3"/>
      <c r="Y321" s="3"/>
      <c r="AA321" s="1393" t="s">
        <v>2679</v>
      </c>
      <c r="AB321" s="1393"/>
      <c r="AC321" s="1393"/>
      <c r="AD321" s="1393"/>
      <c r="AE321" s="1393"/>
      <c r="AF321" s="1393"/>
      <c r="AG321" s="1393"/>
      <c r="AH321" s="1393"/>
      <c r="AI321" s="1393"/>
      <c r="AJ321" s="1393"/>
      <c r="AK321" s="1393"/>
      <c r="BN321" s="34"/>
    </row>
    <row r="322" spans="2:66" ht="12.95" customHeight="1">
      <c r="B322" s="3" t="s">
        <v>89</v>
      </c>
      <c r="C322" s="3"/>
      <c r="D322" s="3"/>
      <c r="E322" s="3"/>
      <c r="F322" s="3"/>
      <c r="G322" s="3"/>
      <c r="H322" s="1536"/>
      <c r="I322" s="1536"/>
      <c r="J322" s="1536"/>
      <c r="K322" s="1536"/>
      <c r="L322" s="1536"/>
      <c r="M322" s="1536"/>
      <c r="N322" s="4" t="s">
        <v>208</v>
      </c>
      <c r="O322" s="4"/>
      <c r="P322" s="1535"/>
      <c r="Q322" s="1535"/>
      <c r="R322" s="1535"/>
      <c r="S322" s="3"/>
      <c r="T322" s="3" t="s">
        <v>89</v>
      </c>
      <c r="V322" s="3"/>
      <c r="W322" s="3"/>
      <c r="X322" s="3"/>
      <c r="Y322" s="3"/>
      <c r="AA322" s="1536" t="s">
        <v>2680</v>
      </c>
      <c r="AB322" s="1536"/>
      <c r="AC322" s="1536"/>
      <c r="AD322" s="1536"/>
      <c r="AE322" s="1536"/>
      <c r="AF322" s="1536"/>
      <c r="AG322" s="4" t="s">
        <v>208</v>
      </c>
      <c r="AH322" s="4"/>
      <c r="AI322" s="1535"/>
      <c r="AJ322" s="1535"/>
      <c r="AK322" s="1535"/>
      <c r="BN322" s="34"/>
    </row>
    <row r="323" spans="2:66" ht="12.95" customHeight="1">
      <c r="B323" s="3" t="s">
        <v>90</v>
      </c>
      <c r="C323" s="3"/>
      <c r="D323" s="3"/>
      <c r="E323" s="3"/>
      <c r="F323" s="3"/>
      <c r="G323" s="3"/>
      <c r="H323" s="1447"/>
      <c r="I323" s="1447"/>
      <c r="J323" s="1447"/>
      <c r="K323" s="1447"/>
      <c r="L323" s="1447"/>
      <c r="M323" s="1447"/>
      <c r="N323" s="4"/>
      <c r="O323" s="4"/>
      <c r="P323" s="35"/>
      <c r="Q323" s="35"/>
      <c r="R323" s="35"/>
      <c r="S323" s="3"/>
      <c r="T323" s="3" t="s">
        <v>90</v>
      </c>
      <c r="V323" s="3"/>
      <c r="W323" s="3"/>
      <c r="X323" s="3"/>
      <c r="Y323" s="3"/>
      <c r="AA323" s="1447" t="s">
        <v>2681</v>
      </c>
      <c r="AB323" s="1447"/>
      <c r="AC323" s="1447"/>
      <c r="AD323" s="1447"/>
      <c r="AE323" s="1447"/>
      <c r="AF323" s="1447"/>
      <c r="AG323" s="4"/>
      <c r="AH323" s="4"/>
      <c r="AI323" s="35"/>
      <c r="AJ323" s="35"/>
      <c r="AK323" s="35"/>
    </row>
    <row r="324" spans="2:66" ht="12.95" customHeight="1">
      <c r="B324" s="3" t="s">
        <v>77</v>
      </c>
      <c r="C324" s="3"/>
      <c r="D324" s="3"/>
      <c r="E324" s="3"/>
      <c r="F324" s="3"/>
      <c r="G324" s="3"/>
      <c r="H324" s="1393"/>
      <c r="I324" s="1393"/>
      <c r="J324" s="1393"/>
      <c r="K324" s="1393"/>
      <c r="L324" s="1393"/>
      <c r="M324" s="1393"/>
      <c r="N324" s="1408"/>
      <c r="O324" s="1408"/>
      <c r="P324" s="1408"/>
      <c r="Q324" s="1408"/>
      <c r="R324" s="1408"/>
      <c r="S324" s="3"/>
      <c r="T324" s="3" t="s">
        <v>77</v>
      </c>
      <c r="V324" s="3"/>
      <c r="W324" s="3"/>
      <c r="X324" s="3"/>
      <c r="Y324" s="3"/>
      <c r="AA324" s="1393" t="s">
        <v>2682</v>
      </c>
      <c r="AB324" s="1393"/>
      <c r="AC324" s="1393"/>
      <c r="AD324" s="1393"/>
      <c r="AE324" s="1393"/>
      <c r="AF324" s="1393"/>
      <c r="AG324" s="1408"/>
      <c r="AH324" s="1408"/>
      <c r="AI324" s="1408"/>
      <c r="AJ324" s="1408"/>
      <c r="AK324" s="1408"/>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408"/>
      <c r="I326" s="1408"/>
      <c r="J326" s="1408"/>
      <c r="K326" s="1408"/>
      <c r="L326" s="1408"/>
      <c r="M326" s="1408"/>
      <c r="N326" s="1408"/>
      <c r="O326" s="1408"/>
      <c r="P326" s="1408"/>
      <c r="Q326" s="1408"/>
      <c r="R326" s="1408"/>
      <c r="T326" s="3" t="s">
        <v>370</v>
      </c>
      <c r="V326" s="3"/>
      <c r="W326" s="3"/>
      <c r="X326" s="3"/>
      <c r="Y326" s="3"/>
      <c r="AA326" s="1408"/>
      <c r="AB326" s="1408"/>
      <c r="AC326" s="1408"/>
      <c r="AD326" s="1408"/>
      <c r="AE326" s="1408"/>
      <c r="AF326" s="1408"/>
      <c r="AG326" s="1408"/>
      <c r="AH326" s="1408"/>
      <c r="AI326" s="1408"/>
      <c r="AJ326" s="1408"/>
      <c r="AK326" s="1408"/>
    </row>
    <row r="327" spans="2:66" ht="12.95" customHeight="1">
      <c r="B327" s="3" t="s">
        <v>481</v>
      </c>
      <c r="C327" s="3"/>
      <c r="D327" s="3"/>
      <c r="E327" s="3"/>
      <c r="F327" s="3"/>
      <c r="H327" s="1393"/>
      <c r="I327" s="1393"/>
      <c r="J327" s="1393"/>
      <c r="K327" s="1393"/>
      <c r="L327" s="1393"/>
      <c r="M327" s="1393"/>
      <c r="N327" s="1393"/>
      <c r="O327" s="1393"/>
      <c r="P327" s="1393"/>
      <c r="Q327" s="1393"/>
      <c r="R327" s="1393"/>
      <c r="T327" s="3" t="s">
        <v>481</v>
      </c>
      <c r="V327" s="3"/>
      <c r="W327" s="3"/>
      <c r="X327" s="3"/>
      <c r="Y327" s="3"/>
      <c r="AA327" s="1393"/>
      <c r="AB327" s="1393"/>
      <c r="AC327" s="1393"/>
      <c r="AD327" s="1393"/>
      <c r="AE327" s="1393"/>
      <c r="AF327" s="1393"/>
      <c r="AG327" s="1393"/>
      <c r="AH327" s="1393"/>
      <c r="AI327" s="1393"/>
      <c r="AJ327" s="1393"/>
      <c r="AK327" s="1393"/>
    </row>
    <row r="328" spans="2:66" ht="12.95" customHeight="1">
      <c r="B328" s="3" t="s">
        <v>482</v>
      </c>
      <c r="C328" s="3"/>
      <c r="D328" s="3"/>
      <c r="E328" s="3"/>
      <c r="F328" s="3"/>
      <c r="H328" s="1393"/>
      <c r="I328" s="1393"/>
      <c r="J328" s="1393"/>
      <c r="K328" s="1393"/>
      <c r="L328" s="1393"/>
      <c r="M328" s="1393"/>
      <c r="N328" s="1393"/>
      <c r="O328" s="1393"/>
      <c r="P328" s="1393"/>
      <c r="Q328" s="1393"/>
      <c r="R328" s="1393"/>
      <c r="T328" s="3" t="s">
        <v>76</v>
      </c>
      <c r="V328" s="3"/>
      <c r="W328" s="3"/>
      <c r="X328" s="3"/>
      <c r="Y328" s="3"/>
      <c r="AA328" s="1393"/>
      <c r="AB328" s="1393"/>
      <c r="AC328" s="1393"/>
      <c r="AD328" s="1393"/>
      <c r="AE328" s="1393"/>
      <c r="AF328" s="1393"/>
      <c r="AG328" s="1393"/>
      <c r="AH328" s="1393"/>
      <c r="AI328" s="1393"/>
      <c r="AJ328" s="1393"/>
      <c r="AK328" s="1393"/>
    </row>
    <row r="329" spans="2:66" ht="12.95" customHeight="1">
      <c r="B329" s="3" t="s">
        <v>88</v>
      </c>
      <c r="C329" s="3"/>
      <c r="D329" s="3"/>
      <c r="E329" s="3"/>
      <c r="F329" s="3"/>
      <c r="H329" s="1393"/>
      <c r="I329" s="1393"/>
      <c r="J329" s="1393"/>
      <c r="K329" s="1393"/>
      <c r="L329" s="1393"/>
      <c r="M329" s="1393"/>
      <c r="N329" s="1393"/>
      <c r="O329" s="1393"/>
      <c r="P329" s="1393"/>
      <c r="Q329" s="1393"/>
      <c r="R329" s="1393"/>
      <c r="T329" s="3" t="s">
        <v>88</v>
      </c>
      <c r="V329" s="3"/>
      <c r="W329" s="3"/>
      <c r="X329" s="3"/>
      <c r="Y329" s="3"/>
      <c r="AA329" s="1393"/>
      <c r="AB329" s="1393"/>
      <c r="AC329" s="1393"/>
      <c r="AD329" s="1393"/>
      <c r="AE329" s="1393"/>
      <c r="AF329" s="1393"/>
      <c r="AG329" s="1393"/>
      <c r="AH329" s="1393"/>
      <c r="AI329" s="1393"/>
      <c r="AJ329" s="1393"/>
      <c r="AK329" s="1393"/>
    </row>
    <row r="330" spans="2:66" ht="12.95" customHeight="1">
      <c r="B330" s="3" t="s">
        <v>89</v>
      </c>
      <c r="C330" s="3"/>
      <c r="D330" s="3"/>
      <c r="E330" s="3"/>
      <c r="F330" s="3"/>
      <c r="G330" s="3"/>
      <c r="H330" s="1536"/>
      <c r="I330" s="1536"/>
      <c r="J330" s="1536"/>
      <c r="K330" s="1536"/>
      <c r="L330" s="1536"/>
      <c r="M330" s="1536"/>
      <c r="N330" s="4" t="s">
        <v>208</v>
      </c>
      <c r="O330" s="4"/>
      <c r="P330" s="1535"/>
      <c r="Q330" s="1535"/>
      <c r="R330" s="1535"/>
      <c r="S330" s="3"/>
      <c r="T330" s="3" t="s">
        <v>89</v>
      </c>
      <c r="V330" s="3"/>
      <c r="W330" s="3"/>
      <c r="X330" s="3"/>
      <c r="Y330" s="3"/>
      <c r="AA330" s="1536"/>
      <c r="AB330" s="1536"/>
      <c r="AC330" s="1536"/>
      <c r="AD330" s="1536"/>
      <c r="AE330" s="1536"/>
      <c r="AF330" s="1536"/>
      <c r="AG330" s="4" t="s">
        <v>208</v>
      </c>
      <c r="AH330" s="4"/>
      <c r="AI330" s="1535"/>
      <c r="AJ330" s="1535"/>
      <c r="AK330" s="1535"/>
    </row>
    <row r="331" spans="2:66" ht="12.95" customHeight="1">
      <c r="B331" s="3" t="s">
        <v>90</v>
      </c>
      <c r="C331" s="3"/>
      <c r="D331" s="3"/>
      <c r="E331" s="3"/>
      <c r="F331" s="3"/>
      <c r="G331" s="3"/>
      <c r="H331" s="1447"/>
      <c r="I331" s="1447"/>
      <c r="J331" s="1447"/>
      <c r="K331" s="1447"/>
      <c r="L331" s="1447"/>
      <c r="M331" s="1447"/>
      <c r="N331" s="4"/>
      <c r="O331" s="4"/>
      <c r="P331" s="35"/>
      <c r="Q331" s="35"/>
      <c r="R331" s="35"/>
      <c r="S331" s="3"/>
      <c r="T331" s="3" t="s">
        <v>90</v>
      </c>
      <c r="V331" s="3"/>
      <c r="W331" s="3"/>
      <c r="X331" s="3"/>
      <c r="Y331" s="3"/>
      <c r="AA331" s="1447"/>
      <c r="AB331" s="1447"/>
      <c r="AC331" s="1447"/>
      <c r="AD331" s="1447"/>
      <c r="AE331" s="1447"/>
      <c r="AF331" s="1447"/>
      <c r="AG331" s="4"/>
      <c r="AH331" s="4"/>
      <c r="AI331" s="35"/>
      <c r="AJ331" s="35"/>
      <c r="AK331" s="35"/>
    </row>
    <row r="332" spans="2:66" ht="12.95" customHeight="1">
      <c r="B332" s="3" t="s">
        <v>77</v>
      </c>
      <c r="C332" s="3"/>
      <c r="D332" s="3"/>
      <c r="E332" s="3"/>
      <c r="F332" s="3"/>
      <c r="G332" s="3"/>
      <c r="H332" s="1393"/>
      <c r="I332" s="1393"/>
      <c r="J332" s="1393"/>
      <c r="K332" s="1393"/>
      <c r="L332" s="1393"/>
      <c r="M332" s="1393"/>
      <c r="N332" s="1408"/>
      <c r="O332" s="1408"/>
      <c r="P332" s="1408"/>
      <c r="Q332" s="1408"/>
      <c r="R332" s="1408"/>
      <c r="S332" s="3"/>
      <c r="T332" s="3" t="s">
        <v>77</v>
      </c>
      <c r="V332" s="3"/>
      <c r="W332" s="3"/>
      <c r="X332" s="3"/>
      <c r="Y332" s="3"/>
      <c r="AA332" s="1393"/>
      <c r="AB332" s="1393"/>
      <c r="AC332" s="1393"/>
      <c r="AD332" s="1393"/>
      <c r="AE332" s="1393"/>
      <c r="AF332" s="1393"/>
      <c r="AG332" s="1408"/>
      <c r="AH332" s="1408"/>
      <c r="AI332" s="1408"/>
      <c r="AJ332" s="1408"/>
      <c r="AK332" s="1408"/>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408" t="s">
        <v>2683</v>
      </c>
      <c r="I334" s="1408"/>
      <c r="J334" s="1408"/>
      <c r="K334" s="1408"/>
      <c r="L334" s="1408"/>
      <c r="M334" s="1408"/>
      <c r="N334" s="1408"/>
      <c r="O334" s="1408"/>
      <c r="P334" s="1408"/>
      <c r="Q334" s="1408"/>
      <c r="R334" s="1408"/>
      <c r="T334" s="218" t="s">
        <v>917</v>
      </c>
      <c r="V334" s="3"/>
      <c r="W334" s="3"/>
      <c r="X334" s="3"/>
      <c r="Y334" s="3"/>
      <c r="AA334" s="1408" t="s">
        <v>2690</v>
      </c>
      <c r="AB334" s="1408"/>
      <c r="AC334" s="1408"/>
      <c r="AD334" s="1408"/>
      <c r="AE334" s="1408"/>
      <c r="AF334" s="1408"/>
      <c r="AG334" s="1408"/>
      <c r="AH334" s="1408"/>
      <c r="AI334" s="1408"/>
      <c r="AJ334" s="1408"/>
      <c r="AK334" s="1408"/>
    </row>
    <row r="335" spans="2:66" ht="12.95" customHeight="1">
      <c r="B335" s="3" t="s">
        <v>481</v>
      </c>
      <c r="C335" s="3"/>
      <c r="D335" s="3"/>
      <c r="E335" s="3"/>
      <c r="F335" s="3"/>
      <c r="H335" s="1393" t="s">
        <v>2684</v>
      </c>
      <c r="I335" s="1393"/>
      <c r="J335" s="1393"/>
      <c r="K335" s="1393"/>
      <c r="L335" s="1393"/>
      <c r="M335" s="1393"/>
      <c r="N335" s="1393"/>
      <c r="O335" s="1393"/>
      <c r="P335" s="1393"/>
      <c r="Q335" s="1393"/>
      <c r="R335" s="1393"/>
      <c r="T335" s="3" t="s">
        <v>481</v>
      </c>
      <c r="V335" s="3"/>
      <c r="W335" s="3"/>
      <c r="X335" s="3"/>
      <c r="Y335" s="3"/>
      <c r="AA335" s="1393" t="s">
        <v>2647</v>
      </c>
      <c r="AB335" s="1393"/>
      <c r="AC335" s="1393"/>
      <c r="AD335" s="1393"/>
      <c r="AE335" s="1393"/>
      <c r="AF335" s="1393"/>
      <c r="AG335" s="1393"/>
      <c r="AH335" s="1393"/>
      <c r="AI335" s="1393"/>
      <c r="AJ335" s="1393"/>
      <c r="AK335" s="1393"/>
    </row>
    <row r="336" spans="2:66" ht="12.95" customHeight="1">
      <c r="B336" s="3" t="s">
        <v>76</v>
      </c>
      <c r="C336" s="3"/>
      <c r="D336" s="3"/>
      <c r="E336" s="3"/>
      <c r="F336" s="3"/>
      <c r="H336" s="1393" t="s">
        <v>2685</v>
      </c>
      <c r="I336" s="1393"/>
      <c r="J336" s="1393"/>
      <c r="K336" s="1393"/>
      <c r="L336" s="1393"/>
      <c r="M336" s="1393"/>
      <c r="N336" s="1393"/>
      <c r="O336" s="1393"/>
      <c r="P336" s="1393"/>
      <c r="Q336" s="1393"/>
      <c r="R336" s="1393"/>
      <c r="T336" s="3" t="s">
        <v>76</v>
      </c>
      <c r="V336" s="3"/>
      <c r="W336" s="3"/>
      <c r="X336" s="3"/>
      <c r="Y336" s="3"/>
      <c r="AA336" s="1393" t="s">
        <v>2656</v>
      </c>
      <c r="AB336" s="1393"/>
      <c r="AC336" s="1393"/>
      <c r="AD336" s="1393"/>
      <c r="AE336" s="1393"/>
      <c r="AF336" s="1393"/>
      <c r="AG336" s="1393"/>
      <c r="AH336" s="1393"/>
      <c r="AI336" s="1393"/>
      <c r="AJ336" s="1393"/>
      <c r="AK336" s="1393"/>
    </row>
    <row r="337" spans="1:66" ht="12.95" customHeight="1">
      <c r="B337" s="3" t="s">
        <v>88</v>
      </c>
      <c r="C337" s="3"/>
      <c r="D337" s="3"/>
      <c r="E337" s="3"/>
      <c r="F337" s="3"/>
      <c r="G337" s="3"/>
      <c r="H337" s="1393" t="s">
        <v>2686</v>
      </c>
      <c r="I337" s="1393"/>
      <c r="J337" s="1393"/>
      <c r="K337" s="1393"/>
      <c r="L337" s="1393"/>
      <c r="M337" s="1393"/>
      <c r="N337" s="1393"/>
      <c r="O337" s="1393"/>
      <c r="P337" s="1393"/>
      <c r="Q337" s="1393"/>
      <c r="R337" s="1393"/>
      <c r="T337" s="3" t="s">
        <v>88</v>
      </c>
      <c r="V337" s="3"/>
      <c r="W337" s="3"/>
      <c r="X337" s="3"/>
      <c r="Y337" s="3"/>
      <c r="AA337" s="1393" t="s">
        <v>2691</v>
      </c>
      <c r="AB337" s="1393"/>
      <c r="AC337" s="1393"/>
      <c r="AD337" s="1393"/>
      <c r="AE337" s="1393"/>
      <c r="AF337" s="1393"/>
      <c r="AG337" s="1393"/>
      <c r="AH337" s="1393"/>
      <c r="AI337" s="1393"/>
      <c r="AJ337" s="1393"/>
      <c r="AK337" s="1393"/>
    </row>
    <row r="338" spans="1:66" ht="12.95" customHeight="1">
      <c r="B338" s="3" t="s">
        <v>89</v>
      </c>
      <c r="C338" s="3"/>
      <c r="D338" s="3"/>
      <c r="E338" s="3"/>
      <c r="F338" s="3"/>
      <c r="G338" s="3"/>
      <c r="H338" s="1536" t="s">
        <v>2687</v>
      </c>
      <c r="I338" s="1536"/>
      <c r="J338" s="1536"/>
      <c r="K338" s="1536"/>
      <c r="L338" s="1536"/>
      <c r="M338" s="1536"/>
      <c r="N338" s="4" t="s">
        <v>208</v>
      </c>
      <c r="O338" s="4"/>
      <c r="P338" s="1535"/>
      <c r="Q338" s="1535"/>
      <c r="R338" s="1535"/>
      <c r="S338" s="3"/>
      <c r="T338" s="3" t="s">
        <v>89</v>
      </c>
      <c r="V338" s="3"/>
      <c r="W338" s="3"/>
      <c r="X338" s="3"/>
      <c r="Y338" s="3"/>
      <c r="AA338" s="1536">
        <v>7078229000</v>
      </c>
      <c r="AB338" s="1536"/>
      <c r="AC338" s="1536"/>
      <c r="AD338" s="1536"/>
      <c r="AE338" s="1536"/>
      <c r="AF338" s="1536"/>
      <c r="AG338" s="4" t="s">
        <v>208</v>
      </c>
      <c r="AH338" s="4"/>
      <c r="AI338" s="1535"/>
      <c r="AJ338" s="1535"/>
      <c r="AK338" s="1535"/>
    </row>
    <row r="339" spans="1:66" ht="12.95" customHeight="1">
      <c r="B339" s="3" t="s">
        <v>90</v>
      </c>
      <c r="C339" s="3"/>
      <c r="D339" s="3"/>
      <c r="E339" s="3"/>
      <c r="F339" s="3"/>
      <c r="G339" s="3"/>
      <c r="H339" s="1447" t="s">
        <v>2688</v>
      </c>
      <c r="I339" s="1447"/>
      <c r="J339" s="1447"/>
      <c r="K339" s="1447"/>
      <c r="L339" s="1447"/>
      <c r="M339" s="1447"/>
      <c r="N339" s="4"/>
      <c r="O339" s="4"/>
      <c r="P339" s="35"/>
      <c r="Q339" s="35"/>
      <c r="R339" s="35"/>
      <c r="S339" s="3"/>
      <c r="T339" s="3" t="s">
        <v>90</v>
      </c>
      <c r="V339" s="3"/>
      <c r="W339" s="3"/>
      <c r="X339" s="3"/>
      <c r="Y339" s="3"/>
      <c r="AA339" s="1447">
        <v>7078229596</v>
      </c>
      <c r="AB339" s="1447"/>
      <c r="AC339" s="1447"/>
      <c r="AD339" s="1447"/>
      <c r="AE339" s="1447"/>
      <c r="AF339" s="1447"/>
      <c r="AG339" s="4"/>
      <c r="AH339" s="4"/>
      <c r="AI339" s="35"/>
      <c r="AJ339" s="35"/>
      <c r="AK339" s="35"/>
    </row>
    <row r="340" spans="1:66" ht="12.95" customHeight="1">
      <c r="B340" s="3" t="s">
        <v>77</v>
      </c>
      <c r="C340" s="3"/>
      <c r="D340" s="3"/>
      <c r="E340" s="3"/>
      <c r="F340" s="3"/>
      <c r="G340" s="3"/>
      <c r="H340" s="1393" t="s">
        <v>2689</v>
      </c>
      <c r="I340" s="1393"/>
      <c r="J340" s="1393"/>
      <c r="K340" s="1393"/>
      <c r="L340" s="1393"/>
      <c r="M340" s="1393"/>
      <c r="N340" s="1472"/>
      <c r="O340" s="1472"/>
      <c r="P340" s="1472"/>
      <c r="Q340" s="1472"/>
      <c r="R340" s="1472"/>
      <c r="S340" s="3"/>
      <c r="T340" s="3" t="s">
        <v>77</v>
      </c>
      <c r="V340" s="3"/>
      <c r="W340" s="3"/>
      <c r="X340" s="3"/>
      <c r="Y340" s="3"/>
      <c r="AA340" s="1393" t="s">
        <v>2692</v>
      </c>
      <c r="AB340" s="1393"/>
      <c r="AC340" s="1393"/>
      <c r="AD340" s="1393"/>
      <c r="AE340" s="1393"/>
      <c r="AF340" s="1393"/>
      <c r="AG340" s="1408"/>
      <c r="AH340" s="1408"/>
      <c r="AI340" s="1408"/>
      <c r="AJ340" s="1408"/>
      <c r="AK340" s="1408"/>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408"/>
      <c r="Q342" s="1408"/>
      <c r="R342" s="1408"/>
      <c r="S342" s="1408"/>
      <c r="T342" s="1408"/>
      <c r="U342" s="1408"/>
      <c r="V342" s="1408"/>
      <c r="W342" s="1408"/>
      <c r="X342" s="1408"/>
      <c r="Y342" s="1408"/>
      <c r="Z342" s="1408"/>
      <c r="AA342" s="1408"/>
      <c r="AB342" s="1408"/>
      <c r="AC342" s="1408"/>
      <c r="AD342" s="1408"/>
      <c r="AE342" s="1408"/>
      <c r="BN342" t="s">
        <v>601</v>
      </c>
    </row>
    <row r="343" spans="1:66" ht="12.95" customHeight="1">
      <c r="B343" s="4"/>
      <c r="C343" s="4"/>
      <c r="D343" s="4"/>
      <c r="E343" s="4"/>
      <c r="F343" s="4"/>
      <c r="I343" s="4" t="s">
        <v>481</v>
      </c>
      <c r="P343" s="1393"/>
      <c r="Q343" s="1393"/>
      <c r="R343" s="1393"/>
      <c r="S343" s="1393"/>
      <c r="T343" s="1393"/>
      <c r="U343" s="1393"/>
      <c r="V343" s="1393"/>
      <c r="W343" s="1393"/>
      <c r="X343" s="1393"/>
      <c r="Y343" s="1393"/>
      <c r="Z343" s="1393"/>
      <c r="AA343" s="1393"/>
      <c r="AB343" s="1393"/>
      <c r="AC343" s="1393"/>
      <c r="AD343" s="1393"/>
      <c r="AE343" s="1393"/>
      <c r="BN343" t="s">
        <v>679</v>
      </c>
    </row>
    <row r="344" spans="1:66" ht="12.95" customHeight="1">
      <c r="B344" s="4"/>
      <c r="C344" s="4"/>
      <c r="D344" s="4"/>
      <c r="E344" s="4"/>
      <c r="F344" s="4"/>
      <c r="I344" s="4" t="s">
        <v>76</v>
      </c>
      <c r="P344" s="1393"/>
      <c r="Q344" s="1393"/>
      <c r="R344" s="1393"/>
      <c r="S344" s="1393"/>
      <c r="T344" s="1393"/>
      <c r="U344" s="1393"/>
      <c r="V344" s="1393"/>
      <c r="W344" s="1393"/>
      <c r="X344" s="1393"/>
      <c r="Y344" s="1393"/>
      <c r="Z344" s="1393"/>
      <c r="AA344" s="1393"/>
      <c r="AB344" s="1393"/>
      <c r="AC344" s="1393"/>
      <c r="AD344" s="1393"/>
      <c r="AE344" s="1393"/>
      <c r="BN344" t="s">
        <v>555</v>
      </c>
    </row>
    <row r="345" spans="1:66" ht="12.95" customHeight="1">
      <c r="B345" s="4"/>
      <c r="C345" s="4"/>
      <c r="D345" s="4"/>
      <c r="E345" s="4"/>
      <c r="F345" s="4"/>
      <c r="G345" s="4"/>
      <c r="I345" s="4" t="s">
        <v>88</v>
      </c>
      <c r="P345" s="1393"/>
      <c r="Q345" s="1393"/>
      <c r="R345" s="1393"/>
      <c r="S345" s="1393"/>
      <c r="T345" s="1393"/>
      <c r="U345" s="1393"/>
      <c r="V345" s="1393"/>
      <c r="W345" s="1393"/>
      <c r="X345" s="1393"/>
      <c r="Y345" s="1393"/>
      <c r="Z345" s="1393"/>
      <c r="AA345" s="1393"/>
      <c r="AB345" s="1393"/>
      <c r="AC345" s="1393"/>
      <c r="AD345" s="1393"/>
      <c r="AE345" s="1393"/>
    </row>
    <row r="346" spans="1:66" ht="12.95" customHeight="1">
      <c r="B346" s="4"/>
      <c r="C346" s="4"/>
      <c r="D346" s="4"/>
      <c r="E346" s="4"/>
      <c r="F346" s="4"/>
      <c r="G346" s="4"/>
      <c r="H346" s="324"/>
      <c r="I346" s="4" t="s">
        <v>89</v>
      </c>
      <c r="P346" s="1447"/>
      <c r="Q346" s="1447"/>
      <c r="R346" s="1447"/>
      <c r="S346" s="1447"/>
      <c r="T346" s="1447"/>
      <c r="U346" s="1447"/>
      <c r="V346" s="1447"/>
      <c r="W346" s="1447"/>
      <c r="X346" s="1447"/>
      <c r="Y346" s="1447"/>
      <c r="Z346" s="1447"/>
      <c r="AA346" s="4" t="s">
        <v>208</v>
      </c>
      <c r="AB346" s="4"/>
      <c r="AC346" s="1433"/>
      <c r="AD346" s="1433"/>
      <c r="AE346" s="1433"/>
      <c r="AF346" s="324"/>
      <c r="AG346" s="4"/>
      <c r="AH346" s="4"/>
      <c r="AI346" s="4"/>
      <c r="AJ346" s="4"/>
      <c r="AK346" s="4"/>
    </row>
    <row r="347" spans="1:66" ht="12.95" customHeight="1">
      <c r="B347" s="4"/>
      <c r="C347" s="4"/>
      <c r="D347" s="4"/>
      <c r="E347" s="4"/>
      <c r="F347" s="4"/>
      <c r="G347" s="4"/>
      <c r="H347" s="324"/>
      <c r="I347" s="4" t="s">
        <v>90</v>
      </c>
      <c r="P347" s="1447"/>
      <c r="Q347" s="1447"/>
      <c r="R347" s="1447"/>
      <c r="S347" s="1447"/>
      <c r="T347" s="1447"/>
      <c r="U347" s="1447"/>
      <c r="V347" s="1447"/>
      <c r="W347" s="1447"/>
      <c r="X347" s="1447"/>
      <c r="Y347" s="1447"/>
      <c r="Z347" s="1447"/>
      <c r="AF347" s="324"/>
      <c r="AG347" s="4"/>
      <c r="AH347" s="4"/>
      <c r="AI347" s="35"/>
      <c r="AJ347" s="35"/>
      <c r="AK347" s="35"/>
    </row>
    <row r="348" spans="1:66" ht="12.95" customHeight="1">
      <c r="B348" s="4"/>
      <c r="C348" s="4"/>
      <c r="D348" s="4"/>
      <c r="E348" s="4"/>
      <c r="F348" s="4"/>
      <c r="G348" s="4"/>
      <c r="I348" s="4" t="s">
        <v>77</v>
      </c>
      <c r="P348" s="1408"/>
      <c r="Q348" s="1408"/>
      <c r="R348" s="1408"/>
      <c r="S348" s="1408"/>
      <c r="T348" s="1408"/>
      <c r="U348" s="1408"/>
      <c r="V348" s="1408"/>
      <c r="W348" s="1408"/>
      <c r="X348" s="1408"/>
      <c r="Y348" s="1408"/>
      <c r="Z348" s="1408"/>
      <c r="AA348" s="1408"/>
      <c r="AB348" s="1408"/>
      <c r="AC348" s="1408"/>
      <c r="AD348" s="1408"/>
      <c r="AE348" s="1408"/>
    </row>
    <row r="349" spans="1:66" ht="12.95" customHeight="1">
      <c r="T349" s="8"/>
      <c r="U349" s="8"/>
      <c r="V349" s="8"/>
      <c r="W349" s="8"/>
      <c r="X349" s="8"/>
      <c r="Y349" s="8"/>
      <c r="Z349" s="8"/>
    </row>
    <row r="350" spans="1:66" ht="12.95" customHeight="1">
      <c r="A350" s="1452" t="s">
        <v>552</v>
      </c>
      <c r="B350" s="1452"/>
      <c r="C350" s="1452"/>
      <c r="D350" s="1452"/>
      <c r="E350" s="1452"/>
      <c r="F350" s="1452"/>
      <c r="G350" s="1452"/>
      <c r="H350" s="1452"/>
      <c r="I350" s="1452"/>
      <c r="J350" s="1452"/>
      <c r="K350" s="1452"/>
      <c r="L350" s="1452"/>
      <c r="M350" s="1452"/>
      <c r="N350" s="1452"/>
      <c r="O350" s="1452"/>
      <c r="P350" s="1452"/>
      <c r="Q350" s="1452"/>
      <c r="R350" s="1452"/>
      <c r="S350" s="1452"/>
      <c r="T350" s="1452"/>
      <c r="U350" s="1452"/>
      <c r="V350" s="1452"/>
      <c r="W350" s="1452"/>
      <c r="X350" s="1452"/>
      <c r="Y350" s="1452"/>
      <c r="Z350" s="1452"/>
      <c r="AA350" s="1452"/>
      <c r="AB350" s="1452"/>
      <c r="AC350" s="1452"/>
      <c r="AD350" s="1452"/>
      <c r="AE350" s="1452"/>
      <c r="AF350" s="1452"/>
      <c r="AG350" s="1452"/>
      <c r="AH350" s="1452"/>
      <c r="AI350" s="1452"/>
      <c r="AJ350" s="1452"/>
      <c r="AK350" s="1452"/>
      <c r="AL350" s="1452"/>
      <c r="AM350" s="95"/>
      <c r="AN350" s="95"/>
      <c r="AO350" s="95"/>
      <c r="AP350" s="95"/>
      <c r="AQ350" s="95"/>
      <c r="AR350" s="95"/>
      <c r="AS350" s="95"/>
      <c r="AT350" s="95"/>
      <c r="AU350" s="95"/>
      <c r="AV350" s="95"/>
      <c r="AW350" s="95"/>
      <c r="AX350" s="95"/>
      <c r="AY350" s="95"/>
    </row>
    <row r="351" spans="1:66" ht="12.95" customHeight="1" thickBot="1">
      <c r="A351" s="1453"/>
      <c r="B351" s="1453"/>
      <c r="C351" s="1453"/>
      <c r="D351" s="1453"/>
      <c r="E351" s="1453"/>
      <c r="F351" s="1453"/>
      <c r="G351" s="1453"/>
      <c r="H351" s="1453"/>
      <c r="I351" s="1453"/>
      <c r="J351" s="1453"/>
      <c r="K351" s="1453"/>
      <c r="L351" s="1453"/>
      <c r="M351" s="1453"/>
      <c r="N351" s="1453"/>
      <c r="O351" s="1453"/>
      <c r="P351" s="1453"/>
      <c r="Q351" s="1453"/>
      <c r="R351" s="1453"/>
      <c r="S351" s="1453"/>
      <c r="T351" s="1453"/>
      <c r="U351" s="1453"/>
      <c r="V351" s="1453"/>
      <c r="W351" s="1453"/>
      <c r="X351" s="1453"/>
      <c r="Y351" s="1453"/>
      <c r="Z351" s="1453"/>
      <c r="AA351" s="1453"/>
      <c r="AB351" s="1453"/>
      <c r="AC351" s="1453"/>
      <c r="AD351" s="1453"/>
      <c r="AE351" s="1453"/>
      <c r="AF351" s="1453"/>
      <c r="AG351" s="1453"/>
      <c r="AH351" s="1453"/>
      <c r="AI351" s="1453"/>
      <c r="AJ351" s="1453"/>
      <c r="AK351" s="1453"/>
      <c r="AL351" s="145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2526</v>
      </c>
      <c r="M354" s="1397" t="s">
        <v>555</v>
      </c>
      <c r="N354" s="1397"/>
      <c r="P354" t="s">
        <v>1831</v>
      </c>
      <c r="AJ354" s="1397" t="s">
        <v>679</v>
      </c>
      <c r="AK354" s="1397"/>
    </row>
    <row r="355" spans="1:37" ht="12.95" customHeight="1">
      <c r="D355" s="3" t="s">
        <v>1820</v>
      </c>
      <c r="M355" s="1397" t="s">
        <v>601</v>
      </c>
      <c r="N355" s="1397"/>
      <c r="P355" s="3" t="s">
        <v>1980</v>
      </c>
      <c r="AJ355" s="1438">
        <v>0</v>
      </c>
      <c r="AK355" s="1438"/>
    </row>
    <row r="356" spans="1:37" ht="12.95" customHeight="1">
      <c r="D356" s="3" t="s">
        <v>717</v>
      </c>
      <c r="M356" s="1397" t="s">
        <v>601</v>
      </c>
      <c r="N356" s="1397"/>
      <c r="P356" t="s">
        <v>1830</v>
      </c>
      <c r="AJ356" s="1397" t="s">
        <v>679</v>
      </c>
      <c r="AK356" s="1397"/>
    </row>
    <row r="357" spans="1:37" ht="12.95" customHeight="1">
      <c r="D357" s="3" t="s">
        <v>718</v>
      </c>
      <c r="M357" s="1397" t="s">
        <v>601</v>
      </c>
      <c r="N357" s="1397"/>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97" t="s">
        <v>601</v>
      </c>
      <c r="O362" s="1397"/>
      <c r="P362" s="40"/>
      <c r="Q362" s="40"/>
      <c r="R362" s="40"/>
      <c r="S362" s="40"/>
      <c r="T362" s="40"/>
      <c r="U362" s="40"/>
      <c r="V362" s="40"/>
      <c r="W362" s="40"/>
      <c r="X362" s="40"/>
      <c r="Y362" s="40"/>
      <c r="Z362" s="40"/>
      <c r="AC362" s="40"/>
      <c r="AD362" s="40"/>
      <c r="AE362" s="40"/>
    </row>
    <row r="363" spans="1:37" ht="12.95" customHeight="1">
      <c r="E363" t="s">
        <v>372</v>
      </c>
      <c r="Y363" s="1397" t="s">
        <v>601</v>
      </c>
      <c r="Z363" s="1397"/>
    </row>
    <row r="364" spans="1:37" ht="12.95" customHeight="1">
      <c r="D364" s="4" t="s">
        <v>1019</v>
      </c>
      <c r="Q364" s="1408"/>
      <c r="R364" s="1408"/>
      <c r="S364" s="1408"/>
      <c r="T364" s="1408"/>
      <c r="U364" s="1408"/>
      <c r="V364" s="1408"/>
      <c r="W364" s="1408"/>
      <c r="X364" s="1408"/>
      <c r="Y364" s="1408"/>
      <c r="Z364" s="1408"/>
      <c r="AA364" s="1408"/>
      <c r="AB364" s="1408"/>
      <c r="AC364" s="1408"/>
      <c r="AD364" s="1408"/>
      <c r="AE364" s="1408"/>
      <c r="AF364" s="1408"/>
      <c r="AG364" s="1408"/>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97" t="s">
        <v>601</v>
      </c>
      <c r="K366" s="1397"/>
      <c r="L366" s="40"/>
      <c r="M366" s="40"/>
      <c r="N366" s="40"/>
      <c r="O366" s="40"/>
      <c r="P366" s="40"/>
      <c r="Q366" s="40"/>
      <c r="R366" s="40"/>
      <c r="S366" s="40"/>
      <c r="T366" s="40"/>
      <c r="U366" s="40"/>
      <c r="V366" s="40"/>
      <c r="W366" s="40"/>
      <c r="X366" s="40"/>
      <c r="Y366" s="40"/>
      <c r="Z366" s="40"/>
      <c r="AC366" s="40"/>
      <c r="AD366" s="40"/>
      <c r="AE366" s="40"/>
    </row>
    <row r="367" spans="1:37" ht="12.95" customHeight="1">
      <c r="E367" s="1593" t="s">
        <v>719</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2.9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2.95" customHeight="1">
      <c r="E369" s="4" t="s">
        <v>458</v>
      </c>
      <c r="F369" s="4"/>
      <c r="G369" s="4"/>
      <c r="H369" s="4"/>
      <c r="I369" s="4"/>
      <c r="J369" s="4"/>
      <c r="K369" s="4"/>
      <c r="L369" s="4"/>
      <c r="N369" s="1371"/>
      <c r="O369" s="1371"/>
      <c r="P369" s="1371"/>
      <c r="Q369" s="1371"/>
      <c r="R369" s="4"/>
      <c r="U369" s="4" t="s">
        <v>459</v>
      </c>
      <c r="V369" s="4"/>
      <c r="W369" s="4"/>
      <c r="X369" s="4"/>
      <c r="Y369" s="4"/>
      <c r="Z369" s="4"/>
      <c r="AA369" s="4"/>
      <c r="AB369" s="4"/>
      <c r="AC369" s="1371"/>
      <c r="AD369" s="1371"/>
      <c r="AE369" s="1371"/>
      <c r="AF369" s="1371"/>
    </row>
    <row r="370" spans="1:36" ht="12.95" customHeight="1">
      <c r="E370" s="4" t="s">
        <v>460</v>
      </c>
      <c r="F370" s="4"/>
      <c r="G370" s="4"/>
      <c r="H370" s="4"/>
      <c r="I370" s="4"/>
      <c r="J370" s="4"/>
      <c r="K370" s="4"/>
      <c r="L370" s="4"/>
      <c r="N370" s="1371"/>
      <c r="O370" s="1371"/>
      <c r="P370" s="1371"/>
      <c r="Q370" s="1371"/>
      <c r="R370" s="4"/>
      <c r="U370" s="4" t="s">
        <v>0</v>
      </c>
      <c r="V370" s="4"/>
      <c r="W370" s="4"/>
      <c r="X370" s="4"/>
      <c r="Y370" s="4"/>
      <c r="Z370" s="4"/>
      <c r="AA370" s="4"/>
      <c r="AB370" s="4"/>
      <c r="AC370" s="1371"/>
      <c r="AD370" s="1371"/>
      <c r="AE370" s="1371"/>
      <c r="AF370" s="1371"/>
    </row>
    <row r="371" spans="1:36" ht="12.95" customHeight="1">
      <c r="E371" s="4" t="s">
        <v>1</v>
      </c>
      <c r="F371" s="4"/>
      <c r="G371" s="4"/>
      <c r="H371" s="4"/>
      <c r="I371" s="4"/>
      <c r="J371" s="4"/>
      <c r="K371" s="4"/>
      <c r="L371" s="4"/>
      <c r="N371" s="1371"/>
      <c r="O371" s="1371"/>
      <c r="P371" s="1371"/>
      <c r="Q371" s="1371"/>
      <c r="R371" s="4"/>
      <c r="V371" s="4"/>
      <c r="W371" s="4"/>
      <c r="X371" s="4"/>
      <c r="Y371" s="4"/>
      <c r="Z371" s="4"/>
      <c r="AA371" s="4"/>
      <c r="AB371" s="4"/>
    </row>
    <row r="372" spans="1:36" ht="12.95" customHeight="1">
      <c r="E372" s="4" t="s">
        <v>2</v>
      </c>
      <c r="F372" s="4"/>
      <c r="G372" s="4"/>
      <c r="H372" s="4"/>
      <c r="I372" s="4"/>
      <c r="J372" s="4"/>
      <c r="K372" s="4"/>
      <c r="L372" s="4"/>
      <c r="N372" s="1448"/>
      <c r="O372" s="1448"/>
      <c r="P372" s="1448"/>
      <c r="Q372" s="1448"/>
      <c r="R372" s="1448"/>
      <c r="S372" s="1448"/>
      <c r="T372" s="1448"/>
      <c r="U372" s="1448"/>
      <c r="V372" s="1448"/>
      <c r="W372" s="1448"/>
      <c r="X372" s="1448"/>
      <c r="Y372" s="1448"/>
      <c r="Z372" s="1448"/>
      <c r="AA372" s="1448"/>
      <c r="AB372" s="1448"/>
      <c r="AC372" s="1448"/>
      <c r="AD372" s="1448"/>
      <c r="AE372" s="1448"/>
      <c r="AF372" s="1448"/>
    </row>
    <row r="373" spans="1:36" ht="12.95" customHeight="1">
      <c r="E373" s="4"/>
      <c r="F373" s="4"/>
      <c r="G373" s="4"/>
      <c r="H373" s="4"/>
      <c r="I373" s="4"/>
      <c r="J373" s="4"/>
      <c r="K373" s="4"/>
      <c r="L373" s="4"/>
      <c r="N373" s="1354"/>
      <c r="O373" s="1354"/>
      <c r="P373" s="1354"/>
      <c r="Q373" s="1354"/>
      <c r="R373" s="1354"/>
      <c r="S373" s="1354"/>
      <c r="T373" s="1354"/>
      <c r="U373" s="1354"/>
      <c r="V373" s="1354"/>
      <c r="W373" s="1354"/>
      <c r="X373" s="1354"/>
      <c r="Y373" s="1354"/>
      <c r="Z373" s="1354"/>
      <c r="AA373" s="1354"/>
      <c r="AB373" s="1354"/>
      <c r="AC373" s="1354"/>
      <c r="AD373" s="1354"/>
      <c r="AE373" s="1354"/>
      <c r="AF373" s="1354"/>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2508</v>
      </c>
      <c r="F376" s="4"/>
      <c r="G376" s="4"/>
      <c r="H376" s="4"/>
      <c r="I376" s="4"/>
      <c r="J376" s="4"/>
      <c r="K376" s="4"/>
      <c r="L376" s="4"/>
      <c r="N376" t="s">
        <v>2502</v>
      </c>
      <c r="R376" s="27" t="s">
        <v>307</v>
      </c>
      <c r="S376" s="1454"/>
      <c r="T376" s="1454"/>
      <c r="U376" s="1" t="s">
        <v>308</v>
      </c>
      <c r="V376" s="1454"/>
      <c r="W376" s="1454"/>
      <c r="Y376" t="s">
        <v>2502</v>
      </c>
      <c r="AC376" s="27" t="s">
        <v>307</v>
      </c>
      <c r="AD376" s="1454"/>
      <c r="AE376" s="1454"/>
      <c r="AF376" s="1" t="s">
        <v>308</v>
      </c>
      <c r="AG376" s="1454"/>
      <c r="AH376" s="1454"/>
    </row>
    <row r="377" spans="1:36" ht="12.95" customHeight="1">
      <c r="E377" s="4" t="s">
        <v>1045</v>
      </c>
      <c r="F377" s="4"/>
      <c r="G377" s="4"/>
      <c r="H377" s="4"/>
      <c r="I377" s="4"/>
      <c r="J377" s="4"/>
      <c r="K377" s="4"/>
      <c r="L377" s="4"/>
      <c r="N377" s="1454"/>
      <c r="O377" s="1454"/>
      <c r="P377" s="1454"/>
    </row>
    <row r="378" spans="1:36" ht="12.95" customHeight="1">
      <c r="E378" s="218" t="s">
        <v>2509</v>
      </c>
      <c r="F378" s="4"/>
      <c r="G378" s="4"/>
      <c r="H378" s="4"/>
      <c r="I378" s="4"/>
      <c r="J378" s="4"/>
      <c r="K378" s="4"/>
      <c r="L378" s="4"/>
      <c r="AG378" s="1543" t="s">
        <v>601</v>
      </c>
      <c r="AH378" s="1543"/>
    </row>
    <row r="379" spans="1:36" ht="12.95" customHeight="1">
      <c r="E379" s="4"/>
      <c r="F379" s="4"/>
      <c r="G379" s="4" t="s">
        <v>2510</v>
      </c>
      <c r="H379" s="4"/>
      <c r="I379" s="4"/>
      <c r="J379" s="4"/>
      <c r="K379" s="4"/>
      <c r="L379" s="4"/>
      <c r="AG379" s="1543" t="s">
        <v>601</v>
      </c>
      <c r="AH379" s="1543"/>
    </row>
    <row r="380" spans="1:36" ht="12.95" customHeight="1">
      <c r="E380" s="4"/>
      <c r="F380" s="4"/>
      <c r="G380" s="349" t="s">
        <v>1046</v>
      </c>
      <c r="H380" s="4"/>
      <c r="I380" s="4"/>
      <c r="J380" s="4"/>
      <c r="K380" s="4"/>
      <c r="L380" s="4"/>
      <c r="V380" s="1397" t="s">
        <v>601</v>
      </c>
      <c r="W380" s="1397"/>
      <c r="Y380" s="22" t="s">
        <v>1021</v>
      </c>
    </row>
    <row r="381" spans="1:36" ht="12.95" customHeight="1">
      <c r="E381" s="4" t="s">
        <v>1022</v>
      </c>
      <c r="F381" s="4"/>
      <c r="G381" s="4"/>
      <c r="H381" s="4"/>
      <c r="I381" s="4"/>
      <c r="J381" s="4"/>
      <c r="K381" s="4"/>
      <c r="L381" s="4"/>
      <c r="V381" s="1397" t="s">
        <v>601</v>
      </c>
      <c r="W381" s="1397"/>
      <c r="Y381" s="4" t="s">
        <v>1023</v>
      </c>
    </row>
    <row r="382" spans="1:36" ht="12.95" customHeight="1"/>
    <row r="383" spans="1:36" ht="12.95" customHeight="1">
      <c r="A383" s="2" t="s">
        <v>79</v>
      </c>
      <c r="B383" s="2"/>
    </row>
    <row r="384" spans="1:36" ht="12.95" customHeight="1">
      <c r="D384" t="s">
        <v>430</v>
      </c>
      <c r="J384" s="1408" t="s">
        <v>2693</v>
      </c>
      <c r="K384" s="1408"/>
      <c r="L384" s="1408"/>
      <c r="M384" s="1408"/>
      <c r="N384" s="1408"/>
      <c r="O384" s="1408"/>
      <c r="P384" s="1408"/>
      <c r="Q384" s="1408"/>
      <c r="R384" s="1408"/>
      <c r="S384" s="1408"/>
      <c r="T384" s="1408"/>
      <c r="U384" s="1408"/>
      <c r="V384" s="8" t="s">
        <v>84</v>
      </c>
      <c r="W384" s="8"/>
      <c r="X384" s="8"/>
      <c r="Y384" s="8"/>
      <c r="Z384" s="8"/>
      <c r="AA384" s="8"/>
      <c r="AB384" s="8"/>
      <c r="AC384" s="1408" t="s">
        <v>2694</v>
      </c>
      <c r="AD384" s="1408"/>
      <c r="AE384" s="1408"/>
      <c r="AF384" s="1408"/>
      <c r="AG384" s="1408"/>
      <c r="AH384" s="1408"/>
      <c r="AI384" s="1408"/>
      <c r="AJ384" s="1408"/>
    </row>
    <row r="385" spans="4:36" ht="12.95" customHeight="1">
      <c r="D385" s="3" t="s">
        <v>1326</v>
      </c>
      <c r="J385" s="1393" t="s">
        <v>2694</v>
      </c>
      <c r="K385" s="1393"/>
      <c r="L385" s="1393"/>
      <c r="M385" s="1393"/>
      <c r="N385" s="1393"/>
      <c r="O385" s="1393"/>
      <c r="P385" s="1393"/>
      <c r="Q385" s="1393"/>
      <c r="R385" s="1393"/>
      <c r="S385" s="1393"/>
      <c r="T385" s="1393"/>
      <c r="U385" s="1393"/>
      <c r="V385" s="3" t="s">
        <v>1326</v>
      </c>
      <c r="W385" s="8"/>
      <c r="X385" s="8"/>
      <c r="Y385" s="8"/>
      <c r="Z385" s="8"/>
      <c r="AA385" s="8"/>
      <c r="AB385" s="8"/>
      <c r="AC385" s="1408" t="s">
        <v>2694</v>
      </c>
      <c r="AD385" s="1408"/>
      <c r="AE385" s="1408"/>
      <c r="AF385" s="1408"/>
      <c r="AG385" s="1408"/>
      <c r="AH385" s="1408"/>
      <c r="AI385" s="1408"/>
      <c r="AJ385" s="1408"/>
    </row>
    <row r="386" spans="4:36" ht="12.95" customHeight="1">
      <c r="D386" s="3" t="s">
        <v>445</v>
      </c>
      <c r="J386" s="1393" t="s">
        <v>2631</v>
      </c>
      <c r="K386" s="1393"/>
      <c r="L386" s="1393"/>
      <c r="M386" s="1393"/>
      <c r="N386" s="1393"/>
      <c r="O386" s="1393"/>
      <c r="P386" s="1393"/>
      <c r="Q386" s="1393"/>
      <c r="R386" s="1393"/>
      <c r="S386" s="1393"/>
      <c r="T386" s="1393"/>
      <c r="U386" s="1393"/>
      <c r="V386" s="3" t="s">
        <v>445</v>
      </c>
      <c r="W386" s="8"/>
      <c r="X386" s="8"/>
      <c r="Y386" s="8"/>
      <c r="Z386" s="8"/>
      <c r="AA386" s="8"/>
      <c r="AB386" s="8"/>
      <c r="AC386" s="1408" t="s">
        <v>2631</v>
      </c>
      <c r="AD386" s="1408"/>
      <c r="AE386" s="1408"/>
      <c r="AF386" s="1408"/>
      <c r="AG386" s="1408"/>
      <c r="AH386" s="1408"/>
      <c r="AI386" s="1408"/>
      <c r="AJ386" s="1408"/>
    </row>
    <row r="387" spans="4:36" ht="12.95" customHeight="1">
      <c r="D387" t="s">
        <v>1322</v>
      </c>
      <c r="J387" s="1362" t="s">
        <v>2695</v>
      </c>
      <c r="K387" s="1362"/>
      <c r="L387" s="1362"/>
      <c r="M387" s="1362"/>
      <c r="N387" s="1362"/>
      <c r="O387" s="1362"/>
      <c r="P387" s="1362"/>
      <c r="Q387" s="1362"/>
      <c r="R387" s="1362"/>
      <c r="S387" s="1362"/>
      <c r="T387" s="1362"/>
      <c r="U387" s="1362"/>
      <c r="V387" s="1408"/>
      <c r="W387" s="1408"/>
      <c r="X387" s="1408"/>
      <c r="Y387" s="1408"/>
      <c r="Z387" s="1408"/>
      <c r="AA387" s="1408"/>
      <c r="AB387" s="1408"/>
      <c r="AC387" s="1408"/>
      <c r="AD387" s="1408"/>
      <c r="AE387" s="1408"/>
      <c r="AF387" s="1408"/>
      <c r="AG387" s="1408"/>
      <c r="AH387" s="1408"/>
      <c r="AI387" s="1408"/>
      <c r="AJ387" s="1408"/>
    </row>
    <row r="388" spans="4:36" ht="12.95" customHeight="1">
      <c r="D388" t="s">
        <v>4</v>
      </c>
      <c r="Q388" s="1752">
        <v>44474</v>
      </c>
      <c r="R388" s="1752"/>
      <c r="S388" s="1752"/>
      <c r="T388" s="1752"/>
      <c r="U388" s="1752"/>
      <c r="V388" t="s">
        <v>311</v>
      </c>
      <c r="AI388" s="1397" t="s">
        <v>679</v>
      </c>
      <c r="AJ388" s="1397"/>
    </row>
    <row r="389" spans="4:36" ht="12.95" customHeight="1">
      <c r="D389" t="s">
        <v>5</v>
      </c>
      <c r="Q389" s="1591"/>
      <c r="R389" s="1592"/>
      <c r="S389" s="1592"/>
      <c r="T389" s="1592"/>
      <c r="U389" s="1592"/>
      <c r="W389" s="21" t="s">
        <v>75</v>
      </c>
      <c r="AG389" s="1446"/>
      <c r="AH389" s="1446"/>
      <c r="AI389" s="1446"/>
      <c r="AJ389" s="1446"/>
    </row>
    <row r="390" spans="4:36" ht="12.95" customHeight="1">
      <c r="D390" t="s">
        <v>429</v>
      </c>
      <c r="Q390" s="1590">
        <v>2700000</v>
      </c>
      <c r="R390" s="1590"/>
      <c r="S390" s="1590"/>
      <c r="T390" s="1590"/>
      <c r="U390" s="1590"/>
      <c r="V390" s="3" t="s">
        <v>1325</v>
      </c>
      <c r="AG390" s="1457">
        <v>44927</v>
      </c>
      <c r="AH390" s="1457"/>
      <c r="AI390" s="1457"/>
      <c r="AJ390" s="1457"/>
    </row>
    <row r="391" spans="4:36" ht="12.95" customHeight="1">
      <c r="D391" t="s">
        <v>89</v>
      </c>
      <c r="I391" s="1536">
        <v>5306247326</v>
      </c>
      <c r="J391" s="1536"/>
      <c r="K391" s="1536"/>
      <c r="L391" s="1536"/>
      <c r="M391" s="1536"/>
      <c r="N391" s="1536"/>
      <c r="Q391" s="4" t="s">
        <v>208</v>
      </c>
      <c r="S391" s="1589"/>
      <c r="T391" s="1589"/>
      <c r="U391" s="1589"/>
      <c r="V391" t="s">
        <v>74</v>
      </c>
      <c r="AI391" s="1397" t="s">
        <v>679</v>
      </c>
      <c r="AJ391" s="1397"/>
    </row>
    <row r="392" spans="4:36" ht="12.95" customHeight="1">
      <c r="D392" t="s">
        <v>312</v>
      </c>
      <c r="Q392" s="1398"/>
      <c r="R392" s="1398"/>
      <c r="S392" s="1398"/>
      <c r="T392" s="1398"/>
      <c r="U392" s="1398"/>
      <c r="V392" t="s">
        <v>313</v>
      </c>
      <c r="AG392" s="1446"/>
      <c r="AH392" s="1446"/>
      <c r="AI392" s="1446"/>
      <c r="AJ392" s="1446"/>
    </row>
    <row r="393" spans="4:36" ht="12.95" customHeight="1">
      <c r="D393" t="s">
        <v>314</v>
      </c>
      <c r="Q393" s="1710"/>
      <c r="R393" s="1710"/>
      <c r="S393" s="1710"/>
      <c r="T393" s="1710"/>
      <c r="U393" s="1710"/>
      <c r="V393" t="s">
        <v>1306</v>
      </c>
      <c r="AG393" s="1446"/>
      <c r="AH393" s="1446"/>
      <c r="AI393" s="1446"/>
      <c r="AJ393" s="1446"/>
    </row>
    <row r="394" spans="4:36" ht="12.95" customHeight="1">
      <c r="D394" t="s">
        <v>1305</v>
      </c>
      <c r="AG394" s="1446"/>
      <c r="AH394" s="1446"/>
      <c r="AI394" s="1446"/>
      <c r="AJ394" s="1446"/>
    </row>
    <row r="395" spans="4:36" ht="12.95" customHeight="1">
      <c r="AG395" s="491"/>
      <c r="AH395" s="491"/>
      <c r="AI395" s="491"/>
      <c r="AJ395" s="491"/>
    </row>
    <row r="396" spans="4:36" ht="12.95" customHeight="1">
      <c r="D396" s="3" t="s">
        <v>2621</v>
      </c>
      <c r="AG396" s="491"/>
      <c r="AH396" s="491"/>
      <c r="AI396" s="1397" t="s">
        <v>679</v>
      </c>
      <c r="AJ396" s="1397"/>
    </row>
    <row r="397" spans="4:36" ht="12.95" customHeight="1">
      <c r="D397" s="3" t="s">
        <v>1849</v>
      </c>
      <c r="T397" s="1420" t="s">
        <v>601</v>
      </c>
      <c r="U397" s="1421"/>
      <c r="V397" s="1421"/>
      <c r="W397" s="1421"/>
      <c r="X397" s="1421"/>
      <c r="Y397" s="1421"/>
      <c r="Z397" s="1421"/>
      <c r="AA397" s="1421"/>
      <c r="AB397" s="1421"/>
      <c r="AC397" s="1421"/>
      <c r="AD397" s="1421"/>
      <c r="AE397" s="1421"/>
      <c r="AF397" s="1421"/>
      <c r="AG397" s="1421"/>
      <c r="AH397" s="1421"/>
      <c r="AI397" s="1421"/>
      <c r="AJ397" s="1421"/>
    </row>
    <row r="398" spans="4:36" ht="12.95" customHeight="1">
      <c r="D398" s="3" t="s">
        <v>1848</v>
      </c>
      <c r="T398" s="1420" t="s">
        <v>601</v>
      </c>
      <c r="U398" s="1421"/>
      <c r="V398" s="1421"/>
      <c r="W398" s="1421"/>
      <c r="X398" s="1421"/>
      <c r="Y398" s="1421"/>
      <c r="Z398" s="1421"/>
      <c r="AA398" s="1421"/>
      <c r="AB398" s="1421"/>
      <c r="AC398" s="1421"/>
      <c r="AD398" s="1421"/>
      <c r="AE398" s="1421"/>
      <c r="AF398" s="1421"/>
      <c r="AG398" s="1421"/>
      <c r="AH398" s="1421"/>
      <c r="AI398" s="1421"/>
      <c r="AJ398" s="1421"/>
    </row>
    <row r="399" spans="4:36" ht="12.95" customHeight="1">
      <c r="AG399" s="491"/>
      <c r="AH399" s="491"/>
      <c r="AI399" s="491"/>
      <c r="AJ399" s="491"/>
    </row>
    <row r="400" spans="4:36" ht="12.95" customHeight="1">
      <c r="D400" s="3" t="s">
        <v>1842</v>
      </c>
      <c r="S400" s="1421" t="s">
        <v>679</v>
      </c>
      <c r="T400" s="1421"/>
      <c r="U400" s="1421"/>
      <c r="V400" t="s">
        <v>1843</v>
      </c>
      <c r="AG400" s="1544"/>
      <c r="AH400" s="1544"/>
      <c r="AI400" s="1544"/>
      <c r="AJ400" s="1544"/>
    </row>
    <row r="401" spans="1:36" ht="12.95" customHeight="1">
      <c r="D401" s="3" t="s">
        <v>1840</v>
      </c>
      <c r="S401" s="1421" t="s">
        <v>601</v>
      </c>
      <c r="T401" s="1421"/>
      <c r="U401" s="1421"/>
      <c r="V401" t="s">
        <v>1845</v>
      </c>
      <c r="AE401" s="1545"/>
      <c r="AF401" s="1545"/>
      <c r="AG401" s="1545"/>
      <c r="AH401" s="1545"/>
      <c r="AI401" s="1545"/>
      <c r="AJ401" s="1545"/>
    </row>
    <row r="402" spans="1:36" ht="12.95" customHeight="1">
      <c r="D402" s="3" t="s">
        <v>1841</v>
      </c>
      <c r="K402" s="1461"/>
      <c r="L402" s="1461"/>
      <c r="M402" s="1461"/>
      <c r="N402" s="1461"/>
      <c r="O402" s="1461"/>
      <c r="P402" s="1461"/>
      <c r="Q402" s="1461"/>
      <c r="R402" s="1461"/>
      <c r="S402" s="1461"/>
      <c r="T402" s="1461"/>
      <c r="U402" s="1461"/>
      <c r="V402" s="1461"/>
      <c r="W402" s="1461"/>
      <c r="X402" s="1461"/>
      <c r="Y402" s="1461"/>
      <c r="Z402" s="1461"/>
      <c r="AA402" s="1461"/>
      <c r="AB402" s="1461"/>
      <c r="AC402" s="1461"/>
      <c r="AD402" s="1461"/>
      <c r="AE402" s="1461"/>
      <c r="AF402" s="1461"/>
      <c r="AG402" s="1461"/>
      <c r="AH402" s="1461"/>
      <c r="AI402" s="1461"/>
      <c r="AJ402" s="1461"/>
    </row>
    <row r="403" spans="1:36" ht="12.95" customHeight="1">
      <c r="D403" s="3" t="s">
        <v>1844</v>
      </c>
      <c r="K403" s="1461"/>
      <c r="L403" s="1461"/>
      <c r="M403" s="1461"/>
      <c r="N403" s="1461"/>
      <c r="O403" s="1461"/>
      <c r="P403" s="1461"/>
      <c r="Q403" s="1461"/>
      <c r="R403" s="1461"/>
      <c r="S403" s="1461"/>
      <c r="T403" s="1461"/>
      <c r="U403" s="1461"/>
      <c r="V403" s="1461"/>
      <c r="W403" s="1461"/>
      <c r="X403" s="1461"/>
      <c r="Y403" s="1461"/>
      <c r="Z403" s="1461"/>
      <c r="AA403" s="1461"/>
      <c r="AB403" s="1461"/>
      <c r="AC403" s="1461"/>
      <c r="AD403" s="1461"/>
      <c r="AE403" s="1461"/>
      <c r="AF403" s="1461"/>
      <c r="AG403" s="1461"/>
      <c r="AH403" s="1461"/>
      <c r="AI403" s="1461"/>
      <c r="AJ403" s="1461"/>
    </row>
    <row r="404" spans="1:36" ht="12.95" customHeight="1">
      <c r="D404" s="3" t="s">
        <v>1847</v>
      </c>
      <c r="E404" s="512"/>
      <c r="F404" s="512"/>
      <c r="G404" s="512"/>
      <c r="H404" s="512"/>
      <c r="I404" s="512"/>
      <c r="J404" s="512"/>
      <c r="K404" s="512"/>
      <c r="L404" s="512"/>
      <c r="M404" s="512"/>
      <c r="N404" s="512"/>
      <c r="O404" s="512"/>
      <c r="P404" s="512"/>
      <c r="Q404" s="512"/>
      <c r="R404" s="512"/>
      <c r="S404" s="1553" t="s">
        <v>1328</v>
      </c>
      <c r="T404" s="1553"/>
      <c r="U404" s="1553"/>
      <c r="V404" s="1553"/>
      <c r="W404" s="1553"/>
      <c r="X404" s="1553"/>
      <c r="Y404" s="1553"/>
      <c r="Z404" s="1553"/>
      <c r="AA404" s="1553"/>
      <c r="AB404" s="1553"/>
      <c r="AC404" s="1553"/>
      <c r="AD404" s="1553"/>
      <c r="AE404" s="1553"/>
      <c r="AF404" s="1553"/>
      <c r="AG404" s="1553"/>
      <c r="AH404" s="1553"/>
      <c r="AI404" s="1553"/>
      <c r="AJ404" s="1553"/>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15" t="s">
        <v>2696</v>
      </c>
      <c r="J409" s="1515"/>
      <c r="K409" s="1515"/>
      <c r="L409" s="1515"/>
      <c r="M409" s="1515"/>
      <c r="N409" s="1515"/>
      <c r="O409" s="1515"/>
      <c r="P409" s="1515"/>
      <c r="Q409" s="1515"/>
      <c r="R409" s="1515"/>
      <c r="S409" s="1515"/>
      <c r="T409" s="1515"/>
      <c r="U409" s="1515"/>
      <c r="V409" s="1515"/>
      <c r="W409" s="1515"/>
      <c r="X409" s="1515"/>
      <c r="Y409" s="1515"/>
      <c r="Z409" s="1515"/>
      <c r="AA409" s="1515"/>
      <c r="AB409" s="1515"/>
      <c r="AC409" s="1515"/>
      <c r="AD409" s="1515"/>
      <c r="AE409" s="1515"/>
    </row>
    <row r="410" spans="1:36" ht="12.95" customHeight="1">
      <c r="E410" t="s">
        <v>107</v>
      </c>
      <c r="R410" s="1397" t="s">
        <v>601</v>
      </c>
      <c r="S410" s="1397"/>
      <c r="T410" t="s">
        <v>580</v>
      </c>
      <c r="AD410" s="1371">
        <v>0</v>
      </c>
      <c r="AE410" s="1371"/>
    </row>
    <row r="411" spans="1:36" ht="12.95" customHeight="1">
      <c r="E411" t="s">
        <v>108</v>
      </c>
      <c r="R411" s="1397" t="s">
        <v>555</v>
      </c>
      <c r="S411" s="1397"/>
      <c r="T411" t="s">
        <v>580</v>
      </c>
      <c r="AD411" s="1371">
        <v>3</v>
      </c>
      <c r="AE411" s="1371"/>
    </row>
    <row r="412" spans="1:36" ht="12.95" customHeight="1">
      <c r="E412" t="s">
        <v>109</v>
      </c>
      <c r="S412" s="1397" t="s">
        <v>601</v>
      </c>
      <c r="T412" s="1397"/>
    </row>
    <row r="413" spans="1:36" ht="12.95" customHeight="1">
      <c r="E413" t="s">
        <v>171</v>
      </c>
      <c r="H413" s="1708" t="s">
        <v>336</v>
      </c>
      <c r="I413" s="1708"/>
      <c r="J413" s="1708"/>
      <c r="K413" s="1708"/>
      <c r="L413" s="1708"/>
      <c r="M413" s="1708"/>
      <c r="N413" s="1708"/>
      <c r="O413" s="1708"/>
      <c r="P413" s="1708"/>
      <c r="Q413" s="1708"/>
      <c r="R413" s="1708"/>
      <c r="S413" s="1708"/>
      <c r="T413" s="1708"/>
      <c r="U413" s="1708"/>
      <c r="V413" s="1708"/>
      <c r="W413" s="1708"/>
      <c r="X413" s="1708"/>
      <c r="Y413" s="1708"/>
      <c r="Z413" s="1708"/>
      <c r="AA413" s="1708"/>
      <c r="AB413" s="1708"/>
      <c r="AC413" s="1708"/>
      <c r="AD413" s="1708"/>
      <c r="AE413" s="1708"/>
    </row>
    <row r="414" spans="1:36" ht="12.95" customHeight="1">
      <c r="H414" s="1709"/>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row>
    <row r="415" spans="1:36" ht="12.95" customHeight="1"/>
    <row r="416" spans="1:36" ht="12.95" customHeight="1">
      <c r="A416" s="2" t="s">
        <v>600</v>
      </c>
      <c r="B416" s="2"/>
      <c r="C416" s="2"/>
      <c r="D416" s="2" t="s">
        <v>115</v>
      </c>
      <c r="AF416" s="2" t="s">
        <v>998</v>
      </c>
    </row>
    <row r="417" spans="1:39" ht="12.95" customHeight="1">
      <c r="E417" s="1454"/>
      <c r="F417" s="1454"/>
      <c r="G417" s="1454"/>
      <c r="H417" s="13" t="s">
        <v>116</v>
      </c>
      <c r="I417" s="1454"/>
      <c r="J417" s="1454"/>
      <c r="K417" s="1454"/>
      <c r="L417" t="s">
        <v>117</v>
      </c>
      <c r="N417" s="27" t="s">
        <v>585</v>
      </c>
      <c r="P417" s="1588">
        <v>3.23</v>
      </c>
      <c r="Q417" s="1588"/>
      <c r="R417" s="1588"/>
      <c r="S417" t="s">
        <v>118</v>
      </c>
      <c r="W417" s="1391">
        <f>IF(E417&gt;0,(E417*I417),(P417*43560))</f>
        <v>140698.79999999999</v>
      </c>
      <c r="X417" s="1391"/>
      <c r="Y417" s="1391"/>
      <c r="Z417" t="s">
        <v>119</v>
      </c>
      <c r="AF417" s="1542">
        <f>IF(P417&gt;0,(AG436/P417),(AG436/(W417/43560)))</f>
        <v>23.21981424148607</v>
      </c>
      <c r="AG417" s="1542"/>
      <c r="AH417" s="1542"/>
      <c r="AM417" s="3"/>
    </row>
    <row r="418" spans="1:39" ht="12.95" customHeight="1">
      <c r="E418" t="s">
        <v>51</v>
      </c>
    </row>
    <row r="419" spans="1:39" ht="12.95" customHeight="1">
      <c r="E419" s="1531"/>
      <c r="F419" s="1531"/>
      <c r="G419" s="1531"/>
      <c r="H419" s="1531"/>
      <c r="I419" s="1531"/>
      <c r="J419" s="1531"/>
      <c r="K419" s="1531"/>
      <c r="L419" s="1531"/>
      <c r="M419" s="1531"/>
      <c r="N419" s="1531"/>
      <c r="O419" s="1531"/>
      <c r="P419" s="1531"/>
      <c r="Q419" s="1531"/>
      <c r="R419" s="1531"/>
      <c r="S419" s="1531"/>
      <c r="T419" s="1531"/>
      <c r="U419" s="1531"/>
      <c r="V419" s="1531"/>
      <c r="W419" s="1531"/>
      <c r="X419" s="1531"/>
      <c r="Y419" s="1531"/>
      <c r="Z419" s="1531"/>
      <c r="AA419" s="1531"/>
      <c r="AB419" s="1531"/>
      <c r="AC419" s="1531"/>
      <c r="AD419" s="1531"/>
      <c r="AE419" s="1531"/>
      <c r="AF419" s="1531"/>
      <c r="AG419" s="1531"/>
      <c r="AH419" s="1531"/>
      <c r="AI419" s="1531"/>
      <c r="AJ419" s="1531"/>
    </row>
    <row r="420" spans="1:39" ht="12.95" customHeight="1">
      <c r="E420" s="118" t="s">
        <v>1997</v>
      </c>
      <c r="F420" s="1050"/>
      <c r="G420" s="1050"/>
      <c r="H420" s="1050"/>
      <c r="I420" s="1719">
        <v>3</v>
      </c>
      <c r="J420" s="1719"/>
      <c r="K420" s="1719"/>
      <c r="L420" s="1050"/>
      <c r="M420" s="118"/>
      <c r="N420" s="1050"/>
      <c r="O420" s="1050"/>
      <c r="P420" s="1742">
        <f>(CS623+CS631+CS647)/I420</f>
        <v>65</v>
      </c>
      <c r="Q420" s="1742"/>
      <c r="R420" s="1742"/>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97">
        <v>7</v>
      </c>
      <c r="Q423" s="1397"/>
      <c r="S423" t="s">
        <v>191</v>
      </c>
      <c r="AE423" s="1397">
        <v>7</v>
      </c>
      <c r="AF423" s="1397"/>
    </row>
    <row r="424" spans="1:39" ht="12.95" customHeight="1">
      <c r="E424" t="s">
        <v>192</v>
      </c>
      <c r="P424" s="1397">
        <v>1</v>
      </c>
      <c r="Q424" s="1397"/>
      <c r="S424" t="s">
        <v>132</v>
      </c>
      <c r="AE424" s="1397" t="s">
        <v>601</v>
      </c>
      <c r="AF424" s="1397"/>
    </row>
    <row r="425" spans="1:39" ht="12.95" customHeight="1">
      <c r="F425" s="28" t="s">
        <v>133</v>
      </c>
    </row>
    <row r="426" spans="1:39" ht="12.95" customHeight="1">
      <c r="F426" s="1455"/>
      <c r="G426" s="1455"/>
      <c r="H426" s="1455"/>
      <c r="I426" s="1455"/>
      <c r="J426" s="1455"/>
      <c r="K426" s="1455"/>
      <c r="L426" s="1455"/>
      <c r="M426" s="1455"/>
      <c r="N426" s="1455"/>
      <c r="O426" s="1455"/>
      <c r="P426" s="1455"/>
      <c r="Q426" s="1455"/>
      <c r="R426" s="1455"/>
      <c r="S426" s="1455"/>
      <c r="T426" s="1455"/>
      <c r="U426" s="1455"/>
      <c r="V426" s="1455"/>
      <c r="W426" s="1455"/>
      <c r="X426" s="1455"/>
      <c r="Y426" s="1455"/>
      <c r="Z426" s="1455"/>
      <c r="AA426" s="1455"/>
      <c r="AB426" s="1455"/>
      <c r="AC426" s="1455"/>
      <c r="AD426" s="1455"/>
      <c r="AE426" s="1455"/>
      <c r="AF426" s="1455"/>
      <c r="AG426" s="1455"/>
      <c r="AH426" s="1455"/>
    </row>
    <row r="427" spans="1:39" ht="12.95" customHeight="1">
      <c r="F427" s="1456"/>
      <c r="G427" s="1456"/>
      <c r="H427" s="1456"/>
      <c r="I427" s="1456"/>
      <c r="J427" s="1456"/>
      <c r="K427" s="1456"/>
      <c r="L427" s="1456"/>
      <c r="M427" s="1456"/>
      <c r="N427" s="1456"/>
      <c r="O427" s="1456"/>
      <c r="P427" s="1456"/>
      <c r="Q427" s="1456"/>
      <c r="R427" s="1456"/>
      <c r="S427" s="1456"/>
      <c r="T427" s="1456"/>
      <c r="U427" s="1456"/>
      <c r="V427" s="1456"/>
      <c r="W427" s="1456"/>
      <c r="X427" s="1456"/>
      <c r="Y427" s="1456"/>
      <c r="Z427" s="1456"/>
      <c r="AA427" s="1456"/>
      <c r="AB427" s="1456"/>
      <c r="AC427" s="1456"/>
      <c r="AD427" s="1456"/>
      <c r="AE427" s="1456"/>
      <c r="AF427" s="1456"/>
      <c r="AG427" s="1456"/>
      <c r="AH427" s="1456"/>
    </row>
    <row r="428" spans="1:39" ht="12.95" customHeight="1">
      <c r="E428" t="s">
        <v>618</v>
      </c>
      <c r="P428" s="1"/>
      <c r="Q428" s="1397" t="s">
        <v>555</v>
      </c>
      <c r="R428" s="1397"/>
    </row>
    <row r="429" spans="1:39" ht="12.95" customHeight="1">
      <c r="F429" t="s">
        <v>619</v>
      </c>
      <c r="P429" s="1"/>
      <c r="Q429" s="1"/>
      <c r="AF429" s="1397" t="s">
        <v>601</v>
      </c>
      <c r="AG429" s="1549"/>
    </row>
    <row r="430" spans="1:39" ht="12.95" customHeight="1"/>
    <row r="431" spans="1:39" ht="12.95" customHeight="1">
      <c r="A431" s="2"/>
      <c r="B431" s="2"/>
      <c r="C431" s="2"/>
      <c r="E431" s="4" t="s">
        <v>310</v>
      </c>
      <c r="Z431" s="1397" t="s">
        <v>679</v>
      </c>
      <c r="AA431" s="1397"/>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97" t="s">
        <v>601</v>
      </c>
      <c r="AA433" s="1397"/>
    </row>
    <row r="434" spans="1:110" ht="12.95" customHeight="1"/>
    <row r="435" spans="1:110" ht="12.95" customHeight="1">
      <c r="A435" s="2" t="s">
        <v>477</v>
      </c>
      <c r="B435" s="2"/>
      <c r="C435" s="2"/>
      <c r="D435" s="2" t="s">
        <v>789</v>
      </c>
      <c r="AF435" s="48"/>
    </row>
    <row r="436" spans="1:110" ht="12.95" customHeight="1">
      <c r="D436" s="1430" t="s">
        <v>43</v>
      </c>
      <c r="E436" s="1431"/>
      <c r="F436" s="1431"/>
      <c r="G436" s="1431"/>
      <c r="H436" s="1431"/>
      <c r="I436" s="1431"/>
      <c r="J436" s="1431"/>
      <c r="K436" s="1431"/>
      <c r="L436" s="1431"/>
      <c r="M436" s="1431"/>
      <c r="N436" s="1431"/>
      <c r="O436" s="1431"/>
      <c r="P436" s="1431"/>
      <c r="Q436" s="1431"/>
      <c r="R436" s="1431"/>
      <c r="S436" s="1431"/>
      <c r="T436" s="1431"/>
      <c r="U436" s="1431"/>
      <c r="V436" s="1431"/>
      <c r="W436" s="1431"/>
      <c r="X436" s="1431"/>
      <c r="Y436" s="1431"/>
      <c r="Z436" s="1431"/>
      <c r="AA436" s="1431"/>
      <c r="AB436" s="1431"/>
      <c r="AC436" s="1431"/>
      <c r="AD436" s="1431"/>
      <c r="AE436" s="1431"/>
      <c r="AF436" s="1432"/>
      <c r="AG436" s="1384">
        <v>75</v>
      </c>
      <c r="AH436" s="1384"/>
      <c r="AI436" s="1384"/>
      <c r="AJ436" s="1384"/>
    </row>
    <row r="437" spans="1:110" ht="12.95" customHeight="1">
      <c r="D437" s="1388" t="s">
        <v>1370</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395"/>
      <c r="AH437" s="1396"/>
      <c r="AI437" s="1396"/>
      <c r="AJ437" s="1396"/>
    </row>
    <row r="438" spans="1:110" ht="12.95" customHeight="1">
      <c r="D438" s="1388" t="s">
        <v>1093</v>
      </c>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c r="AA438" s="1389"/>
      <c r="AB438" s="1389"/>
      <c r="AC438" s="1389"/>
      <c r="AD438" s="1389"/>
      <c r="AE438" s="1389"/>
      <c r="AF438" s="1390"/>
      <c r="AG438" s="1384">
        <v>74</v>
      </c>
      <c r="AH438" s="1384"/>
      <c r="AI438" s="1384"/>
      <c r="AJ438" s="1384"/>
    </row>
    <row r="439" spans="1:110" ht="12.95" customHeight="1">
      <c r="D439" s="1388" t="s">
        <v>1094</v>
      </c>
      <c r="E439" s="1389"/>
      <c r="F439" s="1389"/>
      <c r="G439" s="1389"/>
      <c r="H439" s="1389"/>
      <c r="I439" s="1389"/>
      <c r="J439" s="1389"/>
      <c r="K439" s="1389"/>
      <c r="L439" s="1389"/>
      <c r="M439" s="1389"/>
      <c r="N439" s="1389"/>
      <c r="O439" s="1389"/>
      <c r="P439" s="1389"/>
      <c r="Q439" s="1389"/>
      <c r="R439" s="1389"/>
      <c r="S439" s="1389"/>
      <c r="T439" s="1389"/>
      <c r="U439" s="1389"/>
      <c r="V439" s="1389"/>
      <c r="W439" s="1389"/>
      <c r="X439" s="1389"/>
      <c r="Y439" s="1389"/>
      <c r="Z439" s="1389"/>
      <c r="AA439" s="1389"/>
      <c r="AB439" s="1389"/>
      <c r="AC439" s="1389"/>
      <c r="AD439" s="1389"/>
      <c r="AE439" s="1389"/>
      <c r="AF439" s="1390"/>
      <c r="AG439" s="1384">
        <v>74</v>
      </c>
      <c r="AH439" s="1384"/>
      <c r="AI439" s="1384"/>
      <c r="AJ439" s="1384"/>
    </row>
    <row r="440" spans="1:110" ht="12.95" customHeight="1">
      <c r="D440" s="1388" t="s">
        <v>1096</v>
      </c>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c r="AA440" s="1389"/>
      <c r="AB440" s="1389"/>
      <c r="AC440" s="1389"/>
      <c r="AD440" s="1389"/>
      <c r="AE440" s="1389"/>
      <c r="AF440" s="1390"/>
      <c r="AG440" s="1386">
        <f>IF(ISERROR(AG439/AG438),"",AG439/AG438)</f>
        <v>1</v>
      </c>
      <c r="AH440" s="1386"/>
      <c r="AI440" s="1386"/>
      <c r="AJ440" s="1386"/>
    </row>
    <row r="441" spans="1:110" ht="12.95" customHeight="1">
      <c r="D441" s="1388" t="s">
        <v>1095</v>
      </c>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c r="AA441" s="1389"/>
      <c r="AB441" s="1389"/>
      <c r="AC441" s="1389"/>
      <c r="AD441" s="1389"/>
      <c r="AE441" s="1389"/>
      <c r="AF441" s="1390"/>
      <c r="AG441" s="1385">
        <v>78850</v>
      </c>
      <c r="AH441" s="1385"/>
      <c r="AI441" s="1385"/>
      <c r="AJ441" s="1385"/>
    </row>
    <row r="442" spans="1:110" ht="12.95" customHeight="1">
      <c r="D442" s="1388" t="s">
        <v>1097</v>
      </c>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c r="AA442" s="1389"/>
      <c r="AB442" s="1389"/>
      <c r="AC442" s="1389"/>
      <c r="AD442" s="1389"/>
      <c r="AE442" s="1389"/>
      <c r="AF442" s="1390"/>
      <c r="AG442" s="1385">
        <v>78850</v>
      </c>
      <c r="AH442" s="1385"/>
      <c r="AI442" s="1385"/>
      <c r="AJ442" s="1385"/>
    </row>
    <row r="443" spans="1:110" ht="12.95" customHeight="1">
      <c r="D443" s="1388" t="s">
        <v>1098</v>
      </c>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c r="AA443" s="1389"/>
      <c r="AB443" s="1389"/>
      <c r="AC443" s="1389"/>
      <c r="AD443" s="1389"/>
      <c r="AE443" s="1389"/>
      <c r="AF443" s="1390"/>
      <c r="AG443" s="1386">
        <f>IF(ISERROR(AG442/AG441),"",AG442/AG441)</f>
        <v>1</v>
      </c>
      <c r="AH443" s="1386"/>
      <c r="AI443" s="1386"/>
      <c r="AJ443" s="1386"/>
    </row>
    <row r="444" spans="1:110" ht="12.95" customHeight="1">
      <c r="D444" s="1388" t="s">
        <v>1099</v>
      </c>
      <c r="E444" s="1389"/>
      <c r="F444" s="1389"/>
      <c r="G444" s="1389"/>
      <c r="H444" s="1389"/>
      <c r="I444" s="1389"/>
      <c r="J444" s="1389"/>
      <c r="K444" s="1389"/>
      <c r="L444" s="1389"/>
      <c r="M444" s="1389"/>
      <c r="N444" s="1389"/>
      <c r="O444" s="1389"/>
      <c r="P444" s="1389"/>
      <c r="Q444" s="1389"/>
      <c r="R444" s="1389"/>
      <c r="S444" s="1389"/>
      <c r="T444" s="1389"/>
      <c r="U444" s="1389"/>
      <c r="V444" s="1389"/>
      <c r="W444" s="1389"/>
      <c r="X444" s="1389"/>
      <c r="Y444" s="1389"/>
      <c r="Z444" s="1389"/>
      <c r="AA444" s="1389"/>
      <c r="AB444" s="1389"/>
      <c r="AC444" s="1389"/>
      <c r="AD444" s="1389"/>
      <c r="AE444" s="1389"/>
      <c r="AF444" s="1390"/>
      <c r="AG444" s="1386">
        <f>MIN(IF(AG440&gt;AG443,AG443,AG440),1)</f>
        <v>1</v>
      </c>
      <c r="AH444" s="1386"/>
      <c r="AI444" s="1386"/>
      <c r="AJ444" s="1386"/>
    </row>
    <row r="445" spans="1:110" ht="12.95" customHeight="1">
      <c r="D445" s="1388" t="s">
        <v>2511</v>
      </c>
      <c r="E445" s="1431"/>
      <c r="F445" s="1431"/>
      <c r="G445" s="1431"/>
      <c r="H445" s="1431"/>
      <c r="I445" s="1431"/>
      <c r="J445" s="1431"/>
      <c r="K445" s="1431"/>
      <c r="L445" s="1431"/>
      <c r="M445" s="1431"/>
      <c r="N445" s="1431"/>
      <c r="O445" s="1431"/>
      <c r="P445" s="1431"/>
      <c r="Q445" s="1431"/>
      <c r="R445" s="1431"/>
      <c r="S445" s="1431"/>
      <c r="T445" s="1431"/>
      <c r="U445" s="1431"/>
      <c r="V445" s="1431"/>
      <c r="W445" s="1431"/>
      <c r="X445" s="1431"/>
      <c r="Y445" s="1431"/>
      <c r="Z445" s="1431"/>
      <c r="AA445" s="1431"/>
      <c r="AB445" s="1431"/>
      <c r="AC445" s="1431"/>
      <c r="AD445" s="1431"/>
      <c r="AE445" s="1431"/>
      <c r="AF445" s="1432"/>
      <c r="AG445" s="1385">
        <v>7806</v>
      </c>
      <c r="AH445" s="1385"/>
      <c r="AI445" s="1385"/>
      <c r="AJ445" s="1385"/>
    </row>
    <row r="446" spans="1:110" ht="12.95" customHeight="1">
      <c r="D446" s="1430" t="s">
        <v>579</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385">
        <v>0</v>
      </c>
      <c r="AH446" s="1385"/>
      <c r="AI446" s="1385"/>
      <c r="AJ446" s="138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88" t="s">
        <v>1349</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385">
        <v>1274</v>
      </c>
      <c r="AH447" s="1385"/>
      <c r="AI447" s="1385"/>
      <c r="AJ447" s="138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88" t="s">
        <v>1100</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385">
        <v>0</v>
      </c>
      <c r="AH448" s="1385"/>
      <c r="AI448" s="1385"/>
      <c r="AJ448" s="138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6" t="s">
        <v>1101</v>
      </c>
      <c r="E449" s="1527"/>
      <c r="F449" s="1527"/>
      <c r="G449" s="1527"/>
      <c r="H449" s="1527"/>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c r="AF449" s="1528"/>
      <c r="AG449" s="1467">
        <f>AG441+AG445+AG447+AG448</f>
        <v>87930</v>
      </c>
      <c r="AH449" s="1467"/>
      <c r="AI449" s="1467"/>
      <c r="AJ449" s="14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9" t="s">
        <v>1350</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29"/>
      <c r="AG450" s="1529"/>
      <c r="AH450" s="1529"/>
      <c r="AI450" s="1529"/>
      <c r="AJ450" s="152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87">
        <f>'Sources and Uses Budget'!B105/Application!AG436</f>
        <v>535603.69333333336</v>
      </c>
      <c r="AD453" s="1387"/>
      <c r="AE453" s="1387"/>
      <c r="AF453" s="138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87">
        <f>'Sources and Uses Budget'!C105/Application!AG436</f>
        <v>535603.69333333336</v>
      </c>
      <c r="AD454" s="1387"/>
      <c r="AE454" s="1387"/>
      <c r="AF454" s="1387"/>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87">
        <f>('Sources and Uses Budget'!$S$107+'Sources and Uses Budget'!$T$107)/Application!AG436</f>
        <v>489691.70666666667</v>
      </c>
      <c r="AD455" s="1387"/>
      <c r="AE455" s="1387"/>
      <c r="AF455" s="138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2" t="str">
        <f>IFERROR(IF(AC453&gt;650000,"Please provide a justification of cost per unit in Tab 12 for all projects with per unit costs of greater than $650,000.",""),"")</f>
        <v/>
      </c>
      <c r="G456" s="1532"/>
      <c r="H456" s="1532"/>
      <c r="I456" s="1532"/>
      <c r="J456" s="1532"/>
      <c r="K456" s="1532"/>
      <c r="L456" s="1532"/>
      <c r="M456" s="1532"/>
      <c r="N456" s="1532"/>
      <c r="O456" s="1532"/>
      <c r="P456" s="1532"/>
      <c r="Q456" s="1532"/>
      <c r="R456" s="1532"/>
      <c r="S456" s="1532"/>
      <c r="T456" s="1532"/>
      <c r="U456" s="1532"/>
      <c r="V456" s="1532"/>
      <c r="W456" s="1532"/>
      <c r="X456" s="1532"/>
      <c r="Y456" s="1532"/>
      <c r="Z456" s="1532"/>
      <c r="AA456" s="1532"/>
      <c r="AB456" s="153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2"/>
      <c r="G457" s="1532"/>
      <c r="H457" s="1532"/>
      <c r="I457" s="1532"/>
      <c r="J457" s="1532"/>
      <c r="K457" s="1532"/>
      <c r="L457" s="1532"/>
      <c r="M457" s="1532"/>
      <c r="N457" s="1532"/>
      <c r="O457" s="1532"/>
      <c r="P457" s="1532"/>
      <c r="Q457" s="1532"/>
      <c r="R457" s="1532"/>
      <c r="S457" s="1532"/>
      <c r="T457" s="1532"/>
      <c r="U457" s="1532"/>
      <c r="V457" s="1532"/>
      <c r="W457" s="1532"/>
      <c r="X457" s="1532"/>
      <c r="Y457" s="1532"/>
      <c r="Z457" s="1532"/>
      <c r="AA457" s="1532"/>
      <c r="AB457" s="153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6" t="s">
        <v>2527</v>
      </c>
      <c r="E464" s="1373"/>
      <c r="F464" s="1373"/>
      <c r="G464" s="1373"/>
      <c r="H464" s="1373"/>
      <c r="I464" s="1373"/>
      <c r="J464" s="1373"/>
      <c r="K464" s="1373"/>
      <c r="L464" s="1373"/>
      <c r="M464" s="1373"/>
      <c r="N464" s="1373"/>
      <c r="O464" s="1373"/>
      <c r="P464" s="1373"/>
      <c r="Q464" s="1373"/>
      <c r="R464" s="1373"/>
      <c r="S464" s="1373"/>
      <c r="T464" s="1373"/>
      <c r="U464" s="1373"/>
      <c r="V464" s="1374"/>
      <c r="W464" s="1381">
        <v>0</v>
      </c>
      <c r="X464" s="1382"/>
      <c r="Y464" s="138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72" t="s">
        <v>704</v>
      </c>
      <c r="E465" s="1373"/>
      <c r="F465" s="1373"/>
      <c r="G465" s="1373"/>
      <c r="H465" s="1373"/>
      <c r="I465" s="1373"/>
      <c r="J465" s="1373"/>
      <c r="K465" s="1373"/>
      <c r="L465" s="1373"/>
      <c r="M465" s="1373"/>
      <c r="N465" s="1373"/>
      <c r="O465" s="1373"/>
      <c r="P465" s="1373"/>
      <c r="Q465" s="1373"/>
      <c r="R465" s="1373"/>
      <c r="S465" s="1373"/>
      <c r="T465" s="1373"/>
      <c r="U465" s="1373"/>
      <c r="V465" s="1374"/>
      <c r="W465" s="1381">
        <v>0</v>
      </c>
      <c r="X465" s="1382"/>
      <c r="Y465" s="138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72" t="s">
        <v>705</v>
      </c>
      <c r="E466" s="1373"/>
      <c r="F466" s="1373"/>
      <c r="G466" s="1373"/>
      <c r="H466" s="1373"/>
      <c r="I466" s="1373"/>
      <c r="J466" s="1373"/>
      <c r="K466" s="1373"/>
      <c r="L466" s="1373"/>
      <c r="M466" s="1373"/>
      <c r="N466" s="1373"/>
      <c r="O466" s="1373"/>
      <c r="P466" s="1373"/>
      <c r="Q466" s="1373"/>
      <c r="R466" s="1373"/>
      <c r="S466" s="1373"/>
      <c r="T466" s="1373"/>
      <c r="U466" s="1373"/>
      <c r="V466" s="1374"/>
      <c r="W466" s="1381">
        <v>0</v>
      </c>
      <c r="X466" s="1382"/>
      <c r="Y466" s="138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72" t="s">
        <v>706</v>
      </c>
      <c r="E467" s="1373"/>
      <c r="F467" s="1373"/>
      <c r="G467" s="1373"/>
      <c r="H467" s="1373"/>
      <c r="I467" s="1373"/>
      <c r="J467" s="1373"/>
      <c r="K467" s="1373"/>
      <c r="L467" s="1373"/>
      <c r="M467" s="1373"/>
      <c r="N467" s="1373"/>
      <c r="O467" s="1373"/>
      <c r="P467" s="1373"/>
      <c r="Q467" s="1373"/>
      <c r="R467" s="1373"/>
      <c r="S467" s="1373"/>
      <c r="T467" s="1373"/>
      <c r="U467" s="1373"/>
      <c r="V467" s="1374"/>
      <c r="W467" s="1381">
        <v>0</v>
      </c>
      <c r="X467" s="1382"/>
      <c r="Y467" s="138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72" t="s">
        <v>911</v>
      </c>
      <c r="E468" s="1373"/>
      <c r="F468" s="1373"/>
      <c r="G468" s="1373"/>
      <c r="H468" s="1373"/>
      <c r="I468" s="1373"/>
      <c r="J468" s="1373"/>
      <c r="K468" s="1373"/>
      <c r="L468" s="1373"/>
      <c r="M468" s="1373"/>
      <c r="N468" s="1373"/>
      <c r="O468" s="1373"/>
      <c r="P468" s="1373"/>
      <c r="Q468" s="1373"/>
      <c r="R468" s="1373"/>
      <c r="S468" s="1373"/>
      <c r="T468" s="1373"/>
      <c r="U468" s="1373"/>
      <c r="V468" s="1374"/>
      <c r="W468" s="1381">
        <v>0</v>
      </c>
      <c r="X468" s="1382"/>
      <c r="Y468" s="138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72" t="s">
        <v>707</v>
      </c>
      <c r="E469" s="1373"/>
      <c r="F469" s="1373"/>
      <c r="G469" s="1373"/>
      <c r="H469" s="1373"/>
      <c r="I469" s="1373"/>
      <c r="J469" s="1373"/>
      <c r="K469" s="1373"/>
      <c r="L469" s="1373"/>
      <c r="M469" s="1373"/>
      <c r="N469" s="1373"/>
      <c r="O469" s="1373"/>
      <c r="P469" s="1373"/>
      <c r="Q469" s="1373"/>
      <c r="R469" s="1373"/>
      <c r="S469" s="1373"/>
      <c r="T469" s="1373"/>
      <c r="U469" s="1373"/>
      <c r="V469" s="1374"/>
      <c r="W469" s="1381">
        <v>0</v>
      </c>
      <c r="X469" s="1382"/>
      <c r="Y469" s="138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72" t="s">
        <v>1070</v>
      </c>
      <c r="E470" s="1373"/>
      <c r="F470" s="1373"/>
      <c r="G470" s="1373"/>
      <c r="H470" s="1373"/>
      <c r="I470" s="1373"/>
      <c r="J470" s="1373"/>
      <c r="K470" s="1373"/>
      <c r="L470" s="1373"/>
      <c r="M470" s="1373"/>
      <c r="N470" s="1373"/>
      <c r="O470" s="1373"/>
      <c r="P470" s="1373"/>
      <c r="Q470" s="1373"/>
      <c r="R470" s="1373"/>
      <c r="S470" s="1373"/>
      <c r="T470" s="1373"/>
      <c r="U470" s="1373"/>
      <c r="V470" s="1374"/>
      <c r="W470" s="1381">
        <v>0</v>
      </c>
      <c r="X470" s="1382"/>
      <c r="Y470" s="138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6" t="s">
        <v>1835</v>
      </c>
      <c r="E471" s="1373"/>
      <c r="F471" s="1373"/>
      <c r="G471" s="1373"/>
      <c r="H471" s="1373"/>
      <c r="I471" s="1373"/>
      <c r="J471" s="1373"/>
      <c r="K471" s="1373"/>
      <c r="L471" s="1373"/>
      <c r="M471" s="1373"/>
      <c r="N471" s="1373"/>
      <c r="O471" s="1373"/>
      <c r="P471" s="1373"/>
      <c r="Q471" s="1373"/>
      <c r="R471" s="1373"/>
      <c r="S471" s="1373"/>
      <c r="T471" s="1373"/>
      <c r="U471" s="1373"/>
      <c r="V471" s="1374"/>
      <c r="W471" s="1381">
        <v>0</v>
      </c>
      <c r="X471" s="1382"/>
      <c r="Y471" s="138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3"/>
      <c r="H472" s="1464"/>
      <c r="I472" s="1464"/>
      <c r="J472" s="1464"/>
      <c r="K472" s="1464"/>
      <c r="L472" s="1464"/>
      <c r="M472" s="1464"/>
      <c r="N472" s="1464"/>
      <c r="O472" s="1464"/>
      <c r="P472" s="1464"/>
      <c r="Q472" s="1464"/>
      <c r="R472" s="1464"/>
      <c r="S472" s="1464"/>
      <c r="T472" s="1464"/>
      <c r="U472" s="1464"/>
      <c r="V472" s="1465"/>
      <c r="W472" s="1381">
        <v>0</v>
      </c>
      <c r="X472" s="1382"/>
      <c r="Y472" s="138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52" t="s">
        <v>836</v>
      </c>
      <c r="B478" s="1452"/>
      <c r="C478" s="1452"/>
      <c r="D478" s="1452"/>
      <c r="E478" s="1452"/>
      <c r="F478" s="1452"/>
      <c r="G478" s="1452"/>
      <c r="H478" s="1452"/>
      <c r="I478" s="1452"/>
      <c r="J478" s="1452"/>
      <c r="K478" s="1452"/>
      <c r="L478" s="1452"/>
      <c r="M478" s="1452"/>
      <c r="N478" s="1452"/>
      <c r="O478" s="1452"/>
      <c r="P478" s="1452"/>
      <c r="Q478" s="1452"/>
      <c r="R478" s="1452"/>
      <c r="S478" s="1452"/>
      <c r="T478" s="1452"/>
      <c r="U478" s="1452"/>
      <c r="V478" s="1452"/>
      <c r="W478" s="1452"/>
      <c r="X478" s="1452"/>
      <c r="Y478" s="1452"/>
      <c r="Z478" s="1452"/>
      <c r="AA478" s="1452"/>
      <c r="AB478" s="1452"/>
      <c r="AC478" s="1452"/>
      <c r="AD478" s="1452"/>
      <c r="AE478" s="1452"/>
      <c r="AF478" s="1452"/>
      <c r="AG478" s="1452"/>
      <c r="AH478" s="1452"/>
      <c r="AI478" s="1452"/>
      <c r="AJ478" s="1452"/>
      <c r="AK478" s="1452"/>
      <c r="AL478" s="145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53"/>
      <c r="B479" s="1453"/>
      <c r="C479" s="1453"/>
      <c r="D479" s="1453"/>
      <c r="E479" s="1453"/>
      <c r="F479" s="1453"/>
      <c r="G479" s="1453"/>
      <c r="H479" s="1453"/>
      <c r="I479" s="1453"/>
      <c r="J479" s="1453"/>
      <c r="K479" s="1453"/>
      <c r="L479" s="1453"/>
      <c r="M479" s="1453"/>
      <c r="N479" s="1453"/>
      <c r="O479" s="1453"/>
      <c r="P479" s="1453"/>
      <c r="Q479" s="1453"/>
      <c r="R479" s="1453"/>
      <c r="S479" s="1453"/>
      <c r="T479" s="1453"/>
      <c r="U479" s="1453"/>
      <c r="V479" s="1453"/>
      <c r="W479" s="1453"/>
      <c r="X479" s="1453"/>
      <c r="Y479" s="1453"/>
      <c r="Z479" s="1453"/>
      <c r="AA479" s="1453"/>
      <c r="AB479" s="1453"/>
      <c r="AC479" s="1453"/>
      <c r="AD479" s="1453"/>
      <c r="AE479" s="1453"/>
      <c r="AF479" s="1453"/>
      <c r="AG479" s="1453"/>
      <c r="AH479" s="1453"/>
      <c r="AI479" s="1453"/>
      <c r="AJ479" s="1453"/>
      <c r="AK479" s="1453"/>
      <c r="AL479" s="145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9" t="s">
        <v>395</v>
      </c>
      <c r="R483" s="1425"/>
      <c r="S483" s="1425"/>
      <c r="T483" s="1425"/>
      <c r="U483" s="1425"/>
      <c r="V483" s="1425"/>
      <c r="W483" s="1425"/>
      <c r="X483" s="1425"/>
      <c r="Y483" s="1425"/>
      <c r="Z483" s="1425"/>
      <c r="AA483" s="1425"/>
      <c r="AB483" s="1425"/>
      <c r="AC483" s="1425"/>
      <c r="AD483" s="1425"/>
      <c r="AE483" s="1425"/>
      <c r="AF483" s="1425"/>
      <c r="AG483" s="1425"/>
      <c r="AH483" s="1425"/>
      <c r="AI483" s="1425"/>
      <c r="AJ483" s="1425"/>
      <c r="AK483" s="142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92" t="s">
        <v>2697</v>
      </c>
      <c r="R484" s="1393"/>
      <c r="S484" s="1393"/>
      <c r="T484" s="1393"/>
      <c r="U484" s="1393"/>
      <c r="V484" s="1393"/>
      <c r="W484" s="1393"/>
      <c r="X484" s="1393"/>
      <c r="Y484" s="1393"/>
      <c r="Z484" s="1393"/>
      <c r="AA484" s="1393"/>
      <c r="AB484" s="1393"/>
      <c r="AC484" s="1393"/>
      <c r="AD484" s="1393"/>
      <c r="AE484" s="1393"/>
      <c r="AF484" s="1393"/>
      <c r="AG484" s="1393"/>
      <c r="AH484" s="1393"/>
      <c r="AI484" s="1393"/>
      <c r="AJ484" s="1393"/>
      <c r="AK484" s="139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92" t="s">
        <v>2698</v>
      </c>
      <c r="R485" s="1393"/>
      <c r="S485" s="1393"/>
      <c r="T485" s="1393"/>
      <c r="U485" s="1393"/>
      <c r="V485" s="1393"/>
      <c r="W485" s="1393"/>
      <c r="X485" s="1393"/>
      <c r="Y485" s="1393"/>
      <c r="Z485" s="1393"/>
      <c r="AA485" s="1393"/>
      <c r="AB485" s="1393"/>
      <c r="AC485" s="1393"/>
      <c r="AD485" s="1393"/>
      <c r="AE485" s="1393"/>
      <c r="AF485" s="1393"/>
      <c r="AG485" s="1393"/>
      <c r="AH485" s="1393"/>
      <c r="AI485" s="1393"/>
      <c r="AJ485" s="1393"/>
      <c r="AK485" s="139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92" t="s">
        <v>2699</v>
      </c>
      <c r="R486" s="1393"/>
      <c r="S486" s="1393"/>
      <c r="T486" s="1393"/>
      <c r="U486" s="1393"/>
      <c r="V486" s="1393"/>
      <c r="W486" s="1393"/>
      <c r="X486" s="1393"/>
      <c r="Y486" s="1393"/>
      <c r="Z486" s="1393"/>
      <c r="AA486" s="1393"/>
      <c r="AB486" s="1393"/>
      <c r="AC486" s="1393"/>
      <c r="AD486" s="1393"/>
      <c r="AE486" s="1393"/>
      <c r="AF486" s="1393"/>
      <c r="AG486" s="1393"/>
      <c r="AH486" s="1393"/>
      <c r="AI486" s="1393"/>
      <c r="AJ486" s="1393"/>
      <c r="AK486" s="139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410" t="s">
        <v>399</v>
      </c>
      <c r="C487" s="1411"/>
      <c r="D487" s="1411"/>
      <c r="E487" s="1411"/>
      <c r="F487" s="1411"/>
      <c r="G487" s="1411"/>
      <c r="H487" s="1411"/>
      <c r="I487" s="1411"/>
      <c r="J487" s="1411"/>
      <c r="K487" s="1411"/>
      <c r="L487" s="1411"/>
      <c r="M487" s="1411"/>
      <c r="N487" s="1411"/>
      <c r="O487" s="1411"/>
      <c r="P487" s="1412"/>
      <c r="Q487" s="1416" t="s">
        <v>679</v>
      </c>
      <c r="R487" s="1417"/>
      <c r="S487" s="1727" t="s">
        <v>167</v>
      </c>
      <c r="T487" s="1728"/>
      <c r="U487" s="1728"/>
      <c r="V487" s="1728"/>
      <c r="W487" s="1728"/>
      <c r="X487" s="1728"/>
      <c r="Y487" s="1728"/>
      <c r="Z487" s="1728"/>
      <c r="AA487" s="1728"/>
      <c r="AB487" s="1728"/>
      <c r="AC487" s="1728"/>
      <c r="AD487" s="1728"/>
      <c r="AE487" s="1728"/>
      <c r="AF487" s="1728"/>
      <c r="AG487" s="1728"/>
      <c r="AH487" s="1728"/>
      <c r="AI487" s="1728"/>
      <c r="AJ487" s="1728"/>
      <c r="AK487" s="172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13"/>
      <c r="C488" s="1414"/>
      <c r="D488" s="1414"/>
      <c r="E488" s="1414"/>
      <c r="F488" s="1414"/>
      <c r="G488" s="1414"/>
      <c r="H488" s="1414"/>
      <c r="I488" s="1414"/>
      <c r="J488" s="1414"/>
      <c r="K488" s="1414"/>
      <c r="L488" s="1414"/>
      <c r="M488" s="1414"/>
      <c r="N488" s="1414"/>
      <c r="O488" s="1414"/>
      <c r="P488" s="1415"/>
      <c r="Q488" s="1418"/>
      <c r="R488" s="1419"/>
      <c r="S488" s="1730"/>
      <c r="T488" s="1456"/>
      <c r="U488" s="1456"/>
      <c r="V488" s="1456"/>
      <c r="W488" s="1456"/>
      <c r="X488" s="1456"/>
      <c r="Y488" s="1456"/>
      <c r="Z488" s="1456"/>
      <c r="AA488" s="1456"/>
      <c r="AB488" s="1456"/>
      <c r="AC488" s="1456"/>
      <c r="AD488" s="1456"/>
      <c r="AE488" s="1456"/>
      <c r="AF488" s="1456"/>
      <c r="AG488" s="1456"/>
      <c r="AH488" s="1456"/>
      <c r="AI488" s="1456"/>
      <c r="AJ488" s="1456"/>
      <c r="AK488" s="173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546" t="s">
        <v>679</v>
      </c>
      <c r="R489" s="1547"/>
      <c r="S489" s="1547"/>
      <c r="T489" s="1547"/>
      <c r="U489" s="1547"/>
      <c r="V489" s="1547"/>
      <c r="W489" s="1547"/>
      <c r="X489" s="1547"/>
      <c r="Y489" s="1547"/>
      <c r="Z489" s="1547"/>
      <c r="AA489" s="1547"/>
      <c r="AB489" s="1547"/>
      <c r="AC489" s="1547"/>
      <c r="AD489" s="1547"/>
      <c r="AE489" s="1547"/>
      <c r="AF489" s="1547"/>
      <c r="AG489" s="1547"/>
      <c r="AH489" s="1547"/>
      <c r="AI489" s="1547"/>
      <c r="AJ489" s="1547"/>
      <c r="AK489" s="154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92" t="s">
        <v>2700</v>
      </c>
      <c r="R490" s="1393"/>
      <c r="S490" s="1393"/>
      <c r="T490" s="1393"/>
      <c r="U490" s="1393"/>
      <c r="V490" s="1393"/>
      <c r="W490" s="1393"/>
      <c r="X490" s="1393"/>
      <c r="Y490" s="1393"/>
      <c r="Z490" s="1393"/>
      <c r="AA490" s="1393"/>
      <c r="AB490" s="1393"/>
      <c r="AC490" s="1393"/>
      <c r="AD490" s="1393"/>
      <c r="AE490" s="1393"/>
      <c r="AF490" s="1393"/>
      <c r="AG490" s="1393"/>
      <c r="AH490" s="1393"/>
      <c r="AI490" s="1393"/>
      <c r="AJ490" s="1393"/>
      <c r="AK490" s="139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92" t="s">
        <v>2701</v>
      </c>
      <c r="R491" s="1393"/>
      <c r="S491" s="1393"/>
      <c r="T491" s="1393"/>
      <c r="U491" s="1393"/>
      <c r="V491" s="1393"/>
      <c r="W491" s="1393"/>
      <c r="X491" s="1393"/>
      <c r="Y491" s="1393"/>
      <c r="Z491" s="1393"/>
      <c r="AA491" s="1393"/>
      <c r="AB491" s="1393"/>
      <c r="AC491" s="1393"/>
      <c r="AD491" s="1393"/>
      <c r="AE491" s="1393"/>
      <c r="AF491" s="1393"/>
      <c r="AG491" s="1393"/>
      <c r="AH491" s="1393"/>
      <c r="AI491" s="1393"/>
      <c r="AJ491" s="1393"/>
      <c r="AK491" s="139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92">
        <v>145</v>
      </c>
      <c r="R492" s="1393"/>
      <c r="S492" s="1393"/>
      <c r="T492" s="1393"/>
      <c r="U492" s="1393"/>
      <c r="V492" s="1393"/>
      <c r="W492" s="1393"/>
      <c r="X492" s="1393"/>
      <c r="Y492" s="1393"/>
      <c r="Z492" s="1393"/>
      <c r="AA492" s="1393"/>
      <c r="AB492" s="1393"/>
      <c r="AC492" s="1393"/>
      <c r="AD492" s="1393"/>
      <c r="AE492" s="1393"/>
      <c r="AF492" s="1393"/>
      <c r="AG492" s="1393"/>
      <c r="AH492" s="1393"/>
      <c r="AI492" s="1393"/>
      <c r="AJ492" s="1393"/>
      <c r="AK492" s="139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7">
        <v>76</v>
      </c>
      <c r="N493" s="1438"/>
      <c r="O493" s="1438"/>
      <c r="P493" s="1439"/>
      <c r="Q493" s="121" t="s">
        <v>1852</v>
      </c>
      <c r="R493" s="5"/>
      <c r="S493" s="5"/>
      <c r="T493" s="5"/>
      <c r="U493" s="5"/>
      <c r="V493" s="5"/>
      <c r="W493" s="5"/>
      <c r="X493" s="5"/>
      <c r="Y493" s="5"/>
      <c r="Z493" s="5"/>
      <c r="AA493" s="5"/>
      <c r="AB493" s="5"/>
      <c r="AC493" s="5"/>
      <c r="AD493" s="5"/>
      <c r="AE493" s="5"/>
      <c r="AF493" s="5"/>
      <c r="AG493" s="5"/>
      <c r="AH493" s="1437">
        <v>69</v>
      </c>
      <c r="AI493" s="1438"/>
      <c r="AJ493" s="1438"/>
      <c r="AK493" s="143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9" t="s">
        <v>403</v>
      </c>
      <c r="AD497" s="1425"/>
      <c r="AE497" s="1425"/>
      <c r="AF497" s="1425"/>
      <c r="AG497" s="1425"/>
      <c r="AH497" s="1425"/>
      <c r="AI497" s="1425"/>
      <c r="AJ497" s="1425"/>
      <c r="AK497" s="142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9" t="s">
        <v>404</v>
      </c>
      <c r="AD498" s="1425"/>
      <c r="AE498" s="1425"/>
      <c r="AF498" s="1425"/>
      <c r="AG498" s="50" t="s">
        <v>405</v>
      </c>
      <c r="AH498" s="1425" t="s">
        <v>406</v>
      </c>
      <c r="AI498" s="1425"/>
      <c r="AJ498" s="1425"/>
      <c r="AK498" s="142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364" t="s">
        <v>407</v>
      </c>
      <c r="C499" s="1365"/>
      <c r="D499" s="1365"/>
      <c r="E499" s="1365"/>
      <c r="F499" s="1365"/>
      <c r="G499" s="1365"/>
      <c r="H499" s="1366"/>
      <c r="I499" s="42" t="s">
        <v>408</v>
      </c>
      <c r="J499" s="42"/>
      <c r="K499" s="42"/>
      <c r="L499" s="42"/>
      <c r="M499" s="42"/>
      <c r="N499" s="42"/>
      <c r="O499" s="42"/>
      <c r="P499" s="42"/>
      <c r="Q499" s="42"/>
      <c r="R499" s="42"/>
      <c r="S499" s="42"/>
      <c r="T499" s="42"/>
      <c r="U499" s="42"/>
      <c r="V499" s="42"/>
      <c r="W499" s="42"/>
      <c r="AC499" s="1370">
        <v>2</v>
      </c>
      <c r="AD499" s="1371"/>
      <c r="AE499" s="1371"/>
      <c r="AF499" s="1371"/>
      <c r="AG499" s="13" t="s">
        <v>405</v>
      </c>
      <c r="AH499" s="1362">
        <v>2022</v>
      </c>
      <c r="AI499" s="1362"/>
      <c r="AJ499" s="1362"/>
      <c r="AK499" s="136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367"/>
      <c r="C500" s="1368"/>
      <c r="D500" s="1368"/>
      <c r="E500" s="1368"/>
      <c r="F500" s="1368"/>
      <c r="G500" s="1368"/>
      <c r="H500" s="1369"/>
      <c r="I500" s="48" t="s">
        <v>409</v>
      </c>
      <c r="J500" s="48"/>
      <c r="K500" s="48"/>
      <c r="L500" s="48"/>
      <c r="M500" s="48"/>
      <c r="N500" s="48"/>
      <c r="O500" s="48"/>
      <c r="P500" s="48"/>
      <c r="Q500" s="48"/>
      <c r="R500" s="48"/>
      <c r="S500" s="48"/>
      <c r="T500" s="48"/>
      <c r="U500" s="48"/>
      <c r="V500" s="48"/>
      <c r="W500" s="48"/>
      <c r="X500" s="48"/>
      <c r="Y500" s="48"/>
      <c r="Z500" s="48"/>
      <c r="AA500" s="48"/>
      <c r="AB500" s="48"/>
      <c r="AC500" s="1370">
        <v>2</v>
      </c>
      <c r="AD500" s="1371"/>
      <c r="AE500" s="1371"/>
      <c r="AF500" s="1371"/>
      <c r="AG500" s="38" t="s">
        <v>405</v>
      </c>
      <c r="AH500" s="1362">
        <v>2022</v>
      </c>
      <c r="AI500" s="1362"/>
      <c r="AJ500" s="1362"/>
      <c r="AK500" s="136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364" t="s">
        <v>410</v>
      </c>
      <c r="C501" s="1365"/>
      <c r="D501" s="1365"/>
      <c r="E501" s="1365"/>
      <c r="F501" s="1365"/>
      <c r="G501" s="1365"/>
      <c r="H501" s="1366"/>
      <c r="I501" s="42" t="s">
        <v>411</v>
      </c>
      <c r="J501" s="42"/>
      <c r="K501" s="42"/>
      <c r="L501" s="42"/>
      <c r="M501" s="42"/>
      <c r="N501" s="42"/>
      <c r="O501" s="42"/>
      <c r="P501" s="42"/>
      <c r="Q501" s="42"/>
      <c r="R501" s="42"/>
      <c r="S501" s="42"/>
      <c r="T501" s="42"/>
      <c r="U501" s="42"/>
      <c r="V501" s="42"/>
      <c r="W501" s="42"/>
      <c r="AC501" s="1370" t="s">
        <v>601</v>
      </c>
      <c r="AD501" s="1371"/>
      <c r="AE501" s="1371"/>
      <c r="AF501" s="1371"/>
      <c r="AG501" s="13" t="s">
        <v>405</v>
      </c>
      <c r="AH501" s="1362"/>
      <c r="AI501" s="1362"/>
      <c r="AJ501" s="1362"/>
      <c r="AK501" s="136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367"/>
      <c r="C502" s="1368"/>
      <c r="D502" s="1368"/>
      <c r="E502" s="1368"/>
      <c r="F502" s="1368"/>
      <c r="G502" s="1368"/>
      <c r="H502" s="1369"/>
      <c r="I502" t="s">
        <v>412</v>
      </c>
      <c r="AC502" s="1370" t="s">
        <v>601</v>
      </c>
      <c r="AD502" s="1371"/>
      <c r="AE502" s="1371"/>
      <c r="AF502" s="1371"/>
      <c r="AG502" s="13" t="s">
        <v>405</v>
      </c>
      <c r="AH502" s="1362"/>
      <c r="AI502" s="1362"/>
      <c r="AJ502" s="1362"/>
      <c r="AK502" s="136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367"/>
      <c r="C503" s="1368"/>
      <c r="D503" s="1368"/>
      <c r="E503" s="1368"/>
      <c r="F503" s="1368"/>
      <c r="G503" s="1368"/>
      <c r="H503" s="1369"/>
      <c r="I503" t="s">
        <v>413</v>
      </c>
      <c r="AC503" s="1370">
        <v>12</v>
      </c>
      <c r="AD503" s="1371"/>
      <c r="AE503" s="1371"/>
      <c r="AF503" s="1371"/>
      <c r="AG503" s="13" t="s">
        <v>405</v>
      </c>
      <c r="AH503" s="1362">
        <v>2021</v>
      </c>
      <c r="AI503" s="1362"/>
      <c r="AJ503" s="1362"/>
      <c r="AK503" s="136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367"/>
      <c r="C504" s="1368"/>
      <c r="D504" s="1368"/>
      <c r="E504" s="1368"/>
      <c r="F504" s="1368"/>
      <c r="G504" s="1368"/>
      <c r="H504" s="1369"/>
      <c r="I504" t="s">
        <v>414</v>
      </c>
      <c r="AC504" s="1370" t="s">
        <v>601</v>
      </c>
      <c r="AD504" s="1371"/>
      <c r="AE504" s="1371"/>
      <c r="AF504" s="1371"/>
      <c r="AG504" s="13" t="s">
        <v>405</v>
      </c>
      <c r="AH504" s="1362"/>
      <c r="AI504" s="1362"/>
      <c r="AJ504" s="1362"/>
      <c r="AK504" s="136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367"/>
      <c r="C505" s="1368"/>
      <c r="D505" s="1368"/>
      <c r="E505" s="1368"/>
      <c r="F505" s="1368"/>
      <c r="G505" s="1368"/>
      <c r="H505" s="1369"/>
      <c r="I505" s="3" t="s">
        <v>415</v>
      </c>
      <c r="AC505" s="1400">
        <v>11</v>
      </c>
      <c r="AD505" s="1401"/>
      <c r="AE505" s="1401"/>
      <c r="AF505" s="1401"/>
      <c r="AG505" s="13" t="s">
        <v>405</v>
      </c>
      <c r="AH505" s="1362">
        <v>2023</v>
      </c>
      <c r="AI505" s="1362"/>
      <c r="AJ505" s="1362"/>
      <c r="AK505" s="136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367"/>
      <c r="C506" s="1368"/>
      <c r="D506" s="1368"/>
      <c r="E506" s="1368"/>
      <c r="F506" s="1368"/>
      <c r="G506" s="1368"/>
      <c r="H506" s="1369"/>
      <c r="I506" s="933" t="s">
        <v>171</v>
      </c>
      <c r="J506" s="48"/>
      <c r="K506" s="48"/>
      <c r="L506" s="1420" t="s">
        <v>336</v>
      </c>
      <c r="M506" s="1421"/>
      <c r="N506" s="1421"/>
      <c r="O506" s="1421"/>
      <c r="P506" s="1421"/>
      <c r="Q506" s="1421"/>
      <c r="R506" s="1421"/>
      <c r="S506" s="1421"/>
      <c r="T506" s="1421"/>
      <c r="U506" s="1421"/>
      <c r="V506" s="1421"/>
      <c r="W506" s="1421"/>
      <c r="X506" s="1421"/>
      <c r="Y506" s="1421"/>
      <c r="Z506" s="1421"/>
      <c r="AA506" s="1421"/>
      <c r="AB506" s="1444"/>
      <c r="AC506" s="1370" t="s">
        <v>601</v>
      </c>
      <c r="AD506" s="1371"/>
      <c r="AE506" s="1371"/>
      <c r="AF506" s="1371"/>
      <c r="AG506" s="38" t="s">
        <v>405</v>
      </c>
      <c r="AH506" s="1362"/>
      <c r="AI506" s="1362"/>
      <c r="AJ506" s="1362"/>
      <c r="AK506" s="136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84" t="s">
        <v>679</v>
      </c>
      <c r="AD507" s="1384"/>
      <c r="AE507" s="1384"/>
      <c r="AF507" s="1384"/>
      <c r="AG507" s="13"/>
      <c r="AH507" s="1299"/>
      <c r="AI507" s="1299"/>
      <c r="AJ507" s="1299"/>
      <c r="AK507" s="139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400"/>
      <c r="AD508" s="1401"/>
      <c r="AE508" s="1401"/>
      <c r="AF508" s="1402"/>
      <c r="AG508" s="13"/>
      <c r="AH508" s="1299"/>
      <c r="AI508" s="1299"/>
      <c r="AJ508" s="1299"/>
      <c r="AK508" s="139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403">
        <v>0.1</v>
      </c>
      <c r="AD510" s="1404"/>
      <c r="AE510" s="1404"/>
      <c r="AF510" s="1405"/>
      <c r="AG510" s="38"/>
      <c r="AH510" s="1406"/>
      <c r="AI510" s="1406"/>
      <c r="AJ510" s="1406"/>
      <c r="AK510" s="140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68" t="s">
        <v>404</v>
      </c>
      <c r="AD511" s="1469"/>
      <c r="AE511" s="1469"/>
      <c r="AF511" s="1469"/>
      <c r="AG511" s="38" t="s">
        <v>405</v>
      </c>
      <c r="AH511" s="1469" t="s">
        <v>406</v>
      </c>
      <c r="AI511" s="1469"/>
      <c r="AJ511" s="1469"/>
      <c r="AK511" s="1470"/>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364" t="s">
        <v>416</v>
      </c>
      <c r="C512" s="1365"/>
      <c r="D512" s="1365"/>
      <c r="E512" s="1365"/>
      <c r="F512" s="1365"/>
      <c r="G512" s="1365"/>
      <c r="H512" s="1366"/>
      <c r="I512" s="42" t="s">
        <v>417</v>
      </c>
      <c r="J512" s="42"/>
      <c r="K512" s="42"/>
      <c r="L512" s="42"/>
      <c r="M512" s="42"/>
      <c r="N512" s="42"/>
      <c r="O512" s="42"/>
      <c r="P512" s="42"/>
      <c r="Q512" s="42"/>
      <c r="R512" s="42"/>
      <c r="S512" s="42"/>
      <c r="T512" s="42"/>
      <c r="U512" s="42"/>
      <c r="V512" s="42"/>
      <c r="W512" s="42"/>
      <c r="AC512" s="1370">
        <v>1</v>
      </c>
      <c r="AD512" s="1371"/>
      <c r="AE512" s="1371"/>
      <c r="AF512" s="1371"/>
      <c r="AG512" s="13" t="s">
        <v>405</v>
      </c>
      <c r="AH512" s="1362">
        <v>2023</v>
      </c>
      <c r="AI512" s="1362"/>
      <c r="AJ512" s="1362"/>
      <c r="AK512" s="1363"/>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367"/>
      <c r="C513" s="1368"/>
      <c r="D513" s="1368"/>
      <c r="E513" s="1368"/>
      <c r="F513" s="1368"/>
      <c r="G513" s="1368"/>
      <c r="H513" s="1369"/>
      <c r="I513" t="s">
        <v>418</v>
      </c>
      <c r="AC513" s="1370">
        <v>1</v>
      </c>
      <c r="AD513" s="1371"/>
      <c r="AE513" s="1371"/>
      <c r="AF513" s="1371"/>
      <c r="AG513" s="13" t="s">
        <v>405</v>
      </c>
      <c r="AH513" s="1362">
        <v>2023</v>
      </c>
      <c r="AI513" s="1362"/>
      <c r="AJ513" s="1362"/>
      <c r="AK513" s="1363"/>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367"/>
      <c r="C514" s="1368"/>
      <c r="D514" s="1368"/>
      <c r="E514" s="1368"/>
      <c r="F514" s="1368"/>
      <c r="G514" s="1368"/>
      <c r="H514" s="1369"/>
      <c r="I514" s="48" t="s">
        <v>419</v>
      </c>
      <c r="J514" s="48"/>
      <c r="K514" s="48"/>
      <c r="L514" s="48"/>
      <c r="M514" s="48"/>
      <c r="N514" s="48"/>
      <c r="O514" s="48"/>
      <c r="P514" s="48"/>
      <c r="Q514" s="48"/>
      <c r="R514" s="48"/>
      <c r="S514" s="48"/>
      <c r="T514" s="48"/>
      <c r="U514" s="48"/>
      <c r="V514" s="48"/>
      <c r="W514" s="48"/>
      <c r="X514" s="48"/>
      <c r="Y514" s="48"/>
      <c r="Z514" s="48"/>
      <c r="AA514" s="48"/>
      <c r="AB514" s="48"/>
      <c r="AC514" s="1370">
        <v>11</v>
      </c>
      <c r="AD514" s="1371"/>
      <c r="AE514" s="1371"/>
      <c r="AF514" s="1371"/>
      <c r="AG514" s="38" t="s">
        <v>405</v>
      </c>
      <c r="AH514" s="1362">
        <v>2023</v>
      </c>
      <c r="AI514" s="1362"/>
      <c r="AJ514" s="1362"/>
      <c r="AK514" s="1363"/>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364" t="s">
        <v>420</v>
      </c>
      <c r="C515" s="1365"/>
      <c r="D515" s="1365"/>
      <c r="E515" s="1365"/>
      <c r="F515" s="1365"/>
      <c r="G515" s="1365"/>
      <c r="H515" s="1366"/>
      <c r="I515" s="42" t="s">
        <v>417</v>
      </c>
      <c r="J515" s="42"/>
      <c r="K515" s="42"/>
      <c r="L515" s="42"/>
      <c r="M515" s="42"/>
      <c r="N515" s="42"/>
      <c r="O515" s="42"/>
      <c r="P515" s="42"/>
      <c r="Q515" s="42"/>
      <c r="R515" s="42"/>
      <c r="S515" s="42"/>
      <c r="T515" s="42"/>
      <c r="U515" s="42"/>
      <c r="V515" s="42"/>
      <c r="W515" s="42"/>
      <c r="X515" s="42"/>
      <c r="Y515" s="42"/>
      <c r="Z515" s="42"/>
      <c r="AA515" s="42"/>
      <c r="AB515" s="42"/>
      <c r="AC515" s="1400">
        <v>1</v>
      </c>
      <c r="AD515" s="1401"/>
      <c r="AE515" s="1401"/>
      <c r="AF515" s="1401"/>
      <c r="AG515" s="129" t="s">
        <v>405</v>
      </c>
      <c r="AH515" s="1362">
        <v>2023</v>
      </c>
      <c r="AI515" s="1362"/>
      <c r="AJ515" s="1362"/>
      <c r="AK515" s="1363"/>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367"/>
      <c r="C516" s="1368"/>
      <c r="D516" s="1368"/>
      <c r="E516" s="1368"/>
      <c r="F516" s="1368"/>
      <c r="G516" s="1368"/>
      <c r="H516" s="1369"/>
      <c r="I516" t="s">
        <v>418</v>
      </c>
      <c r="AC516" s="1370">
        <v>1</v>
      </c>
      <c r="AD516" s="1371"/>
      <c r="AE516" s="1371"/>
      <c r="AF516" s="1371"/>
      <c r="AG516" s="13" t="s">
        <v>405</v>
      </c>
      <c r="AH516" s="1362">
        <v>2023</v>
      </c>
      <c r="AI516" s="1362"/>
      <c r="AJ516" s="1362"/>
      <c r="AK516" s="1363"/>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22"/>
      <c r="C517" s="1423"/>
      <c r="D517" s="1423"/>
      <c r="E517" s="1423"/>
      <c r="F517" s="1423"/>
      <c r="G517" s="1423"/>
      <c r="H517" s="1424"/>
      <c r="I517" s="48" t="s">
        <v>419</v>
      </c>
      <c r="J517" s="48"/>
      <c r="K517" s="48"/>
      <c r="L517" s="48"/>
      <c r="M517" s="48"/>
      <c r="N517" s="48"/>
      <c r="O517" s="48"/>
      <c r="P517" s="48"/>
      <c r="Q517" s="48"/>
      <c r="R517" s="48"/>
      <c r="S517" s="48"/>
      <c r="T517" s="48"/>
      <c r="U517" s="48"/>
      <c r="V517" s="48"/>
      <c r="W517" s="48"/>
      <c r="X517" s="48"/>
      <c r="Y517" s="48"/>
      <c r="Z517" s="48"/>
      <c r="AA517" s="48"/>
      <c r="AB517" s="48"/>
      <c r="AC517" s="1370">
        <v>11</v>
      </c>
      <c r="AD517" s="1371"/>
      <c r="AE517" s="1371"/>
      <c r="AF517" s="1371"/>
      <c r="AG517" s="38" t="s">
        <v>405</v>
      </c>
      <c r="AH517" s="1362">
        <v>2023</v>
      </c>
      <c r="AI517" s="1362"/>
      <c r="AJ517" s="1362"/>
      <c r="AK517" s="1363"/>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364" t="s">
        <v>421</v>
      </c>
      <c r="C518" s="1365"/>
      <c r="D518" s="1365"/>
      <c r="E518" s="1365"/>
      <c r="F518" s="1365"/>
      <c r="G518" s="1365"/>
      <c r="H518" s="1366"/>
      <c r="I518" s="41" t="s">
        <v>422</v>
      </c>
      <c r="J518" s="42"/>
      <c r="K518" s="42"/>
      <c r="L518" s="42"/>
      <c r="M518" s="42"/>
      <c r="N518" s="42"/>
      <c r="O518" s="1420" t="s">
        <v>2702</v>
      </c>
      <c r="P518" s="1421"/>
      <c r="Q518" s="1421"/>
      <c r="R518" s="1421"/>
      <c r="S518" s="1421"/>
      <c r="T518" s="1421"/>
      <c r="U518" s="1421"/>
      <c r="V518" s="1421"/>
      <c r="W518" s="1421"/>
      <c r="X518" s="1421"/>
      <c r="Y518" s="1421"/>
      <c r="Z518" s="1421"/>
      <c r="AA518" s="1421"/>
      <c r="AB518" s="58"/>
      <c r="AC518" s="1400" t="s">
        <v>601</v>
      </c>
      <c r="AD518" s="1401"/>
      <c r="AE518" s="1401"/>
      <c r="AF518" s="1401"/>
      <c r="AG518" s="129" t="s">
        <v>405</v>
      </c>
      <c r="AH518" s="1362"/>
      <c r="AI518" s="1362"/>
      <c r="AJ518" s="1362"/>
      <c r="AK518" s="1363"/>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367"/>
      <c r="C519" s="1368"/>
      <c r="D519" s="1368"/>
      <c r="E519" s="1368"/>
      <c r="F519" s="1368"/>
      <c r="G519" s="1368"/>
      <c r="H519" s="1369"/>
      <c r="I519" s="114" t="s">
        <v>423</v>
      </c>
      <c r="AB519" s="65"/>
      <c r="AC519" s="1370">
        <v>10</v>
      </c>
      <c r="AD519" s="1371"/>
      <c r="AE519" s="1371"/>
      <c r="AF519" s="1371"/>
      <c r="AG519" s="13" t="s">
        <v>405</v>
      </c>
      <c r="AH519" s="1362">
        <v>2021</v>
      </c>
      <c r="AI519" s="1362"/>
      <c r="AJ519" s="1362"/>
      <c r="AK519" s="1363"/>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367"/>
      <c r="C520" s="1368"/>
      <c r="D520" s="1368"/>
      <c r="E520" s="1368"/>
      <c r="F520" s="1368"/>
      <c r="G520" s="1368"/>
      <c r="H520" s="1369"/>
      <c r="I520" s="47" t="s">
        <v>424</v>
      </c>
      <c r="J520" s="48"/>
      <c r="K520" s="48"/>
      <c r="L520" s="48"/>
      <c r="M520" s="48"/>
      <c r="N520" s="48"/>
      <c r="O520" s="48"/>
      <c r="P520" s="48"/>
      <c r="Q520" s="48"/>
      <c r="R520" s="48"/>
      <c r="S520" s="48"/>
      <c r="T520" s="48"/>
      <c r="U520" s="48"/>
      <c r="V520" s="48"/>
      <c r="W520" s="48"/>
      <c r="X520" s="48"/>
      <c r="Y520" s="48"/>
      <c r="Z520" s="48"/>
      <c r="AA520" s="48"/>
      <c r="AB520" s="49"/>
      <c r="AC520" s="1370">
        <v>1</v>
      </c>
      <c r="AD520" s="1371"/>
      <c r="AE520" s="1371"/>
      <c r="AF520" s="1371"/>
      <c r="AG520" s="38" t="s">
        <v>405</v>
      </c>
      <c r="AH520" s="1362">
        <v>2022</v>
      </c>
      <c r="AI520" s="1362"/>
      <c r="AJ520" s="1362"/>
      <c r="AK520" s="1363"/>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367"/>
      <c r="C521" s="1368"/>
      <c r="D521" s="1368"/>
      <c r="E521" s="1368"/>
      <c r="F521" s="1368"/>
      <c r="G521" s="1368"/>
      <c r="H521" s="1369"/>
      <c r="I521" s="42" t="s">
        <v>425</v>
      </c>
      <c r="J521" s="42"/>
      <c r="K521" s="42"/>
      <c r="L521" s="42"/>
      <c r="M521" s="42"/>
      <c r="N521" s="42"/>
      <c r="O521" s="1420" t="s">
        <v>2703</v>
      </c>
      <c r="P521" s="1421"/>
      <c r="Q521" s="1421"/>
      <c r="R521" s="1421"/>
      <c r="S521" s="1421"/>
      <c r="T521" s="1421"/>
      <c r="U521" s="1421"/>
      <c r="V521" s="1421"/>
      <c r="W521" s="1421"/>
      <c r="X521" s="1421"/>
      <c r="Y521" s="1421"/>
      <c r="Z521" s="1421"/>
      <c r="AA521" s="1421"/>
      <c r="AC521" s="1370" t="s">
        <v>601</v>
      </c>
      <c r="AD521" s="1371"/>
      <c r="AE521" s="1371"/>
      <c r="AF521" s="1371"/>
      <c r="AG521" s="13" t="s">
        <v>405</v>
      </c>
      <c r="AH521" s="1362"/>
      <c r="AI521" s="1362"/>
      <c r="AJ521" s="1362"/>
      <c r="AK521" s="1363"/>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367"/>
      <c r="C522" s="1368"/>
      <c r="D522" s="1368"/>
      <c r="E522" s="1368"/>
      <c r="F522" s="1368"/>
      <c r="G522" s="1368"/>
      <c r="H522" s="1369"/>
      <c r="I522" t="s">
        <v>423</v>
      </c>
      <c r="AC522" s="1370">
        <v>10</v>
      </c>
      <c r="AD522" s="1371"/>
      <c r="AE522" s="1371"/>
      <c r="AF522" s="1371"/>
      <c r="AG522" s="13" t="s">
        <v>405</v>
      </c>
      <c r="AH522" s="1362">
        <v>2021</v>
      </c>
      <c r="AI522" s="1362"/>
      <c r="AJ522" s="1362"/>
      <c r="AK522" s="1363"/>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367"/>
      <c r="C523" s="1368"/>
      <c r="D523" s="1368"/>
      <c r="E523" s="1368"/>
      <c r="F523" s="1368"/>
      <c r="G523" s="1368"/>
      <c r="H523" s="1369"/>
      <c r="I523" s="48" t="s">
        <v>424</v>
      </c>
      <c r="J523" s="48"/>
      <c r="K523" s="48"/>
      <c r="L523" s="48"/>
      <c r="M523" s="48"/>
      <c r="N523" s="48"/>
      <c r="O523" s="48"/>
      <c r="P523" s="48"/>
      <c r="Q523" s="48"/>
      <c r="R523" s="48"/>
      <c r="S523" s="48"/>
      <c r="T523" s="48"/>
      <c r="U523" s="48"/>
      <c r="V523" s="48"/>
      <c r="W523" s="48"/>
      <c r="X523" s="48"/>
      <c r="Y523" s="48"/>
      <c r="Z523" s="48"/>
      <c r="AA523" s="48"/>
      <c r="AB523" s="48"/>
      <c r="AC523" s="1370">
        <v>1</v>
      </c>
      <c r="AD523" s="1371"/>
      <c r="AE523" s="1371"/>
      <c r="AF523" s="1371"/>
      <c r="AG523" s="38" t="s">
        <v>405</v>
      </c>
      <c r="AH523" s="1362">
        <v>2022</v>
      </c>
      <c r="AI523" s="1362"/>
      <c r="AJ523" s="1362"/>
      <c r="AK523" s="1363"/>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367"/>
      <c r="C524" s="1368"/>
      <c r="D524" s="1368"/>
      <c r="E524" s="1368"/>
      <c r="F524" s="1368"/>
      <c r="G524" s="1368"/>
      <c r="H524" s="1369"/>
      <c r="I524" s="42" t="s">
        <v>425</v>
      </c>
      <c r="J524" s="42"/>
      <c r="K524" s="42"/>
      <c r="L524" s="42"/>
      <c r="M524" s="42"/>
      <c r="N524" s="42"/>
      <c r="O524" s="1420" t="s">
        <v>336</v>
      </c>
      <c r="P524" s="1421"/>
      <c r="Q524" s="1421"/>
      <c r="R524" s="1421"/>
      <c r="S524" s="1421"/>
      <c r="T524" s="1421"/>
      <c r="U524" s="1421"/>
      <c r="V524" s="1421"/>
      <c r="W524" s="1421"/>
      <c r="X524" s="1421"/>
      <c r="Y524" s="1421"/>
      <c r="Z524" s="1421"/>
      <c r="AA524" s="1421"/>
      <c r="AC524" s="1370" t="s">
        <v>601</v>
      </c>
      <c r="AD524" s="1371"/>
      <c r="AE524" s="1371"/>
      <c r="AF524" s="1371"/>
      <c r="AG524" s="13" t="s">
        <v>405</v>
      </c>
      <c r="AH524" s="1362"/>
      <c r="AI524" s="1362"/>
      <c r="AJ524" s="1362"/>
      <c r="AK524" s="1363"/>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367"/>
      <c r="C525" s="1368"/>
      <c r="D525" s="1368"/>
      <c r="E525" s="1368"/>
      <c r="F525" s="1368"/>
      <c r="G525" s="1368"/>
      <c r="H525" s="1369"/>
      <c r="I525" t="s">
        <v>423</v>
      </c>
      <c r="AC525" s="1370" t="s">
        <v>601</v>
      </c>
      <c r="AD525" s="1371"/>
      <c r="AE525" s="1371"/>
      <c r="AF525" s="1371"/>
      <c r="AG525" s="13" t="s">
        <v>405</v>
      </c>
      <c r="AH525" s="1362"/>
      <c r="AI525" s="1362"/>
      <c r="AJ525" s="1362"/>
      <c r="AK525" s="1363"/>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67"/>
      <c r="C526" s="1368"/>
      <c r="D526" s="1368"/>
      <c r="E526" s="1368"/>
      <c r="F526" s="1368"/>
      <c r="G526" s="1368"/>
      <c r="H526" s="1369"/>
      <c r="I526" s="48" t="s">
        <v>424</v>
      </c>
      <c r="J526" s="48"/>
      <c r="K526" s="48"/>
      <c r="L526" s="48"/>
      <c r="M526" s="48"/>
      <c r="N526" s="48"/>
      <c r="O526" s="48"/>
      <c r="P526" s="48"/>
      <c r="Q526" s="48"/>
      <c r="R526" s="48"/>
      <c r="S526" s="48"/>
      <c r="T526" s="48"/>
      <c r="U526" s="48"/>
      <c r="V526" s="48"/>
      <c r="W526" s="48"/>
      <c r="X526" s="48"/>
      <c r="Y526" s="48"/>
      <c r="Z526" s="48"/>
      <c r="AA526" s="48"/>
      <c r="AB526" s="48"/>
      <c r="AC526" s="1370" t="s">
        <v>601</v>
      </c>
      <c r="AD526" s="1371"/>
      <c r="AE526" s="1371"/>
      <c r="AF526" s="1371"/>
      <c r="AG526" s="38" t="s">
        <v>405</v>
      </c>
      <c r="AH526" s="1362"/>
      <c r="AI526" s="1362"/>
      <c r="AJ526" s="1362"/>
      <c r="AK526" s="1363"/>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67"/>
      <c r="C527" s="1368"/>
      <c r="D527" s="1368"/>
      <c r="E527" s="1368"/>
      <c r="F527" s="1368"/>
      <c r="G527" s="1368"/>
      <c r="H527" s="1369"/>
      <c r="I527" s="42" t="s">
        <v>425</v>
      </c>
      <c r="J527" s="42"/>
      <c r="K527" s="42"/>
      <c r="L527" s="42"/>
      <c r="M527" s="42"/>
      <c r="N527" s="42"/>
      <c r="O527" s="1420" t="s">
        <v>336</v>
      </c>
      <c r="P527" s="1421"/>
      <c r="Q527" s="1421"/>
      <c r="R527" s="1421"/>
      <c r="S527" s="1421"/>
      <c r="T527" s="1421"/>
      <c r="U527" s="1421"/>
      <c r="V527" s="1421"/>
      <c r="W527" s="1421"/>
      <c r="X527" s="1421"/>
      <c r="Y527" s="1421"/>
      <c r="Z527" s="1421"/>
      <c r="AA527" s="1421"/>
      <c r="AC527" s="1370" t="s">
        <v>601</v>
      </c>
      <c r="AD527" s="1371"/>
      <c r="AE527" s="1371"/>
      <c r="AF527" s="1371"/>
      <c r="AG527" s="13" t="s">
        <v>405</v>
      </c>
      <c r="AH527" s="1362"/>
      <c r="AI527" s="1362"/>
      <c r="AJ527" s="1362"/>
      <c r="AK527" s="1363"/>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67"/>
      <c r="C528" s="1368"/>
      <c r="D528" s="1368"/>
      <c r="E528" s="1368"/>
      <c r="F528" s="1368"/>
      <c r="G528" s="1368"/>
      <c r="H528" s="1369"/>
      <c r="I528" t="s">
        <v>423</v>
      </c>
      <c r="AC528" s="1370" t="s">
        <v>601</v>
      </c>
      <c r="AD528" s="1371"/>
      <c r="AE528" s="1371"/>
      <c r="AF528" s="1371"/>
      <c r="AG528" s="13" t="s">
        <v>405</v>
      </c>
      <c r="AH528" s="1362"/>
      <c r="AI528" s="1362"/>
      <c r="AJ528" s="1362"/>
      <c r="AK528" s="1363"/>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67"/>
      <c r="C529" s="1368"/>
      <c r="D529" s="1368"/>
      <c r="E529" s="1368"/>
      <c r="F529" s="1368"/>
      <c r="G529" s="1368"/>
      <c r="H529" s="1369"/>
      <c r="I529" s="48" t="s">
        <v>424</v>
      </c>
      <c r="J529" s="48"/>
      <c r="K529" s="48"/>
      <c r="L529" s="48"/>
      <c r="M529" s="48"/>
      <c r="N529" s="48"/>
      <c r="O529" s="48"/>
      <c r="P529" s="48"/>
      <c r="Q529" s="48"/>
      <c r="R529" s="48"/>
      <c r="S529" s="48"/>
      <c r="T529" s="48"/>
      <c r="U529" s="48"/>
      <c r="V529" s="48"/>
      <c r="W529" s="48"/>
      <c r="X529" s="48"/>
      <c r="Y529" s="48"/>
      <c r="Z529" s="48"/>
      <c r="AA529" s="48"/>
      <c r="AB529" s="48"/>
      <c r="AC529" s="1370" t="s">
        <v>601</v>
      </c>
      <c r="AD529" s="1371"/>
      <c r="AE529" s="1371"/>
      <c r="AF529" s="1371"/>
      <c r="AG529" s="38" t="s">
        <v>405</v>
      </c>
      <c r="AH529" s="1362"/>
      <c r="AI529" s="1362"/>
      <c r="AJ529" s="1362"/>
      <c r="AK529" s="1363"/>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67"/>
      <c r="C530" s="1368"/>
      <c r="D530" s="1368"/>
      <c r="E530" s="1368"/>
      <c r="F530" s="1368"/>
      <c r="G530" s="1368"/>
      <c r="H530" s="1369"/>
      <c r="I530" s="42" t="s">
        <v>425</v>
      </c>
      <c r="J530" s="42"/>
      <c r="K530" s="42"/>
      <c r="L530" s="42"/>
      <c r="M530" s="42"/>
      <c r="N530" s="42"/>
      <c r="O530" s="1420" t="s">
        <v>336</v>
      </c>
      <c r="P530" s="1421"/>
      <c r="Q530" s="1421"/>
      <c r="R530" s="1421"/>
      <c r="S530" s="1421"/>
      <c r="T530" s="1421"/>
      <c r="U530" s="1421"/>
      <c r="V530" s="1421"/>
      <c r="W530" s="1421"/>
      <c r="X530" s="1421"/>
      <c r="Y530" s="1421"/>
      <c r="Z530" s="1421"/>
      <c r="AA530" s="1421"/>
      <c r="AC530" s="1370" t="s">
        <v>601</v>
      </c>
      <c r="AD530" s="1371"/>
      <c r="AE530" s="1371"/>
      <c r="AF530" s="1371"/>
      <c r="AG530" s="13" t="s">
        <v>405</v>
      </c>
      <c r="AH530" s="1362"/>
      <c r="AI530" s="1362"/>
      <c r="AJ530" s="1362"/>
      <c r="AK530" s="1363"/>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67"/>
      <c r="C531" s="1368"/>
      <c r="D531" s="1368"/>
      <c r="E531" s="1368"/>
      <c r="F531" s="1368"/>
      <c r="G531" s="1368"/>
      <c r="H531" s="1369"/>
      <c r="I531" t="s">
        <v>423</v>
      </c>
      <c r="AC531" s="1370" t="s">
        <v>601</v>
      </c>
      <c r="AD531" s="1371"/>
      <c r="AE531" s="1371"/>
      <c r="AF531" s="1371"/>
      <c r="AG531" s="38" t="s">
        <v>405</v>
      </c>
      <c r="AH531" s="1362"/>
      <c r="AI531" s="1362"/>
      <c r="AJ531" s="1362"/>
      <c r="AK531" s="1363"/>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67"/>
      <c r="C532" s="1368"/>
      <c r="D532" s="1368"/>
      <c r="E532" s="1368"/>
      <c r="F532" s="1368"/>
      <c r="G532" s="1368"/>
      <c r="H532" s="1369"/>
      <c r="I532" s="48" t="s">
        <v>424</v>
      </c>
      <c r="J532" s="48"/>
      <c r="K532" s="48"/>
      <c r="L532" s="48"/>
      <c r="M532" s="48"/>
      <c r="N532" s="48"/>
      <c r="O532" s="48"/>
      <c r="P532" s="48"/>
      <c r="Q532" s="48"/>
      <c r="R532" s="48"/>
      <c r="S532" s="48"/>
      <c r="T532" s="48"/>
      <c r="U532" s="48"/>
      <c r="V532" s="48"/>
      <c r="W532" s="48"/>
      <c r="X532" s="48"/>
      <c r="Y532" s="48"/>
      <c r="Z532" s="48"/>
      <c r="AA532" s="48"/>
      <c r="AB532" s="48"/>
      <c r="AC532" s="1370" t="s">
        <v>601</v>
      </c>
      <c r="AD532" s="1371"/>
      <c r="AE532" s="1371"/>
      <c r="AF532" s="1371"/>
      <c r="AG532" s="13" t="s">
        <v>405</v>
      </c>
      <c r="AH532" s="1362"/>
      <c r="AI532" s="1362"/>
      <c r="AJ532" s="1362"/>
      <c r="AK532" s="1363"/>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67"/>
      <c r="C533" s="1368"/>
      <c r="D533" s="1368"/>
      <c r="E533" s="1368"/>
      <c r="F533" s="1368"/>
      <c r="G533" s="1368"/>
      <c r="H533" s="1369"/>
      <c r="I533" s="42" t="s">
        <v>425</v>
      </c>
      <c r="J533" s="42"/>
      <c r="K533" s="42"/>
      <c r="L533" s="42"/>
      <c r="M533" s="42"/>
      <c r="N533" s="42"/>
      <c r="O533" s="1420" t="s">
        <v>336</v>
      </c>
      <c r="P533" s="1421"/>
      <c r="Q533" s="1421"/>
      <c r="R533" s="1421"/>
      <c r="S533" s="1421"/>
      <c r="T533" s="1421"/>
      <c r="U533" s="1421"/>
      <c r="V533" s="1421"/>
      <c r="W533" s="1421"/>
      <c r="X533" s="1421"/>
      <c r="Y533" s="1421"/>
      <c r="Z533" s="1421"/>
      <c r="AA533" s="1421"/>
      <c r="AC533" s="1370" t="s">
        <v>601</v>
      </c>
      <c r="AD533" s="1371"/>
      <c r="AE533" s="1371"/>
      <c r="AF533" s="1371"/>
      <c r="AG533" s="38" t="s">
        <v>405</v>
      </c>
      <c r="AH533" s="1362"/>
      <c r="AI533" s="1362"/>
      <c r="AJ533" s="1362"/>
      <c r="AK533" s="1363"/>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67"/>
      <c r="C534" s="1368"/>
      <c r="D534" s="1368"/>
      <c r="E534" s="1368"/>
      <c r="F534" s="1368"/>
      <c r="G534" s="1368"/>
      <c r="H534" s="1369"/>
      <c r="I534" t="s">
        <v>423</v>
      </c>
      <c r="AC534" s="1370" t="s">
        <v>601</v>
      </c>
      <c r="AD534" s="1371"/>
      <c r="AE534" s="1371"/>
      <c r="AF534" s="1371"/>
      <c r="AG534" s="13" t="s">
        <v>405</v>
      </c>
      <c r="AH534" s="1362"/>
      <c r="AI534" s="1362"/>
      <c r="AJ534" s="1362"/>
      <c r="AK534" s="1363"/>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67"/>
      <c r="C535" s="1368"/>
      <c r="D535" s="1368"/>
      <c r="E535" s="1368"/>
      <c r="F535" s="1368"/>
      <c r="G535" s="1368"/>
      <c r="H535" s="1369"/>
      <c r="I535" s="48" t="s">
        <v>424</v>
      </c>
      <c r="J535" s="48"/>
      <c r="K535" s="48"/>
      <c r="L535" s="48"/>
      <c r="M535" s="48"/>
      <c r="N535" s="48"/>
      <c r="O535" s="48"/>
      <c r="P535" s="48"/>
      <c r="Q535" s="48"/>
      <c r="R535" s="48"/>
      <c r="S535" s="48"/>
      <c r="T535" s="48"/>
      <c r="U535" s="48"/>
      <c r="V535" s="48"/>
      <c r="W535" s="48"/>
      <c r="X535" s="48"/>
      <c r="Y535" s="48"/>
      <c r="Z535" s="48"/>
      <c r="AA535" s="48"/>
      <c r="AB535" s="48"/>
      <c r="AC535" s="1370" t="s">
        <v>601</v>
      </c>
      <c r="AD535" s="1371"/>
      <c r="AE535" s="1371"/>
      <c r="AF535" s="1371"/>
      <c r="AG535" s="38" t="s">
        <v>405</v>
      </c>
      <c r="AH535" s="1362"/>
      <c r="AI535" s="1362"/>
      <c r="AJ535" s="1362"/>
      <c r="AK535" s="1363"/>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67"/>
      <c r="C536" s="1368"/>
      <c r="D536" s="1368"/>
      <c r="E536" s="1368"/>
      <c r="F536" s="1368"/>
      <c r="G536" s="1368"/>
      <c r="H536" s="1369"/>
      <c r="I536" s="42" t="s">
        <v>572</v>
      </c>
      <c r="J536" s="42"/>
      <c r="K536" s="42"/>
      <c r="L536" s="42"/>
      <c r="M536" s="42"/>
      <c r="N536" s="42"/>
      <c r="O536" s="42"/>
      <c r="P536" s="42"/>
      <c r="Q536" s="42"/>
      <c r="R536" s="42"/>
      <c r="S536" s="42"/>
      <c r="T536" s="42"/>
      <c r="U536" s="42"/>
      <c r="V536" s="42"/>
      <c r="W536" s="42"/>
      <c r="AC536" s="1534">
        <v>11</v>
      </c>
      <c r="AD536" s="1371"/>
      <c r="AE536" s="1371"/>
      <c r="AF536" s="1371"/>
      <c r="AG536" s="38" t="s">
        <v>405</v>
      </c>
      <c r="AH536" s="1362">
        <v>2024</v>
      </c>
      <c r="AI536" s="1362"/>
      <c r="AJ536" s="1362"/>
      <c r="AK536" s="1363"/>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67"/>
      <c r="C537" s="1368"/>
      <c r="D537" s="1368"/>
      <c r="E537" s="1368"/>
      <c r="F537" s="1368"/>
      <c r="G537" s="1368"/>
      <c r="H537" s="1369"/>
      <c r="I537" t="s">
        <v>573</v>
      </c>
      <c r="AC537" s="1370">
        <v>11</v>
      </c>
      <c r="AD537" s="1371"/>
      <c r="AE537" s="1371"/>
      <c r="AF537" s="1371"/>
      <c r="AG537" s="13" t="s">
        <v>405</v>
      </c>
      <c r="AH537" s="1362">
        <v>2023</v>
      </c>
      <c r="AI537" s="1362"/>
      <c r="AJ537" s="1362"/>
      <c r="AK537" s="136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67"/>
      <c r="C538" s="1368"/>
      <c r="D538" s="1368"/>
      <c r="E538" s="1368"/>
      <c r="F538" s="1368"/>
      <c r="G538" s="1368"/>
      <c r="H538" s="1369"/>
      <c r="I538" t="s">
        <v>574</v>
      </c>
      <c r="AC538" s="1370">
        <v>6</v>
      </c>
      <c r="AD538" s="1371"/>
      <c r="AE538" s="1371"/>
      <c r="AF538" s="1371"/>
      <c r="AG538" s="38" t="s">
        <v>405</v>
      </c>
      <c r="AH538" s="1362">
        <v>2025</v>
      </c>
      <c r="AI538" s="1362"/>
      <c r="AJ538" s="1362"/>
      <c r="AK538" s="136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67"/>
      <c r="C539" s="1368"/>
      <c r="D539" s="1368"/>
      <c r="E539" s="1368"/>
      <c r="F539" s="1368"/>
      <c r="G539" s="1368"/>
      <c r="H539" s="1369"/>
      <c r="I539" t="s">
        <v>575</v>
      </c>
      <c r="AC539" s="1370">
        <v>6</v>
      </c>
      <c r="AD539" s="1371"/>
      <c r="AE539" s="1371"/>
      <c r="AF539" s="1371"/>
      <c r="AG539" s="38" t="s">
        <v>405</v>
      </c>
      <c r="AH539" s="1362">
        <v>2025</v>
      </c>
      <c r="AI539" s="1362"/>
      <c r="AJ539" s="1362"/>
      <c r="AK539" s="136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2"/>
      <c r="C540" s="1423"/>
      <c r="D540" s="1423"/>
      <c r="E540" s="1423"/>
      <c r="F540" s="1423"/>
      <c r="G540" s="1423"/>
      <c r="H540" s="1424"/>
      <c r="I540" s="48" t="s">
        <v>461</v>
      </c>
      <c r="J540" s="48"/>
      <c r="K540" s="48"/>
      <c r="L540" s="48"/>
      <c r="M540" s="48"/>
      <c r="N540" s="48"/>
      <c r="O540" s="48"/>
      <c r="P540" s="48"/>
      <c r="Q540" s="48"/>
      <c r="R540" s="48"/>
      <c r="S540" s="48"/>
      <c r="T540" s="48"/>
      <c r="U540" s="48"/>
      <c r="V540" s="48"/>
      <c r="W540" s="48"/>
      <c r="X540" s="48"/>
      <c r="Y540" s="48"/>
      <c r="Z540" s="48"/>
      <c r="AA540" s="48"/>
      <c r="AB540" s="48"/>
      <c r="AC540" s="1370">
        <v>7</v>
      </c>
      <c r="AD540" s="1371"/>
      <c r="AE540" s="1371"/>
      <c r="AF540" s="1371"/>
      <c r="AG540" s="38" t="s">
        <v>405</v>
      </c>
      <c r="AH540" s="1362">
        <v>2025</v>
      </c>
      <c r="AI540" s="1362"/>
      <c r="AJ540" s="1362"/>
      <c r="AK540" s="136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2531</v>
      </c>
      <c r="C549" s="1376"/>
      <c r="D549" s="1376"/>
      <c r="E549" s="1376"/>
      <c r="F549" s="1376"/>
      <c r="G549" s="1376"/>
      <c r="H549" s="1376"/>
      <c r="I549" s="1376"/>
      <c r="J549" s="1376"/>
      <c r="K549" s="1376"/>
      <c r="L549" s="1377"/>
      <c r="M549" s="1516" t="s">
        <v>2532</v>
      </c>
      <c r="N549" s="1516"/>
      <c r="O549" s="1516"/>
      <c r="P549" s="1516"/>
      <c r="Q549" s="1375" t="s">
        <v>2558</v>
      </c>
      <c r="R549" s="1376"/>
      <c r="S549" s="1377"/>
      <c r="T549" s="1375" t="s">
        <v>2559</v>
      </c>
      <c r="U549" s="1376"/>
      <c r="V549" s="1377"/>
      <c r="W549" s="1375" t="s">
        <v>463</v>
      </c>
      <c r="X549" s="1376"/>
      <c r="Y549" s="1377"/>
      <c r="Z549" s="1375" t="s">
        <v>2115</v>
      </c>
      <c r="AA549" s="1376"/>
      <c r="AB549" s="1376"/>
      <c r="AC549" s="1376"/>
      <c r="AD549" s="1376"/>
      <c r="AE549" s="1375" t="s">
        <v>1936</v>
      </c>
      <c r="AF549" s="1376"/>
      <c r="AG549" s="1376"/>
      <c r="AH549" s="1377"/>
      <c r="AI549" s="1375" t="s">
        <v>1937</v>
      </c>
      <c r="AJ549" s="1376"/>
      <c r="AK549" s="1376"/>
      <c r="AL549" s="1377"/>
      <c r="AM549" s="1375" t="s">
        <v>464</v>
      </c>
      <c r="AN549" s="1376"/>
      <c r="AO549" s="1376"/>
      <c r="AP549" s="1376"/>
      <c r="AQ549" s="1376"/>
      <c r="AR549" s="1376"/>
      <c r="AS549" s="137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17" t="s">
        <v>2704</v>
      </c>
      <c r="D550" s="1517"/>
      <c r="E550" s="1517"/>
      <c r="F550" s="1517"/>
      <c r="G550" s="1517"/>
      <c r="H550" s="1517"/>
      <c r="I550" s="1517"/>
      <c r="J550" s="1517"/>
      <c r="K550" s="1517"/>
      <c r="L550" s="1517"/>
      <c r="M550" s="1517" t="s">
        <v>2548</v>
      </c>
      <c r="N550" s="1517"/>
      <c r="O550" s="1517"/>
      <c r="P550" s="1517"/>
      <c r="Q550" s="1441">
        <v>24</v>
      </c>
      <c r="R550" s="1441"/>
      <c r="S550" s="1442"/>
      <c r="T550" s="1440"/>
      <c r="U550" s="1441"/>
      <c r="V550" s="1442"/>
      <c r="W550" s="1449">
        <v>6.4299999999999996E-2</v>
      </c>
      <c r="X550" s="1450"/>
      <c r="Y550" s="1451"/>
      <c r="Z550" s="1443" t="s">
        <v>2708</v>
      </c>
      <c r="AA550" s="1443"/>
      <c r="AB550" s="1443"/>
      <c r="AC550" s="1443"/>
      <c r="AD550" s="1443"/>
      <c r="AE550" s="1434">
        <v>1</v>
      </c>
      <c r="AF550" s="1435"/>
      <c r="AG550" s="1435"/>
      <c r="AH550" s="1436"/>
      <c r="AI550" s="1458"/>
      <c r="AJ550" s="1459"/>
      <c r="AK550" s="1459"/>
      <c r="AL550" s="1460"/>
      <c r="AM550" s="1378">
        <v>21295915</v>
      </c>
      <c r="AN550" s="1379"/>
      <c r="AO550" s="1379"/>
      <c r="AP550" s="1379"/>
      <c r="AQ550" s="1379"/>
      <c r="AR550" s="1379"/>
      <c r="AS550" s="138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18" t="s">
        <v>2705</v>
      </c>
      <c r="D551" s="1518"/>
      <c r="E551" s="1518"/>
      <c r="F551" s="1518"/>
      <c r="G551" s="1518"/>
      <c r="H551" s="1518"/>
      <c r="I551" s="1518"/>
      <c r="J551" s="1518"/>
      <c r="K551" s="1518"/>
      <c r="L551" s="1518"/>
      <c r="M551" s="1517" t="s">
        <v>2547</v>
      </c>
      <c r="N551" s="1517"/>
      <c r="O551" s="1517"/>
      <c r="P551" s="1517"/>
      <c r="Q551" s="1440">
        <v>24</v>
      </c>
      <c r="R551" s="1441"/>
      <c r="S551" s="1442"/>
      <c r="T551" s="1440"/>
      <c r="U551" s="1441"/>
      <c r="V551" s="1442"/>
      <c r="W551" s="1449">
        <v>7.7299999999999994E-2</v>
      </c>
      <c r="X551" s="1450"/>
      <c r="Y551" s="1451"/>
      <c r="Z551" s="1443" t="s">
        <v>2708</v>
      </c>
      <c r="AA551" s="1443"/>
      <c r="AB551" s="1443"/>
      <c r="AC551" s="1443"/>
      <c r="AD551" s="1443"/>
      <c r="AE551" s="1434">
        <v>2</v>
      </c>
      <c r="AF551" s="1435"/>
      <c r="AG551" s="1435"/>
      <c r="AH551" s="1436"/>
      <c r="AI551" s="1458"/>
      <c r="AJ551" s="1459"/>
      <c r="AK551" s="1459"/>
      <c r="AL551" s="1460"/>
      <c r="AM551" s="1378">
        <v>205176</v>
      </c>
      <c r="AN551" s="1379"/>
      <c r="AO551" s="1379"/>
      <c r="AP551" s="1379"/>
      <c r="AQ551" s="1379"/>
      <c r="AR551" s="1379"/>
      <c r="AS551" s="138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18" t="s">
        <v>2706</v>
      </c>
      <c r="D552" s="1518"/>
      <c r="E552" s="1518"/>
      <c r="F552" s="1518"/>
      <c r="G552" s="1518"/>
      <c r="H552" s="1518"/>
      <c r="I552" s="1518"/>
      <c r="J552" s="1518"/>
      <c r="K552" s="1518"/>
      <c r="L552" s="1518"/>
      <c r="M552" s="1517" t="s">
        <v>2541</v>
      </c>
      <c r="N552" s="1517"/>
      <c r="O552" s="1517"/>
      <c r="P552" s="1517"/>
      <c r="Q552" s="1440"/>
      <c r="R552" s="1441"/>
      <c r="S552" s="1442"/>
      <c r="T552" s="1440"/>
      <c r="U552" s="1441"/>
      <c r="V552" s="1442"/>
      <c r="W552" s="1449"/>
      <c r="X552" s="1450"/>
      <c r="Y552" s="1451"/>
      <c r="Z552" s="1443" t="s">
        <v>601</v>
      </c>
      <c r="AA552" s="1443"/>
      <c r="AB552" s="1443"/>
      <c r="AC552" s="1443"/>
      <c r="AD552" s="1443"/>
      <c r="AE552" s="1434">
        <v>3</v>
      </c>
      <c r="AF552" s="1435"/>
      <c r="AG552" s="1435"/>
      <c r="AH552" s="1436"/>
      <c r="AI552" s="1458"/>
      <c r="AJ552" s="1459"/>
      <c r="AK552" s="1459"/>
      <c r="AL552" s="1460"/>
      <c r="AM552" s="1378">
        <v>10720918</v>
      </c>
      <c r="AN552" s="1379"/>
      <c r="AO552" s="1379"/>
      <c r="AP552" s="1379"/>
      <c r="AQ552" s="1379"/>
      <c r="AR552" s="1379"/>
      <c r="AS552" s="138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518" t="s">
        <v>2729</v>
      </c>
      <c r="D553" s="1518"/>
      <c r="E553" s="1518"/>
      <c r="F553" s="1518"/>
      <c r="G553" s="1518"/>
      <c r="H553" s="1518"/>
      <c r="I553" s="1518"/>
      <c r="J553" s="1518"/>
      <c r="K553" s="1518"/>
      <c r="L553" s="1518"/>
      <c r="M553" s="1517" t="s">
        <v>2539</v>
      </c>
      <c r="N553" s="1517"/>
      <c r="O553" s="1517"/>
      <c r="P553" s="1517"/>
      <c r="Q553" s="1440"/>
      <c r="R553" s="1441"/>
      <c r="S553" s="1442"/>
      <c r="T553" s="1440"/>
      <c r="U553" s="1441"/>
      <c r="V553" s="1442"/>
      <c r="W553" s="1449" t="s">
        <v>601</v>
      </c>
      <c r="X553" s="1450"/>
      <c r="Y553" s="1451"/>
      <c r="Z553" s="1443" t="s">
        <v>601</v>
      </c>
      <c r="AA553" s="1443"/>
      <c r="AB553" s="1443"/>
      <c r="AC553" s="1443"/>
      <c r="AD553" s="1443"/>
      <c r="AE553" s="1434"/>
      <c r="AF553" s="1435"/>
      <c r="AG553" s="1435"/>
      <c r="AH553" s="1436"/>
      <c r="AI553" s="1458"/>
      <c r="AJ553" s="1459"/>
      <c r="AK553" s="1459"/>
      <c r="AL553" s="1460"/>
      <c r="AM553" s="1378">
        <f>+AO637-AM550-AM551-AM552-AM554</f>
        <v>2739177</v>
      </c>
      <c r="AN553" s="1379"/>
      <c r="AO553" s="1379"/>
      <c r="AP553" s="1379"/>
      <c r="AQ553" s="1379"/>
      <c r="AR553" s="1379"/>
      <c r="AS553" s="138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518" t="s">
        <v>2707</v>
      </c>
      <c r="D554" s="1518"/>
      <c r="E554" s="1518"/>
      <c r="F554" s="1518"/>
      <c r="G554" s="1518"/>
      <c r="H554" s="1518"/>
      <c r="I554" s="1518"/>
      <c r="J554" s="1518"/>
      <c r="K554" s="1518"/>
      <c r="L554" s="1518"/>
      <c r="M554" s="1517" t="s">
        <v>2541</v>
      </c>
      <c r="N554" s="1517"/>
      <c r="O554" s="1517"/>
      <c r="P554" s="1517"/>
      <c r="Q554" s="1440"/>
      <c r="R554" s="1441"/>
      <c r="S554" s="1442"/>
      <c r="T554" s="1440"/>
      <c r="U554" s="1441"/>
      <c r="V554" s="1442"/>
      <c r="W554" s="1449">
        <v>0</v>
      </c>
      <c r="X554" s="1450"/>
      <c r="Y554" s="1451"/>
      <c r="Z554" s="1443" t="s">
        <v>601</v>
      </c>
      <c r="AA554" s="1443"/>
      <c r="AB554" s="1443"/>
      <c r="AC554" s="1443"/>
      <c r="AD554" s="1443"/>
      <c r="AE554" s="1434">
        <v>3</v>
      </c>
      <c r="AF554" s="1435"/>
      <c r="AG554" s="1435"/>
      <c r="AH554" s="1436"/>
      <c r="AI554" s="1458"/>
      <c r="AJ554" s="1459"/>
      <c r="AK554" s="1459"/>
      <c r="AL554" s="1460"/>
      <c r="AM554" s="1378">
        <v>5209091</v>
      </c>
      <c r="AN554" s="1379"/>
      <c r="AO554" s="1379"/>
      <c r="AP554" s="1379"/>
      <c r="AQ554" s="1379"/>
      <c r="AR554" s="1379"/>
      <c r="AS554" s="138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518"/>
      <c r="D555" s="1518"/>
      <c r="E555" s="1518"/>
      <c r="F555" s="1518"/>
      <c r="G555" s="1518"/>
      <c r="H555" s="1518"/>
      <c r="I555" s="1518"/>
      <c r="J555" s="1518"/>
      <c r="K555" s="1518"/>
      <c r="L555" s="1518"/>
      <c r="M555" s="1517" t="s">
        <v>1328</v>
      </c>
      <c r="N555" s="1517"/>
      <c r="O555" s="1517"/>
      <c r="P555" s="1517"/>
      <c r="Q555" s="1440"/>
      <c r="R555" s="1441"/>
      <c r="S555" s="1442"/>
      <c r="T555" s="1440"/>
      <c r="U555" s="1441"/>
      <c r="V555" s="1442"/>
      <c r="W555" s="1449"/>
      <c r="X555" s="1450"/>
      <c r="Y555" s="1451"/>
      <c r="Z555" s="1443" t="s">
        <v>1328</v>
      </c>
      <c r="AA555" s="1443"/>
      <c r="AB555" s="1443"/>
      <c r="AC555" s="1443"/>
      <c r="AD555" s="1443"/>
      <c r="AE555" s="1434"/>
      <c r="AF555" s="1435"/>
      <c r="AG555" s="1435"/>
      <c r="AH555" s="1436"/>
      <c r="AI555" s="1458"/>
      <c r="AJ555" s="1459"/>
      <c r="AK555" s="1459"/>
      <c r="AL555" s="1460"/>
      <c r="AM555" s="1378"/>
      <c r="AN555" s="1379"/>
      <c r="AO555" s="1379"/>
      <c r="AP555" s="1379"/>
      <c r="AQ555" s="1379"/>
      <c r="AR555" s="1379"/>
      <c r="AS555" s="138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518"/>
      <c r="D556" s="1518"/>
      <c r="E556" s="1518"/>
      <c r="F556" s="1518"/>
      <c r="G556" s="1518"/>
      <c r="H556" s="1518"/>
      <c r="I556" s="1518"/>
      <c r="J556" s="1518"/>
      <c r="K556" s="1518"/>
      <c r="L556" s="1518"/>
      <c r="M556" s="1517" t="s">
        <v>1328</v>
      </c>
      <c r="N556" s="1517"/>
      <c r="O556" s="1517"/>
      <c r="P556" s="1517"/>
      <c r="Q556" s="1440"/>
      <c r="R556" s="1441"/>
      <c r="S556" s="1442"/>
      <c r="T556" s="1440"/>
      <c r="U556" s="1441"/>
      <c r="V556" s="1442"/>
      <c r="W556" s="1449"/>
      <c r="X556" s="1450"/>
      <c r="Y556" s="1451"/>
      <c r="Z556" s="1443" t="s">
        <v>1328</v>
      </c>
      <c r="AA556" s="1443"/>
      <c r="AB556" s="1443"/>
      <c r="AC556" s="1443"/>
      <c r="AD556" s="1443"/>
      <c r="AE556" s="1434"/>
      <c r="AF556" s="1435"/>
      <c r="AG556" s="1435"/>
      <c r="AH556" s="1436"/>
      <c r="AI556" s="1458"/>
      <c r="AJ556" s="1459"/>
      <c r="AK556" s="1459"/>
      <c r="AL556" s="1460"/>
      <c r="AM556" s="1378"/>
      <c r="AN556" s="1379"/>
      <c r="AO556" s="1379"/>
      <c r="AP556" s="1379"/>
      <c r="AQ556" s="1379"/>
      <c r="AR556" s="1379"/>
      <c r="AS556" s="138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518"/>
      <c r="D557" s="1518"/>
      <c r="E557" s="1518"/>
      <c r="F557" s="1518"/>
      <c r="G557" s="1518"/>
      <c r="H557" s="1518"/>
      <c r="I557" s="1518"/>
      <c r="J557" s="1518"/>
      <c r="K557" s="1518"/>
      <c r="L557" s="1518"/>
      <c r="M557" s="1517" t="s">
        <v>1328</v>
      </c>
      <c r="N557" s="1517"/>
      <c r="O557" s="1517"/>
      <c r="P557" s="1517"/>
      <c r="Q557" s="1440"/>
      <c r="R557" s="1441"/>
      <c r="S557" s="1442"/>
      <c r="T557" s="1440"/>
      <c r="U557" s="1441"/>
      <c r="V557" s="1442"/>
      <c r="W557" s="1449"/>
      <c r="X557" s="1450"/>
      <c r="Y557" s="1451"/>
      <c r="Z557" s="1443" t="s">
        <v>1328</v>
      </c>
      <c r="AA557" s="1443"/>
      <c r="AB557" s="1443"/>
      <c r="AC557" s="1443"/>
      <c r="AD557" s="1443"/>
      <c r="AE557" s="1434"/>
      <c r="AF557" s="1435"/>
      <c r="AG557" s="1435"/>
      <c r="AH557" s="1436"/>
      <c r="AI557" s="1458"/>
      <c r="AJ557" s="1459"/>
      <c r="AK557" s="1459"/>
      <c r="AL557" s="1460"/>
      <c r="AM557" s="1378"/>
      <c r="AN557" s="1379"/>
      <c r="AO557" s="1379"/>
      <c r="AP557" s="1379"/>
      <c r="AQ557" s="1379"/>
      <c r="AR557" s="1379"/>
      <c r="AS557" s="138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518"/>
      <c r="D558" s="1518"/>
      <c r="E558" s="1518"/>
      <c r="F558" s="1518"/>
      <c r="G558" s="1518"/>
      <c r="H558" s="1518"/>
      <c r="I558" s="1518"/>
      <c r="J558" s="1518"/>
      <c r="K558" s="1518"/>
      <c r="L558" s="1518"/>
      <c r="M558" s="1517" t="s">
        <v>1328</v>
      </c>
      <c r="N558" s="1517"/>
      <c r="O558" s="1517"/>
      <c r="P558" s="1517"/>
      <c r="Q558" s="1440"/>
      <c r="R558" s="1441"/>
      <c r="S558" s="1442"/>
      <c r="T558" s="1440"/>
      <c r="U558" s="1441"/>
      <c r="V558" s="1442"/>
      <c r="W558" s="1449"/>
      <c r="X558" s="1450"/>
      <c r="Y558" s="1451"/>
      <c r="Z558" s="1443" t="s">
        <v>1328</v>
      </c>
      <c r="AA558" s="1443"/>
      <c r="AB558" s="1443"/>
      <c r="AC558" s="1443"/>
      <c r="AD558" s="1443"/>
      <c r="AE558" s="1434"/>
      <c r="AF558" s="1435"/>
      <c r="AG558" s="1435"/>
      <c r="AH558" s="1436"/>
      <c r="AI558" s="1458"/>
      <c r="AJ558" s="1459"/>
      <c r="AK558" s="1459"/>
      <c r="AL558" s="1460"/>
      <c r="AM558" s="1378"/>
      <c r="AN558" s="1379"/>
      <c r="AO558" s="1379"/>
      <c r="AP558" s="1379"/>
      <c r="AQ558" s="1379"/>
      <c r="AR558" s="1379"/>
      <c r="AS558" s="138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518"/>
      <c r="D559" s="1518"/>
      <c r="E559" s="1518"/>
      <c r="F559" s="1518"/>
      <c r="G559" s="1518"/>
      <c r="H559" s="1518"/>
      <c r="I559" s="1518"/>
      <c r="J559" s="1518"/>
      <c r="K559" s="1518"/>
      <c r="L559" s="1518"/>
      <c r="M559" s="1517" t="s">
        <v>1328</v>
      </c>
      <c r="N559" s="1517"/>
      <c r="O559" s="1517"/>
      <c r="P559" s="1517"/>
      <c r="Q559" s="1440"/>
      <c r="R559" s="1441"/>
      <c r="S559" s="1442"/>
      <c r="T559" s="1440"/>
      <c r="U559" s="1441"/>
      <c r="V559" s="1442"/>
      <c r="W559" s="1449"/>
      <c r="X559" s="1450"/>
      <c r="Y559" s="1451"/>
      <c r="Z559" s="1443" t="s">
        <v>1328</v>
      </c>
      <c r="AA559" s="1443"/>
      <c r="AB559" s="1443"/>
      <c r="AC559" s="1443"/>
      <c r="AD559" s="1443"/>
      <c r="AE559" s="1434"/>
      <c r="AF559" s="1435"/>
      <c r="AG559" s="1435"/>
      <c r="AH559" s="1436"/>
      <c r="AI559" s="1458"/>
      <c r="AJ559" s="1459"/>
      <c r="AK559" s="1459"/>
      <c r="AL559" s="1460"/>
      <c r="AM559" s="1378"/>
      <c r="AN559" s="1379"/>
      <c r="AO559" s="1379"/>
      <c r="AP559" s="1379"/>
      <c r="AQ559" s="1379"/>
      <c r="AR559" s="1379"/>
      <c r="AS559" s="138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518"/>
      <c r="D560" s="1518"/>
      <c r="E560" s="1518"/>
      <c r="F560" s="1518"/>
      <c r="G560" s="1518"/>
      <c r="H560" s="1518"/>
      <c r="I560" s="1518"/>
      <c r="J560" s="1518"/>
      <c r="K560" s="1518"/>
      <c r="L560" s="1518"/>
      <c r="M560" s="1517" t="s">
        <v>1328</v>
      </c>
      <c r="N560" s="1517"/>
      <c r="O560" s="1517"/>
      <c r="P560" s="1517"/>
      <c r="Q560" s="1440"/>
      <c r="R560" s="1441"/>
      <c r="S560" s="1442"/>
      <c r="T560" s="1440"/>
      <c r="U560" s="1441"/>
      <c r="V560" s="1442"/>
      <c r="W560" s="1449"/>
      <c r="X560" s="1450"/>
      <c r="Y560" s="1451"/>
      <c r="Z560" s="1443" t="s">
        <v>1328</v>
      </c>
      <c r="AA560" s="1443"/>
      <c r="AB560" s="1443"/>
      <c r="AC560" s="1443"/>
      <c r="AD560" s="1443"/>
      <c r="AE560" s="1434"/>
      <c r="AF560" s="1435"/>
      <c r="AG560" s="1435"/>
      <c r="AH560" s="1436"/>
      <c r="AI560" s="1458"/>
      <c r="AJ560" s="1459"/>
      <c r="AK560" s="1459"/>
      <c r="AL560" s="1460"/>
      <c r="AM560" s="1378"/>
      <c r="AN560" s="1379"/>
      <c r="AO560" s="1379"/>
      <c r="AP560" s="1379"/>
      <c r="AQ560" s="1379"/>
      <c r="AR560" s="1379"/>
      <c r="AS560" s="138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518"/>
      <c r="D561" s="1518"/>
      <c r="E561" s="1518"/>
      <c r="F561" s="1518"/>
      <c r="G561" s="1518"/>
      <c r="H561" s="1518"/>
      <c r="I561" s="1518"/>
      <c r="J561" s="1518"/>
      <c r="K561" s="1518"/>
      <c r="L561" s="1518"/>
      <c r="M561" s="1517" t="s">
        <v>1328</v>
      </c>
      <c r="N561" s="1517"/>
      <c r="O561" s="1517"/>
      <c r="P561" s="1517"/>
      <c r="Q561" s="1440"/>
      <c r="R561" s="1441"/>
      <c r="S561" s="1442"/>
      <c r="T561" s="1440"/>
      <c r="U561" s="1441"/>
      <c r="V561" s="1442"/>
      <c r="W561" s="1449"/>
      <c r="X561" s="1450"/>
      <c r="Y561" s="1451"/>
      <c r="Z561" s="1443" t="s">
        <v>1328</v>
      </c>
      <c r="AA561" s="1443"/>
      <c r="AB561" s="1443"/>
      <c r="AC561" s="1443"/>
      <c r="AD561" s="1443"/>
      <c r="AE561" s="1434"/>
      <c r="AF561" s="1435"/>
      <c r="AG561" s="1435"/>
      <c r="AH561" s="1436"/>
      <c r="AI561" s="1458"/>
      <c r="AJ561" s="1459"/>
      <c r="AK561" s="1459"/>
      <c r="AL561" s="1460"/>
      <c r="AM561" s="1378"/>
      <c r="AN561" s="1379"/>
      <c r="AO561" s="1379"/>
      <c r="AP561" s="1379"/>
      <c r="AQ561" s="1379"/>
      <c r="AR561" s="1379"/>
      <c r="AS561" s="138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2" t="s">
        <v>128</v>
      </c>
      <c r="C562" s="1523"/>
      <c r="D562" s="1523"/>
      <c r="E562" s="1523"/>
      <c r="F562" s="1523"/>
      <c r="G562" s="1523"/>
      <c r="H562" s="1523"/>
      <c r="I562" s="1523"/>
      <c r="J562" s="1523"/>
      <c r="K562" s="1523"/>
      <c r="L562" s="1523"/>
      <c r="M562" s="1523"/>
      <c r="N562" s="1523"/>
      <c r="O562" s="1523"/>
      <c r="P562" s="1523"/>
      <c r="Q562" s="1523"/>
      <c r="R562" s="1523"/>
      <c r="S562" s="1523"/>
      <c r="T562" s="1523"/>
      <c r="U562" s="1524"/>
      <c r="V562" s="1523"/>
      <c r="W562" s="1523"/>
      <c r="X562" s="1523"/>
      <c r="Y562" s="1523"/>
      <c r="Z562" s="1523"/>
      <c r="AA562" s="1523"/>
      <c r="AB562" s="1523"/>
      <c r="AC562" s="1523"/>
      <c r="AD562" s="1523"/>
      <c r="AE562" s="1523"/>
      <c r="AF562" s="1523"/>
      <c r="AG562" s="1523"/>
      <c r="AH562" s="1523"/>
      <c r="AI562" s="1523"/>
      <c r="AJ562" s="1523"/>
      <c r="AK562" s="1523"/>
      <c r="AL562" s="1525"/>
      <c r="AM562" s="1519">
        <f>SUM(AM550:AS561)</f>
        <v>40170277</v>
      </c>
      <c r="AN562" s="1520"/>
      <c r="AO562" s="1520"/>
      <c r="AP562" s="1520"/>
      <c r="AQ562" s="1520"/>
      <c r="AR562" s="1520"/>
      <c r="AS562" s="152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4" t="str">
        <f>C550</f>
        <v>Pacific Western Bank Tax Exempt Bonds</v>
      </c>
      <c r="H564" s="1514"/>
      <c r="I564" s="1514"/>
      <c r="J564" s="1514"/>
      <c r="K564" s="1514"/>
      <c r="L564" s="1514"/>
      <c r="M564" s="1514"/>
      <c r="N564" s="1514"/>
      <c r="O564" s="1514"/>
      <c r="P564" s="1514"/>
      <c r="Q564" s="1514"/>
      <c r="R564" s="1514"/>
      <c r="S564" s="8"/>
      <c r="T564" s="55" t="s">
        <v>114</v>
      </c>
      <c r="U564" t="s">
        <v>473</v>
      </c>
      <c r="Z564" s="1514" t="str">
        <f>C551</f>
        <v>Pacific Western Bank Taxable Bonds</v>
      </c>
      <c r="AA564" s="1514"/>
      <c r="AB564" s="1514"/>
      <c r="AC564" s="1514"/>
      <c r="AD564" s="1514"/>
      <c r="AE564" s="1514"/>
      <c r="AF564" s="1514"/>
      <c r="AG564" s="1514"/>
      <c r="AH564" s="1514"/>
      <c r="AI564" s="1514"/>
      <c r="AJ564" s="1514"/>
      <c r="AK564" s="151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408" t="s">
        <v>2709</v>
      </c>
      <c r="H565" s="1408"/>
      <c r="I565" s="1408"/>
      <c r="J565" s="1408"/>
      <c r="K565" s="1408"/>
      <c r="L565" s="1408"/>
      <c r="M565" s="1408"/>
      <c r="N565" s="1408"/>
      <c r="O565" s="1408"/>
      <c r="P565" s="1408"/>
      <c r="Q565" s="1408"/>
      <c r="R565" s="1408"/>
      <c r="S565" s="8"/>
      <c r="T565" s="22"/>
      <c r="U565" t="s">
        <v>86</v>
      </c>
      <c r="Z565" s="1408" t="s">
        <v>2709</v>
      </c>
      <c r="AA565" s="1408"/>
      <c r="AB565" s="1408"/>
      <c r="AC565" s="1408"/>
      <c r="AD565" s="1408"/>
      <c r="AE565" s="1408"/>
      <c r="AF565" s="1408"/>
      <c r="AG565" s="1408"/>
      <c r="AH565" s="1408"/>
      <c r="AI565" s="1408"/>
      <c r="AJ565" s="1408"/>
      <c r="AK565" s="1408"/>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408" t="s">
        <v>2710</v>
      </c>
      <c r="H566" s="1408"/>
      <c r="I566" s="1408"/>
      <c r="J566" s="1408"/>
      <c r="K566" s="1408"/>
      <c r="L566" s="1408"/>
      <c r="M566" s="1408"/>
      <c r="N566" s="1408"/>
      <c r="O566" s="1408"/>
      <c r="P566" s="1408"/>
      <c r="Q566" s="1408"/>
      <c r="R566" s="1408"/>
      <c r="T566" s="22"/>
      <c r="U566" t="s">
        <v>590</v>
      </c>
      <c r="Z566" s="1393" t="s">
        <v>2710</v>
      </c>
      <c r="AA566" s="1393"/>
      <c r="AB566" s="1393"/>
      <c r="AC566" s="1393"/>
      <c r="AD566" s="1393"/>
      <c r="AE566" s="1393"/>
      <c r="AF566" s="1393"/>
      <c r="AG566" s="1393"/>
      <c r="AH566" s="1393"/>
      <c r="AI566" s="1393"/>
      <c r="AJ566" s="1393"/>
      <c r="AK566" s="1393"/>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408" t="s">
        <v>2711</v>
      </c>
      <c r="H567" s="1408"/>
      <c r="I567" s="1408"/>
      <c r="J567" s="1408"/>
      <c r="K567" s="1408"/>
      <c r="L567" s="1408"/>
      <c r="M567" s="1408"/>
      <c r="N567" s="1408"/>
      <c r="O567" s="1408"/>
      <c r="P567" s="1408"/>
      <c r="Q567" s="1408"/>
      <c r="R567" s="1408"/>
      <c r="S567" s="8"/>
      <c r="T567" s="22"/>
      <c r="U567" t="s">
        <v>17</v>
      </c>
      <c r="Z567" s="1393" t="s">
        <v>2711</v>
      </c>
      <c r="AA567" s="1393"/>
      <c r="AB567" s="1393"/>
      <c r="AC567" s="1393"/>
      <c r="AD567" s="1393"/>
      <c r="AE567" s="1393"/>
      <c r="AF567" s="1393"/>
      <c r="AG567" s="1393"/>
      <c r="AH567" s="1393"/>
      <c r="AI567" s="1393"/>
      <c r="AJ567" s="1393"/>
      <c r="AK567" s="139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47" t="s">
        <v>2712</v>
      </c>
      <c r="H568" s="1447"/>
      <c r="I568" s="1447"/>
      <c r="J568" s="1447"/>
      <c r="K568" s="1447"/>
      <c r="L568" s="1447"/>
      <c r="O568" s="33" t="s">
        <v>208</v>
      </c>
      <c r="P568" s="1433"/>
      <c r="Q568" s="1433"/>
      <c r="R568" s="1433"/>
      <c r="S568" s="10"/>
      <c r="T568" s="22"/>
      <c r="U568" t="s">
        <v>318</v>
      </c>
      <c r="Z568" s="1447" t="s">
        <v>2712</v>
      </c>
      <c r="AA568" s="1447"/>
      <c r="AB568" s="1447"/>
      <c r="AC568" s="1447"/>
      <c r="AD568" s="1447"/>
      <c r="AE568" s="1447"/>
      <c r="AH568" s="33" t="s">
        <v>208</v>
      </c>
      <c r="AI568" s="1433"/>
      <c r="AJ568" s="1433"/>
      <c r="AK568" s="143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08" t="s">
        <v>2713</v>
      </c>
      <c r="I569" s="1408"/>
      <c r="J569" s="1408"/>
      <c r="K569" s="1408"/>
      <c r="L569" s="1408"/>
      <c r="M569" s="1408"/>
      <c r="N569" s="1408"/>
      <c r="O569" s="1408"/>
      <c r="P569" s="1408"/>
      <c r="Q569" s="1408"/>
      <c r="R569" s="1408"/>
      <c r="S569" s="8"/>
      <c r="T569" s="22"/>
      <c r="U569" t="s">
        <v>18</v>
      </c>
      <c r="AA569" s="1408" t="s">
        <v>2713</v>
      </c>
      <c r="AB569" s="1408"/>
      <c r="AC569" s="1408"/>
      <c r="AD569" s="1408"/>
      <c r="AE569" s="1408"/>
      <c r="AF569" s="1408"/>
      <c r="AG569" s="1408"/>
      <c r="AH569" s="1408"/>
      <c r="AI569" s="1408"/>
      <c r="AJ569" s="1408"/>
      <c r="AK569" s="140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33"/>
      <c r="N570" s="1533"/>
      <c r="O570" s="1533"/>
      <c r="P570" s="1533"/>
      <c r="Q570" s="1533"/>
      <c r="R570" s="1533"/>
      <c r="S570" s="8"/>
      <c r="T570" s="22"/>
      <c r="U570" s="349" t="s">
        <v>1329</v>
      </c>
      <c r="AA570" s="8"/>
      <c r="AB570" s="8"/>
      <c r="AC570" s="8"/>
      <c r="AD570" s="8"/>
      <c r="AE570" s="8"/>
      <c r="AF570" s="1533"/>
      <c r="AG570" s="1533"/>
      <c r="AH570" s="1533"/>
      <c r="AI570" s="1533"/>
      <c r="AJ570" s="1533"/>
      <c r="AK570" s="15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97" t="s">
        <v>555</v>
      </c>
      <c r="O571" s="1397"/>
      <c r="T571" s="22"/>
      <c r="U571" t="s">
        <v>20</v>
      </c>
      <c r="AG571" s="1397" t="s">
        <v>555</v>
      </c>
      <c r="AH571" s="139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4" t="str">
        <f>C552</f>
        <v>City of Chico - CDBG-DR Funds</v>
      </c>
      <c r="H573" s="1514"/>
      <c r="I573" s="1514"/>
      <c r="J573" s="1514"/>
      <c r="K573" s="1514"/>
      <c r="L573" s="1514"/>
      <c r="M573" s="1514"/>
      <c r="N573" s="1514"/>
      <c r="O573" s="1514"/>
      <c r="P573" s="1514"/>
      <c r="Q573" s="1514"/>
      <c r="R573" s="1514"/>
      <c r="T573" s="55" t="s">
        <v>591</v>
      </c>
      <c r="U573" t="s">
        <v>473</v>
      </c>
      <c r="Z573" s="1514" t="str">
        <f>C553</f>
        <v>Boston Financial Tax Credit Equity</v>
      </c>
      <c r="AA573" s="1514"/>
      <c r="AB573" s="1514"/>
      <c r="AC573" s="1514"/>
      <c r="AD573" s="1514"/>
      <c r="AE573" s="1514"/>
      <c r="AF573" s="1514"/>
      <c r="AG573" s="1514"/>
      <c r="AH573" s="1514"/>
      <c r="AI573" s="1514"/>
      <c r="AJ573" s="1514"/>
      <c r="AK573" s="151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408" t="s">
        <v>2714</v>
      </c>
      <c r="H574" s="1408"/>
      <c r="I574" s="1408"/>
      <c r="J574" s="1408"/>
      <c r="K574" s="1408"/>
      <c r="L574" s="1408"/>
      <c r="M574" s="1408"/>
      <c r="N574" s="1408"/>
      <c r="O574" s="1408"/>
      <c r="P574" s="1408"/>
      <c r="Q574" s="1408"/>
      <c r="R574" s="1408"/>
      <c r="T574" s="22"/>
      <c r="U574" t="s">
        <v>86</v>
      </c>
      <c r="Z574" s="1408" t="s">
        <v>2730</v>
      </c>
      <c r="AA574" s="1408"/>
      <c r="AB574" s="1408"/>
      <c r="AC574" s="1408"/>
      <c r="AD574" s="1408"/>
      <c r="AE574" s="1408"/>
      <c r="AF574" s="1408"/>
      <c r="AG574" s="1408"/>
      <c r="AH574" s="1408"/>
      <c r="AI574" s="1408"/>
      <c r="AJ574" s="1408"/>
      <c r="AK574" s="140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93" t="s">
        <v>2715</v>
      </c>
      <c r="H575" s="1393"/>
      <c r="I575" s="1393"/>
      <c r="J575" s="1393"/>
      <c r="K575" s="1393"/>
      <c r="L575" s="1393"/>
      <c r="M575" s="1393"/>
      <c r="N575" s="1393"/>
      <c r="O575" s="1393"/>
      <c r="P575" s="1393"/>
      <c r="Q575" s="1393"/>
      <c r="R575" s="1393"/>
      <c r="T575" s="22"/>
      <c r="U575" t="s">
        <v>590</v>
      </c>
      <c r="Z575" s="1393" t="s">
        <v>2731</v>
      </c>
      <c r="AA575" s="1393"/>
      <c r="AB575" s="1393"/>
      <c r="AC575" s="1393"/>
      <c r="AD575" s="1393"/>
      <c r="AE575" s="1393"/>
      <c r="AF575" s="1393"/>
      <c r="AG575" s="1393"/>
      <c r="AH575" s="1393"/>
      <c r="AI575" s="1393"/>
      <c r="AJ575" s="1393"/>
      <c r="AK575" s="139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93" t="s">
        <v>2716</v>
      </c>
      <c r="H576" s="1393"/>
      <c r="I576" s="1393"/>
      <c r="J576" s="1393"/>
      <c r="K576" s="1393"/>
      <c r="L576" s="1393"/>
      <c r="M576" s="1393"/>
      <c r="N576" s="1393"/>
      <c r="O576" s="1393"/>
      <c r="P576" s="1393"/>
      <c r="Q576" s="1393"/>
      <c r="R576" s="1393"/>
      <c r="T576" s="22"/>
      <c r="U576" t="s">
        <v>17</v>
      </c>
      <c r="Z576" s="1393" t="s">
        <v>2732</v>
      </c>
      <c r="AA576" s="1393"/>
      <c r="AB576" s="1393"/>
      <c r="AC576" s="1393"/>
      <c r="AD576" s="1393"/>
      <c r="AE576" s="1393"/>
      <c r="AF576" s="1393"/>
      <c r="AG576" s="1393"/>
      <c r="AH576" s="1393"/>
      <c r="AI576" s="1393"/>
      <c r="AJ576" s="1393"/>
      <c r="AK576" s="139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47">
        <v>5305523336</v>
      </c>
      <c r="H577" s="1447"/>
      <c r="I577" s="1447"/>
      <c r="J577" s="1447"/>
      <c r="K577" s="1447"/>
      <c r="L577" s="1447"/>
      <c r="O577" s="33" t="s">
        <v>208</v>
      </c>
      <c r="P577" s="1433"/>
      <c r="Q577" s="1433"/>
      <c r="R577" s="1433"/>
      <c r="T577" s="22"/>
      <c r="U577" t="s">
        <v>318</v>
      </c>
      <c r="Z577" s="1447">
        <v>3108604550</v>
      </c>
      <c r="AA577" s="1447"/>
      <c r="AB577" s="1447"/>
      <c r="AC577" s="1447"/>
      <c r="AD577" s="1447"/>
      <c r="AE577" s="1447"/>
      <c r="AH577" s="33" t="s">
        <v>208</v>
      </c>
      <c r="AI577" s="1433"/>
      <c r="AJ577" s="1433"/>
      <c r="AK577" s="143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515" t="s">
        <v>2541</v>
      </c>
      <c r="I578" s="1408"/>
      <c r="J578" s="1408"/>
      <c r="K578" s="1408"/>
      <c r="L578" s="1408"/>
      <c r="M578" s="1408"/>
      <c r="N578" s="1408"/>
      <c r="O578" s="1408"/>
      <c r="P578" s="1408"/>
      <c r="Q578" s="1408"/>
      <c r="R578" s="1408"/>
      <c r="T578" s="22"/>
      <c r="U578" t="s">
        <v>18</v>
      </c>
      <c r="AA578" s="1408" t="s">
        <v>2717</v>
      </c>
      <c r="AB578" s="1408"/>
      <c r="AC578" s="1408"/>
      <c r="AD578" s="1408"/>
      <c r="AE578" s="1408"/>
      <c r="AF578" s="1408"/>
      <c r="AG578" s="1408"/>
      <c r="AH578" s="1408"/>
      <c r="AI578" s="1408"/>
      <c r="AJ578" s="1408"/>
      <c r="AK578" s="140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97" t="s">
        <v>555</v>
      </c>
      <c r="O579" s="1397"/>
      <c r="T579" s="22"/>
      <c r="U579" t="s">
        <v>20</v>
      </c>
      <c r="AG579" s="1397" t="s">
        <v>555</v>
      </c>
      <c r="AH579" s="139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4" t="str">
        <f>C554</f>
        <v>Butte County - CDBG-DR Funds</v>
      </c>
      <c r="H581" s="1514"/>
      <c r="I581" s="1514"/>
      <c r="J581" s="1514"/>
      <c r="K581" s="1514"/>
      <c r="L581" s="1514"/>
      <c r="M581" s="1514"/>
      <c r="N581" s="1514"/>
      <c r="O581" s="1514"/>
      <c r="P581" s="1514"/>
      <c r="Q581" s="1514"/>
      <c r="R581" s="1514"/>
      <c r="T581" s="55" t="s">
        <v>594</v>
      </c>
      <c r="U581" t="s">
        <v>473</v>
      </c>
      <c r="Z581" s="1514">
        <f>C555</f>
        <v>0</v>
      </c>
      <c r="AA581" s="1514"/>
      <c r="AB581" s="1514"/>
      <c r="AC581" s="1514"/>
      <c r="AD581" s="1514"/>
      <c r="AE581" s="1514"/>
      <c r="AF581" s="1514"/>
      <c r="AG581" s="1514"/>
      <c r="AH581" s="1514"/>
      <c r="AI581" s="1514"/>
      <c r="AJ581" s="1514"/>
      <c r="AK581" s="151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408" t="s">
        <v>2714</v>
      </c>
      <c r="H582" s="1408"/>
      <c r="I582" s="1408"/>
      <c r="J582" s="1408"/>
      <c r="K582" s="1408"/>
      <c r="L582" s="1408"/>
      <c r="M582" s="1408"/>
      <c r="N582" s="1408"/>
      <c r="O582" s="1408"/>
      <c r="P582" s="1408"/>
      <c r="Q582" s="1408"/>
      <c r="R582" s="1408"/>
      <c r="T582" s="22"/>
      <c r="U582" t="s">
        <v>86</v>
      </c>
      <c r="Z582" s="1408"/>
      <c r="AA582" s="1408"/>
      <c r="AB582" s="1408"/>
      <c r="AC582" s="1408"/>
      <c r="AD582" s="1408"/>
      <c r="AE582" s="1408"/>
      <c r="AF582" s="1408"/>
      <c r="AG582" s="1408"/>
      <c r="AH582" s="1408"/>
      <c r="AI582" s="1408"/>
      <c r="AJ582" s="1408"/>
      <c r="AK582" s="140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408" t="s">
        <v>2715</v>
      </c>
      <c r="H583" s="1408"/>
      <c r="I583" s="1408"/>
      <c r="J583" s="1408"/>
      <c r="K583" s="1408"/>
      <c r="L583" s="1408"/>
      <c r="M583" s="1408"/>
      <c r="N583" s="1408"/>
      <c r="O583" s="1408"/>
      <c r="P583" s="1408"/>
      <c r="Q583" s="1408"/>
      <c r="R583" s="1408"/>
      <c r="T583" s="22"/>
      <c r="U583" t="s">
        <v>590</v>
      </c>
      <c r="Z583" s="1393"/>
      <c r="AA583" s="1393"/>
      <c r="AB583" s="1393"/>
      <c r="AC583" s="1393"/>
      <c r="AD583" s="1393"/>
      <c r="AE583" s="1393"/>
      <c r="AF583" s="1393"/>
      <c r="AG583" s="1393"/>
      <c r="AH583" s="1393"/>
      <c r="AI583" s="1393"/>
      <c r="AJ583" s="1393"/>
      <c r="AK583" s="139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408" t="s">
        <v>2716</v>
      </c>
      <c r="H584" s="1408"/>
      <c r="I584" s="1408"/>
      <c r="J584" s="1408"/>
      <c r="K584" s="1408"/>
      <c r="L584" s="1408"/>
      <c r="M584" s="1408"/>
      <c r="N584" s="1408"/>
      <c r="O584" s="1408"/>
      <c r="P584" s="1408"/>
      <c r="Q584" s="1408"/>
      <c r="R584" s="1408"/>
      <c r="T584" s="22"/>
      <c r="U584" t="s">
        <v>17</v>
      </c>
      <c r="Z584" s="1393"/>
      <c r="AA584" s="1393"/>
      <c r="AB584" s="1393"/>
      <c r="AC584" s="1393"/>
      <c r="AD584" s="1393"/>
      <c r="AE584" s="1393"/>
      <c r="AF584" s="1393"/>
      <c r="AG584" s="1393"/>
      <c r="AH584" s="1393"/>
      <c r="AI584" s="1393"/>
      <c r="AJ584" s="1393"/>
      <c r="AK584" s="139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47">
        <v>5305523336</v>
      </c>
      <c r="H585" s="1447"/>
      <c r="I585" s="1447"/>
      <c r="J585" s="1447"/>
      <c r="K585" s="1447"/>
      <c r="L585" s="1447"/>
      <c r="O585" s="33" t="s">
        <v>208</v>
      </c>
      <c r="P585" s="1433"/>
      <c r="Q585" s="1433"/>
      <c r="R585" s="1433"/>
      <c r="T585" s="22"/>
      <c r="U585" t="s">
        <v>318</v>
      </c>
      <c r="Z585" s="1447"/>
      <c r="AA585" s="1447"/>
      <c r="AB585" s="1447"/>
      <c r="AC585" s="1447"/>
      <c r="AD585" s="1447"/>
      <c r="AE585" s="1447"/>
      <c r="AH585" s="33" t="s">
        <v>208</v>
      </c>
      <c r="AI585" s="1433"/>
      <c r="AJ585" s="1433"/>
      <c r="AK585" s="143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515" t="s">
        <v>2541</v>
      </c>
      <c r="I586" s="1408"/>
      <c r="J586" s="1408"/>
      <c r="K586" s="1408"/>
      <c r="L586" s="1408"/>
      <c r="M586" s="1408"/>
      <c r="N586" s="1408"/>
      <c r="O586" s="1408"/>
      <c r="P586" s="1408"/>
      <c r="Q586" s="1408"/>
      <c r="R586" s="1408"/>
      <c r="T586" s="22"/>
      <c r="U586" t="s">
        <v>18</v>
      </c>
      <c r="AA586" s="1408"/>
      <c r="AB586" s="1408"/>
      <c r="AC586" s="1408"/>
      <c r="AD586" s="1408"/>
      <c r="AE586" s="1408"/>
      <c r="AF586" s="1408"/>
      <c r="AG586" s="1408"/>
      <c r="AH586" s="1408"/>
      <c r="AI586" s="1408"/>
      <c r="AJ586" s="1408"/>
      <c r="AK586" s="140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97" t="s">
        <v>555</v>
      </c>
      <c r="O587" s="1397"/>
      <c r="T587" s="22"/>
      <c r="U587" t="s">
        <v>20</v>
      </c>
      <c r="AG587" s="1397" t="s">
        <v>679</v>
      </c>
      <c r="AH587" s="1397"/>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4">
        <f>C556</f>
        <v>0</v>
      </c>
      <c r="H589" s="1514"/>
      <c r="I589" s="1514"/>
      <c r="J589" s="1514"/>
      <c r="K589" s="1514"/>
      <c r="L589" s="1514"/>
      <c r="M589" s="1514"/>
      <c r="N589" s="1514"/>
      <c r="O589" s="1514"/>
      <c r="P589" s="1514"/>
      <c r="Q589" s="1514"/>
      <c r="R589" s="1514"/>
      <c r="T589" s="55" t="s">
        <v>466</v>
      </c>
      <c r="U589" t="s">
        <v>473</v>
      </c>
      <c r="Z589" s="1514">
        <f>C557</f>
        <v>0</v>
      </c>
      <c r="AA589" s="1514"/>
      <c r="AB589" s="1514"/>
      <c r="AC589" s="1514"/>
      <c r="AD589" s="1514"/>
      <c r="AE589" s="1514"/>
      <c r="AF589" s="1514"/>
      <c r="AG589" s="1514"/>
      <c r="AH589" s="1514"/>
      <c r="AI589" s="1514"/>
      <c r="AJ589" s="1514"/>
      <c r="AK589" s="151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408"/>
      <c r="H590" s="1408"/>
      <c r="I590" s="1408"/>
      <c r="J590" s="1408"/>
      <c r="K590" s="1408"/>
      <c r="L590" s="1408"/>
      <c r="M590" s="1408"/>
      <c r="N590" s="1408"/>
      <c r="O590" s="1408"/>
      <c r="P590" s="1408"/>
      <c r="Q590" s="1408"/>
      <c r="R590" s="1408"/>
      <c r="T590" s="22"/>
      <c r="U590" t="s">
        <v>86</v>
      </c>
      <c r="Z590" s="1408"/>
      <c r="AA590" s="1408"/>
      <c r="AB590" s="1408"/>
      <c r="AC590" s="1408"/>
      <c r="AD590" s="1408"/>
      <c r="AE590" s="1408"/>
      <c r="AF590" s="1408"/>
      <c r="AG590" s="1408"/>
      <c r="AH590" s="1408"/>
      <c r="AI590" s="1408"/>
      <c r="AJ590" s="1408"/>
      <c r="AK590" s="140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408"/>
      <c r="H591" s="1408"/>
      <c r="I591" s="1408"/>
      <c r="J591" s="1408"/>
      <c r="K591" s="1408"/>
      <c r="L591" s="1408"/>
      <c r="M591" s="1408"/>
      <c r="N591" s="1408"/>
      <c r="O591" s="1408"/>
      <c r="P591" s="1408"/>
      <c r="Q591" s="1408"/>
      <c r="R591" s="1408"/>
      <c r="T591" s="22"/>
      <c r="U591" t="s">
        <v>590</v>
      </c>
      <c r="Z591" s="1393"/>
      <c r="AA591" s="1393"/>
      <c r="AB591" s="1393"/>
      <c r="AC591" s="1393"/>
      <c r="AD591" s="1393"/>
      <c r="AE591" s="1393"/>
      <c r="AF591" s="1393"/>
      <c r="AG591" s="1393"/>
      <c r="AH591" s="1393"/>
      <c r="AI591" s="1393"/>
      <c r="AJ591" s="1393"/>
      <c r="AK591" s="139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408"/>
      <c r="H592" s="1408"/>
      <c r="I592" s="1408"/>
      <c r="J592" s="1408"/>
      <c r="K592" s="1408"/>
      <c r="L592" s="1408"/>
      <c r="M592" s="1408"/>
      <c r="N592" s="1408"/>
      <c r="O592" s="1408"/>
      <c r="P592" s="1408"/>
      <c r="Q592" s="1408"/>
      <c r="R592" s="1408"/>
      <c r="T592" s="22"/>
      <c r="U592" t="s">
        <v>17</v>
      </c>
      <c r="Z592" s="1393"/>
      <c r="AA592" s="1393"/>
      <c r="AB592" s="1393"/>
      <c r="AC592" s="1393"/>
      <c r="AD592" s="1393"/>
      <c r="AE592" s="1393"/>
      <c r="AF592" s="1393"/>
      <c r="AG592" s="1393"/>
      <c r="AH592" s="1393"/>
      <c r="AI592" s="1393"/>
      <c r="AJ592" s="1393"/>
      <c r="AK592" s="139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47"/>
      <c r="H593" s="1447"/>
      <c r="I593" s="1447"/>
      <c r="J593" s="1447"/>
      <c r="K593" s="1447"/>
      <c r="L593" s="1447"/>
      <c r="M593"/>
      <c r="N593"/>
      <c r="O593" s="33" t="s">
        <v>208</v>
      </c>
      <c r="P593" s="1433"/>
      <c r="Q593" s="1433"/>
      <c r="R593" s="1433"/>
      <c r="S593"/>
      <c r="T593" s="22"/>
      <c r="U593" t="s">
        <v>318</v>
      </c>
      <c r="V593"/>
      <c r="W593"/>
      <c r="X593"/>
      <c r="Y593"/>
      <c r="Z593" s="1447"/>
      <c r="AA593" s="1447"/>
      <c r="AB593" s="1447"/>
      <c r="AC593" s="1447"/>
      <c r="AD593" s="1447"/>
      <c r="AE593" s="1447"/>
      <c r="AF593"/>
      <c r="AG593"/>
      <c r="AH593" s="33" t="s">
        <v>208</v>
      </c>
      <c r="AI593" s="1433"/>
      <c r="AJ593" s="1433"/>
      <c r="AK593" s="143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408"/>
      <c r="I594" s="1408"/>
      <c r="J594" s="1408"/>
      <c r="K594" s="1408"/>
      <c r="L594" s="1408"/>
      <c r="M594" s="1408"/>
      <c r="N594" s="1408"/>
      <c r="O594" s="1408"/>
      <c r="P594" s="1408"/>
      <c r="Q594" s="1408"/>
      <c r="R594" s="1408"/>
      <c r="S594"/>
      <c r="T594" s="22"/>
      <c r="U594" t="s">
        <v>18</v>
      </c>
      <c r="V594"/>
      <c r="W594"/>
      <c r="X594"/>
      <c r="Y594"/>
      <c r="Z594"/>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97" t="s">
        <v>679</v>
      </c>
      <c r="O595" s="1397"/>
      <c r="P595"/>
      <c r="Q595"/>
      <c r="R595"/>
      <c r="S595"/>
      <c r="T595" s="22"/>
      <c r="U595" t="s">
        <v>20</v>
      </c>
      <c r="V595"/>
      <c r="W595"/>
      <c r="X595"/>
      <c r="Y595"/>
      <c r="Z595"/>
      <c r="AA595"/>
      <c r="AB595"/>
      <c r="AC595"/>
      <c r="AD595"/>
      <c r="AE595"/>
      <c r="AF595"/>
      <c r="AG595" s="1397" t="s">
        <v>679</v>
      </c>
      <c r="AH595" s="1397"/>
      <c r="AI595"/>
      <c r="AJ595"/>
      <c r="AK595"/>
      <c r="AL595"/>
      <c r="AM595"/>
      <c r="AN595"/>
      <c r="AO595"/>
      <c r="AP595"/>
      <c r="AQ595"/>
      <c r="AR595"/>
      <c r="AS595"/>
      <c r="AT595"/>
      <c r="AU595"/>
      <c r="AV595"/>
      <c r="AW595"/>
      <c r="AX595"/>
      <c r="AY595"/>
      <c r="BA595" s="4" t="s">
        <v>326</v>
      </c>
      <c r="BB595" s="3"/>
      <c r="BC595" s="3"/>
      <c r="BD595" s="3"/>
      <c r="BE595" s="121" t="s">
        <v>484</v>
      </c>
      <c r="BF595" s="122"/>
      <c r="BG595" s="1473"/>
      <c r="BH595" s="1474"/>
      <c r="BI595" s="121" t="s">
        <v>485</v>
      </c>
      <c r="BJ595" s="122"/>
      <c r="BK595" s="1473"/>
      <c r="BL595" s="1474"/>
      <c r="BM595" s="3"/>
      <c r="BN595" s="1716" t="s">
        <v>643</v>
      </c>
      <c r="BO595" s="1717"/>
      <c r="BP595" s="1717"/>
      <c r="BQ595" s="1717"/>
      <c r="BR595" s="1718"/>
      <c r="BS595" s="1513" t="s">
        <v>327</v>
      </c>
      <c r="BT595" s="1513"/>
      <c r="BU595" s="1513"/>
      <c r="BV595" s="1513"/>
      <c r="BW595" s="1513"/>
      <c r="BX595" s="1513" t="s">
        <v>164</v>
      </c>
      <c r="BY595" s="1513"/>
      <c r="BZ595" s="1513"/>
      <c r="CA595" s="1513"/>
      <c r="CB595" s="1513"/>
      <c r="CC595" s="1513" t="s">
        <v>165</v>
      </c>
      <c r="CD595" s="1513"/>
      <c r="CE595" s="1513"/>
      <c r="CF595" s="1513"/>
      <c r="CG595" s="1513"/>
      <c r="CH595" s="1513" t="s">
        <v>470</v>
      </c>
      <c r="CI595" s="1513"/>
      <c r="CJ595" s="1513"/>
      <c r="CK595" s="1513"/>
      <c r="CL595" s="1513"/>
      <c r="CM595" s="1513" t="s">
        <v>30</v>
      </c>
      <c r="CN595" s="1513"/>
      <c r="CO595" s="1513"/>
      <c r="CP595" s="1513"/>
      <c r="CQ595" s="1513"/>
      <c r="CR595" s="89"/>
      <c r="CS595" s="1513" t="s">
        <v>643</v>
      </c>
      <c r="CT595" s="1513"/>
      <c r="CU595" s="1513"/>
      <c r="CV595" s="1513"/>
      <c r="CW595" s="1513"/>
      <c r="CX595" s="1513" t="s">
        <v>327</v>
      </c>
      <c r="CY595" s="1513"/>
      <c r="CZ595" s="1513"/>
      <c r="DA595" s="1513"/>
      <c r="DB595" s="1513"/>
      <c r="DC595" s="1513" t="s">
        <v>164</v>
      </c>
      <c r="DD595" s="1513"/>
      <c r="DE595" s="1513"/>
      <c r="DF595" s="1513"/>
      <c r="DG595" s="1513"/>
      <c r="DH595" s="1513" t="s">
        <v>165</v>
      </c>
      <c r="DI595" s="1513"/>
      <c r="DJ595" s="1513"/>
      <c r="DK595" s="1513"/>
      <c r="DL595" s="1513"/>
      <c r="DM595" s="1513" t="s">
        <v>470</v>
      </c>
      <c r="DN595" s="1513"/>
      <c r="DO595" s="1513"/>
      <c r="DP595" s="1513"/>
      <c r="DQ595" s="1513"/>
      <c r="DR595" s="1513" t="s">
        <v>30</v>
      </c>
      <c r="DS595" s="1513"/>
      <c r="DT595" s="1513"/>
      <c r="DU595" s="1513"/>
      <c r="DV595" s="1513"/>
      <c r="DX595" s="1513" t="s">
        <v>643</v>
      </c>
      <c r="DY595" s="1513"/>
      <c r="DZ595" s="1513"/>
      <c r="EA595" s="1513"/>
      <c r="EB595" s="1513"/>
      <c r="EC595" s="1513" t="s">
        <v>327</v>
      </c>
      <c r="ED595" s="1513"/>
      <c r="EE595" s="1513"/>
      <c r="EF595" s="1513"/>
      <c r="EG595" s="1513"/>
      <c r="EH595" s="1513" t="s">
        <v>164</v>
      </c>
      <c r="EI595" s="1513"/>
      <c r="EJ595" s="1513"/>
      <c r="EK595" s="1513"/>
      <c r="EL595" s="1513"/>
      <c r="EM595" s="1513" t="s">
        <v>165</v>
      </c>
      <c r="EN595" s="1513"/>
      <c r="EO595" s="1513"/>
      <c r="EP595" s="1513"/>
      <c r="EQ595" s="1513"/>
      <c r="ER595" s="1513" t="s">
        <v>470</v>
      </c>
      <c r="ES595" s="1513"/>
      <c r="ET595" s="1513"/>
      <c r="EU595" s="1513"/>
      <c r="EV595" s="1513"/>
      <c r="EW595" s="1513" t="s">
        <v>30</v>
      </c>
      <c r="EX595" s="1513"/>
      <c r="EY595" s="1513"/>
      <c r="EZ595" s="1513"/>
      <c r="FA595" s="1513"/>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7">
        <f t="shared" ref="BE596:BE620" si="1">IF(AND(AC714&lt;=0.5,AC714&gt;=0.36),1,0)</f>
        <v>0</v>
      </c>
      <c r="BF596" s="1428"/>
      <c r="BG596" s="1473">
        <f t="shared" ref="BG596:BG620" si="2">IF(BE596=1,G714,0)</f>
        <v>0</v>
      </c>
      <c r="BH596" s="1474"/>
      <c r="BI596" s="1427">
        <f t="shared" ref="BI596:BI620" si="3">IF(AND(AC714&lt;=0.35,AC714&gt;0),1,0)</f>
        <v>1</v>
      </c>
      <c r="BJ596" s="1428"/>
      <c r="BK596" s="1473">
        <f t="shared" ref="BK596:BK620" si="4">IF(BI596=1,G714,0)</f>
        <v>3</v>
      </c>
      <c r="BL596" s="1474"/>
      <c r="BM596" s="3"/>
      <c r="BN596" s="1475">
        <f t="shared" ref="BN596:BN620" si="5">IF(B714="SRO/Studio",G714,0)</f>
        <v>0</v>
      </c>
      <c r="BO596" s="1476"/>
      <c r="BP596" s="1476"/>
      <c r="BQ596" s="1476"/>
      <c r="BR596" s="1477"/>
      <c r="BS596" s="1409">
        <f t="shared" ref="BS596:BS620" si="6">IF(B714="1 Bedroom",G714,0)</f>
        <v>3</v>
      </c>
      <c r="BT596" s="1409"/>
      <c r="BU596" s="1409"/>
      <c r="BV596" s="1409"/>
      <c r="BW596" s="1409"/>
      <c r="BX596" s="1409">
        <f t="shared" ref="BX596:BX620" si="7">IF(B714="2 Bedrooms",G714,0)</f>
        <v>0</v>
      </c>
      <c r="BY596" s="1409"/>
      <c r="BZ596" s="1409"/>
      <c r="CA596" s="1409"/>
      <c r="CB596" s="1409"/>
      <c r="CC596" s="1409">
        <f t="shared" ref="CC596:CC620" si="8">IF(B714="3 Bedrooms",G714,0)</f>
        <v>0</v>
      </c>
      <c r="CD596" s="1409"/>
      <c r="CE596" s="1409"/>
      <c r="CF596" s="1409"/>
      <c r="CG596" s="1409"/>
      <c r="CH596" s="1409">
        <f t="shared" ref="CH596:CH620" si="9">IF(B714="4 Bedrooms",G714,0)</f>
        <v>0</v>
      </c>
      <c r="CI596" s="1409"/>
      <c r="CJ596" s="1409"/>
      <c r="CK596" s="1409"/>
      <c r="CL596" s="1409"/>
      <c r="CM596" s="1409">
        <f t="shared" ref="CM596:CM620" si="10">IF(B714="5 Bedrooms",G714,0)</f>
        <v>0</v>
      </c>
      <c r="CN596" s="1409"/>
      <c r="CO596" s="1409"/>
      <c r="CP596" s="1409"/>
      <c r="CQ596" s="1409"/>
      <c r="CR596" s="6"/>
      <c r="CS596" s="1707">
        <f t="shared" ref="CS596:CS620" si="11">IF(AND(B714="SRO/Studio",AC714&lt;=0.3),G714,0)</f>
        <v>0</v>
      </c>
      <c r="CT596" s="1707"/>
      <c r="CU596" s="1707"/>
      <c r="CV596" s="1707"/>
      <c r="CW596" s="1707"/>
      <c r="CX596" s="1707">
        <f t="shared" ref="CX596:CX620" si="12">IF(AND(B714="1 Bedroom",AC714&lt;=0.3),G714,0)</f>
        <v>3</v>
      </c>
      <c r="CY596" s="1707"/>
      <c r="CZ596" s="1707"/>
      <c r="DA596" s="1707"/>
      <c r="DB596" s="1707"/>
      <c r="DC596" s="1707">
        <f t="shared" ref="DC596:DC620" si="13">IF(AND(B714="2 Bedrooms",AC714&lt;=0.3),G714,0)</f>
        <v>0</v>
      </c>
      <c r="DD596" s="1707"/>
      <c r="DE596" s="1707"/>
      <c r="DF596" s="1707"/>
      <c r="DG596" s="1707"/>
      <c r="DH596" s="1707">
        <f t="shared" ref="DH596:DH620" si="14">IF(AND(B714="3 Bedrooms",AC714&lt;=0.3),G714,0)</f>
        <v>0</v>
      </c>
      <c r="DI596" s="1707"/>
      <c r="DJ596" s="1707"/>
      <c r="DK596" s="1707"/>
      <c r="DL596" s="1707"/>
      <c r="DM596" s="1707">
        <f t="shared" ref="DM596:DM620" si="15">IF(AND(B714="4 Bedrooms",AC714&lt;=0.3),G714,0)</f>
        <v>0</v>
      </c>
      <c r="DN596" s="1707"/>
      <c r="DO596" s="1707"/>
      <c r="DP596" s="1707"/>
      <c r="DQ596" s="1707"/>
      <c r="DR596" s="1707">
        <f t="shared" ref="DR596:DR620" si="16">IF(AND(B714="5 Bedrooms",AC714&lt;=0.3),G714,0)</f>
        <v>0</v>
      </c>
      <c r="DS596" s="1707"/>
      <c r="DT596" s="1707"/>
      <c r="DU596" s="1707"/>
      <c r="DV596" s="1707"/>
      <c r="DX596" s="1427" t="str">
        <f t="shared" ref="DX596:DX620" si="17">IF(BN596&gt;0,O714," ")</f>
        <v xml:space="preserve"> </v>
      </c>
      <c r="DY596" s="1852"/>
      <c r="DZ596" s="1852"/>
      <c r="EA596" s="1852"/>
      <c r="EB596" s="1428"/>
      <c r="EC596" s="1427">
        <f t="shared" ref="EC596:EC620" si="18">IF(BS596&gt;0,O714," ")</f>
        <v>432</v>
      </c>
      <c r="ED596" s="1852"/>
      <c r="EE596" s="1852"/>
      <c r="EF596" s="1852"/>
      <c r="EG596" s="1428"/>
      <c r="EH596" s="1427" t="str">
        <f t="shared" ref="EH596:EH620" si="19">IF(BX596&gt;0,O714," ")</f>
        <v xml:space="preserve"> </v>
      </c>
      <c r="EI596" s="1852"/>
      <c r="EJ596" s="1852"/>
      <c r="EK596" s="1852"/>
      <c r="EL596" s="1428"/>
      <c r="EM596" s="1427" t="str">
        <f t="shared" ref="EM596:EM620" si="20">IF(CC596&gt;0,O714," ")</f>
        <v xml:space="preserve"> </v>
      </c>
      <c r="EN596" s="1852"/>
      <c r="EO596" s="1852"/>
      <c r="EP596" s="1852"/>
      <c r="EQ596" s="1428"/>
      <c r="ER596" s="1427" t="str">
        <f t="shared" ref="ER596:ER620" si="21">IF(CH596&gt;0,O714," ")</f>
        <v xml:space="preserve"> </v>
      </c>
      <c r="ES596" s="1852"/>
      <c r="ET596" s="1852"/>
      <c r="EU596" s="1852"/>
      <c r="EV596" s="1428"/>
      <c r="EW596" s="1427" t="str">
        <f t="shared" ref="EW596:EW620" si="22">IF(CM596&gt;0,O714," ")</f>
        <v xml:space="preserve"> </v>
      </c>
      <c r="EX596" s="1852"/>
      <c r="EY596" s="1852"/>
      <c r="EZ596" s="1852"/>
      <c r="FA596" s="1428"/>
    </row>
    <row r="597" spans="1:157" s="4" customFormat="1" ht="12.95" customHeight="1">
      <c r="A597" s="55" t="s">
        <v>471</v>
      </c>
      <c r="B597" t="s">
        <v>473</v>
      </c>
      <c r="C597"/>
      <c r="D597"/>
      <c r="E597"/>
      <c r="F597"/>
      <c r="G597" s="1514">
        <f>C558</f>
        <v>0</v>
      </c>
      <c r="H597" s="1514"/>
      <c r="I597" s="1514"/>
      <c r="J597" s="1514"/>
      <c r="K597" s="1514"/>
      <c r="L597" s="1514"/>
      <c r="M597" s="1514"/>
      <c r="N597" s="1514"/>
      <c r="O597" s="1514"/>
      <c r="P597" s="1514"/>
      <c r="Q597" s="1514"/>
      <c r="R597" s="1514"/>
      <c r="S597"/>
      <c r="T597" s="55" t="s">
        <v>656</v>
      </c>
      <c r="U597" t="s">
        <v>473</v>
      </c>
      <c r="V597"/>
      <c r="W597"/>
      <c r="X597"/>
      <c r="Y597"/>
      <c r="Z597" s="1514">
        <f>C559</f>
        <v>0</v>
      </c>
      <c r="AA597" s="1514"/>
      <c r="AB597" s="1514"/>
      <c r="AC597" s="1514"/>
      <c r="AD597" s="1514"/>
      <c r="AE597" s="1514"/>
      <c r="AF597" s="1514"/>
      <c r="AG597" s="1514"/>
      <c r="AH597" s="1514"/>
      <c r="AI597" s="1514"/>
      <c r="AJ597" s="1514"/>
      <c r="AK597" s="1514"/>
      <c r="AL597"/>
      <c r="AM597"/>
      <c r="AN597"/>
      <c r="AO597"/>
      <c r="AP597"/>
      <c r="AQ597"/>
      <c r="AR597"/>
      <c r="AS597"/>
      <c r="AT597"/>
      <c r="AU597"/>
      <c r="AV597"/>
      <c r="AW597"/>
      <c r="AX597"/>
      <c r="AY597"/>
      <c r="BA597" s="4" t="s">
        <v>164</v>
      </c>
      <c r="BB597" s="3"/>
      <c r="BC597" s="3"/>
      <c r="BD597" s="3"/>
      <c r="BE597" s="1427">
        <f t="shared" si="1"/>
        <v>1</v>
      </c>
      <c r="BF597" s="1428"/>
      <c r="BG597" s="1473">
        <f t="shared" si="2"/>
        <v>3</v>
      </c>
      <c r="BH597" s="1474"/>
      <c r="BI597" s="1427">
        <f t="shared" si="3"/>
        <v>0</v>
      </c>
      <c r="BJ597" s="1428"/>
      <c r="BK597" s="1473">
        <f t="shared" si="4"/>
        <v>0</v>
      </c>
      <c r="BL597" s="1474"/>
      <c r="BM597" s="3"/>
      <c r="BN597" s="1475">
        <f t="shared" si="5"/>
        <v>0</v>
      </c>
      <c r="BO597" s="1476"/>
      <c r="BP597" s="1476"/>
      <c r="BQ597" s="1476"/>
      <c r="BR597" s="1477"/>
      <c r="BS597" s="1409">
        <f t="shared" si="6"/>
        <v>3</v>
      </c>
      <c r="BT597" s="1409"/>
      <c r="BU597" s="1409"/>
      <c r="BV597" s="1409"/>
      <c r="BW597" s="1409"/>
      <c r="BX597" s="1409">
        <f t="shared" si="7"/>
        <v>0</v>
      </c>
      <c r="BY597" s="1409"/>
      <c r="BZ597" s="1409"/>
      <c r="CA597" s="1409"/>
      <c r="CB597" s="1409"/>
      <c r="CC597" s="1409">
        <f t="shared" si="8"/>
        <v>0</v>
      </c>
      <c r="CD597" s="1409"/>
      <c r="CE597" s="1409"/>
      <c r="CF597" s="1409"/>
      <c r="CG597" s="1409"/>
      <c r="CH597" s="1409">
        <f t="shared" si="9"/>
        <v>0</v>
      </c>
      <c r="CI597" s="1409"/>
      <c r="CJ597" s="1409"/>
      <c r="CK597" s="1409"/>
      <c r="CL597" s="1409"/>
      <c r="CM597" s="1409">
        <f t="shared" si="10"/>
        <v>0</v>
      </c>
      <c r="CN597" s="1409"/>
      <c r="CO597" s="1409"/>
      <c r="CP597" s="1409"/>
      <c r="CQ597" s="1409"/>
      <c r="CR597" s="6"/>
      <c r="CS597" s="1707">
        <f t="shared" si="11"/>
        <v>0</v>
      </c>
      <c r="CT597" s="1707"/>
      <c r="CU597" s="1707"/>
      <c r="CV597" s="1707"/>
      <c r="CW597" s="1707"/>
      <c r="CX597" s="1707">
        <f t="shared" si="12"/>
        <v>0</v>
      </c>
      <c r="CY597" s="1707"/>
      <c r="CZ597" s="1707"/>
      <c r="DA597" s="1707"/>
      <c r="DB597" s="1707"/>
      <c r="DC597" s="1707">
        <f t="shared" si="13"/>
        <v>0</v>
      </c>
      <c r="DD597" s="1707"/>
      <c r="DE597" s="1707"/>
      <c r="DF597" s="1707"/>
      <c r="DG597" s="1707"/>
      <c r="DH597" s="1707">
        <f t="shared" si="14"/>
        <v>0</v>
      </c>
      <c r="DI597" s="1707"/>
      <c r="DJ597" s="1707"/>
      <c r="DK597" s="1707"/>
      <c r="DL597" s="1707"/>
      <c r="DM597" s="1707">
        <f t="shared" si="15"/>
        <v>0</v>
      </c>
      <c r="DN597" s="1707"/>
      <c r="DO597" s="1707"/>
      <c r="DP597" s="1707"/>
      <c r="DQ597" s="1707"/>
      <c r="DR597" s="1707">
        <f t="shared" si="16"/>
        <v>0</v>
      </c>
      <c r="DS597" s="1707"/>
      <c r="DT597" s="1707"/>
      <c r="DU597" s="1707"/>
      <c r="DV597" s="1707"/>
      <c r="DX597" s="1427" t="str">
        <f t="shared" si="17"/>
        <v xml:space="preserve"> </v>
      </c>
      <c r="DY597" s="1852"/>
      <c r="DZ597" s="1852"/>
      <c r="EA597" s="1852"/>
      <c r="EB597" s="1428"/>
      <c r="EC597" s="1427">
        <f t="shared" si="18"/>
        <v>579</v>
      </c>
      <c r="ED597" s="1852"/>
      <c r="EE597" s="1852"/>
      <c r="EF597" s="1852"/>
      <c r="EG597" s="1428"/>
      <c r="EH597" s="1427" t="str">
        <f t="shared" si="19"/>
        <v xml:space="preserve"> </v>
      </c>
      <c r="EI597" s="1852"/>
      <c r="EJ597" s="1852"/>
      <c r="EK597" s="1852"/>
      <c r="EL597" s="1428"/>
      <c r="EM597" s="1427" t="str">
        <f t="shared" si="20"/>
        <v xml:space="preserve"> </v>
      </c>
      <c r="EN597" s="1852"/>
      <c r="EO597" s="1852"/>
      <c r="EP597" s="1852"/>
      <c r="EQ597" s="1428"/>
      <c r="ER597" s="1427" t="str">
        <f t="shared" si="21"/>
        <v xml:space="preserve"> </v>
      </c>
      <c r="ES597" s="1852"/>
      <c r="ET597" s="1852"/>
      <c r="EU597" s="1852"/>
      <c r="EV597" s="1428"/>
      <c r="EW597" s="1427" t="str">
        <f t="shared" si="22"/>
        <v xml:space="preserve"> </v>
      </c>
      <c r="EX597" s="1852"/>
      <c r="EY597" s="1852"/>
      <c r="EZ597" s="1852"/>
      <c r="FA597" s="1428"/>
    </row>
    <row r="598" spans="1:157" ht="12.95" customHeight="1">
      <c r="A598" s="22"/>
      <c r="B598" t="s">
        <v>86</v>
      </c>
      <c r="G598" s="1408"/>
      <c r="H598" s="1408"/>
      <c r="I598" s="1408"/>
      <c r="J598" s="1408"/>
      <c r="K598" s="1408"/>
      <c r="L598" s="1408"/>
      <c r="M598" s="1408"/>
      <c r="N598" s="1408"/>
      <c r="O598" s="1408"/>
      <c r="P598" s="1408"/>
      <c r="Q598" s="1408"/>
      <c r="R598" s="1408"/>
      <c r="T598" s="22"/>
      <c r="U598" t="s">
        <v>86</v>
      </c>
      <c r="Z598" s="1408"/>
      <c r="AA598" s="1408"/>
      <c r="AB598" s="1408"/>
      <c r="AC598" s="1408"/>
      <c r="AD598" s="1408"/>
      <c r="AE598" s="1408"/>
      <c r="AF598" s="1408"/>
      <c r="AG598" s="1408"/>
      <c r="AH598" s="1408"/>
      <c r="AI598" s="1408"/>
      <c r="AJ598" s="1408"/>
      <c r="AK598" s="1408"/>
      <c r="BA598" s="4" t="s">
        <v>165</v>
      </c>
      <c r="BB598" s="3"/>
      <c r="BC598" s="3"/>
      <c r="BD598" s="3"/>
      <c r="BE598" s="1427">
        <f t="shared" si="1"/>
        <v>1</v>
      </c>
      <c r="BF598" s="1428"/>
      <c r="BG598" s="1473">
        <f t="shared" si="2"/>
        <v>1</v>
      </c>
      <c r="BH598" s="1474"/>
      <c r="BI598" s="1427">
        <f t="shared" si="3"/>
        <v>0</v>
      </c>
      <c r="BJ598" s="1428"/>
      <c r="BK598" s="1473">
        <f t="shared" si="4"/>
        <v>0</v>
      </c>
      <c r="BL598" s="1474"/>
      <c r="BM598" s="3"/>
      <c r="BN598" s="1475">
        <f t="shared" si="5"/>
        <v>0</v>
      </c>
      <c r="BO598" s="1476"/>
      <c r="BP598" s="1476"/>
      <c r="BQ598" s="1476"/>
      <c r="BR598" s="1477"/>
      <c r="BS598" s="1409">
        <f t="shared" si="6"/>
        <v>1</v>
      </c>
      <c r="BT598" s="1409"/>
      <c r="BU598" s="1409"/>
      <c r="BV598" s="1409"/>
      <c r="BW598" s="1409"/>
      <c r="BX598" s="1409">
        <f t="shared" si="7"/>
        <v>0</v>
      </c>
      <c r="BY598" s="1409"/>
      <c r="BZ598" s="1409"/>
      <c r="CA598" s="1409"/>
      <c r="CB598" s="1409"/>
      <c r="CC598" s="1409">
        <f t="shared" si="8"/>
        <v>0</v>
      </c>
      <c r="CD598" s="1409"/>
      <c r="CE598" s="1409"/>
      <c r="CF598" s="1409"/>
      <c r="CG598" s="1409"/>
      <c r="CH598" s="1409">
        <f t="shared" si="9"/>
        <v>0</v>
      </c>
      <c r="CI598" s="1409"/>
      <c r="CJ598" s="1409"/>
      <c r="CK598" s="1409"/>
      <c r="CL598" s="1409"/>
      <c r="CM598" s="1409">
        <f t="shared" si="10"/>
        <v>0</v>
      </c>
      <c r="CN598" s="1409"/>
      <c r="CO598" s="1409"/>
      <c r="CP598" s="1409"/>
      <c r="CQ598" s="1409"/>
      <c r="CR598" s="6"/>
      <c r="CS598" s="1707">
        <f t="shared" si="11"/>
        <v>0</v>
      </c>
      <c r="CT598" s="1707"/>
      <c r="CU598" s="1707"/>
      <c r="CV598" s="1707"/>
      <c r="CW598" s="1707"/>
      <c r="CX598" s="1707">
        <f t="shared" si="12"/>
        <v>0</v>
      </c>
      <c r="CY598" s="1707"/>
      <c r="CZ598" s="1707"/>
      <c r="DA598" s="1707"/>
      <c r="DB598" s="1707"/>
      <c r="DC598" s="1707">
        <f t="shared" si="13"/>
        <v>0</v>
      </c>
      <c r="DD598" s="1707"/>
      <c r="DE598" s="1707"/>
      <c r="DF598" s="1707"/>
      <c r="DG598" s="1707"/>
      <c r="DH598" s="1707">
        <f t="shared" si="14"/>
        <v>0</v>
      </c>
      <c r="DI598" s="1707"/>
      <c r="DJ598" s="1707"/>
      <c r="DK598" s="1707"/>
      <c r="DL598" s="1707"/>
      <c r="DM598" s="1707">
        <f t="shared" si="15"/>
        <v>0</v>
      </c>
      <c r="DN598" s="1707"/>
      <c r="DO598" s="1707"/>
      <c r="DP598" s="1707"/>
      <c r="DQ598" s="1707"/>
      <c r="DR598" s="1707">
        <f t="shared" si="16"/>
        <v>0</v>
      </c>
      <c r="DS598" s="1707"/>
      <c r="DT598" s="1707"/>
      <c r="DU598" s="1707"/>
      <c r="DV598" s="1707"/>
      <c r="DX598" s="1427" t="str">
        <f t="shared" si="17"/>
        <v xml:space="preserve"> </v>
      </c>
      <c r="DY598" s="1852"/>
      <c r="DZ598" s="1852"/>
      <c r="EA598" s="1852"/>
      <c r="EB598" s="1428"/>
      <c r="EC598" s="1427">
        <f t="shared" si="18"/>
        <v>725</v>
      </c>
      <c r="ED598" s="1852"/>
      <c r="EE598" s="1852"/>
      <c r="EF598" s="1852"/>
      <c r="EG598" s="1428"/>
      <c r="EH598" s="1427" t="str">
        <f t="shared" si="19"/>
        <v xml:space="preserve"> </v>
      </c>
      <c r="EI598" s="1852"/>
      <c r="EJ598" s="1852"/>
      <c r="EK598" s="1852"/>
      <c r="EL598" s="1428"/>
      <c r="EM598" s="1427" t="str">
        <f t="shared" si="20"/>
        <v xml:space="preserve"> </v>
      </c>
      <c r="EN598" s="1852"/>
      <c r="EO598" s="1852"/>
      <c r="EP598" s="1852"/>
      <c r="EQ598" s="1428"/>
      <c r="ER598" s="1427" t="str">
        <f t="shared" si="21"/>
        <v xml:space="preserve"> </v>
      </c>
      <c r="ES598" s="1852"/>
      <c r="ET598" s="1852"/>
      <c r="EU598" s="1852"/>
      <c r="EV598" s="1428"/>
      <c r="EW598" s="1427" t="str">
        <f t="shared" si="22"/>
        <v xml:space="preserve"> </v>
      </c>
      <c r="EX598" s="1852"/>
      <c r="EY598" s="1852"/>
      <c r="EZ598" s="1852"/>
      <c r="FA598" s="1428"/>
    </row>
    <row r="599" spans="1:157" ht="12.95" customHeight="1">
      <c r="A599" s="22"/>
      <c r="B599" t="s">
        <v>590</v>
      </c>
      <c r="G599" s="1408"/>
      <c r="H599" s="1408"/>
      <c r="I599" s="1408"/>
      <c r="J599" s="1408"/>
      <c r="K599" s="1408"/>
      <c r="L599" s="1408"/>
      <c r="M599" s="1408"/>
      <c r="N599" s="1408"/>
      <c r="O599" s="1408"/>
      <c r="P599" s="1408"/>
      <c r="Q599" s="1408"/>
      <c r="R599" s="1408"/>
      <c r="T599" s="22"/>
      <c r="U599" t="s">
        <v>590</v>
      </c>
      <c r="Z599" s="1393"/>
      <c r="AA599" s="1393"/>
      <c r="AB599" s="1393"/>
      <c r="AC599" s="1393"/>
      <c r="AD599" s="1393"/>
      <c r="AE599" s="1393"/>
      <c r="AF599" s="1393"/>
      <c r="AG599" s="1393"/>
      <c r="AH599" s="1393"/>
      <c r="AI599" s="1393"/>
      <c r="AJ599" s="1393"/>
      <c r="AK599" s="1393"/>
      <c r="BA599" s="4" t="s">
        <v>166</v>
      </c>
      <c r="BB599" s="3"/>
      <c r="BC599" s="3"/>
      <c r="BD599" s="3"/>
      <c r="BE599" s="1427">
        <f t="shared" si="1"/>
        <v>0</v>
      </c>
      <c r="BF599" s="1428"/>
      <c r="BG599" s="1473">
        <f t="shared" si="2"/>
        <v>0</v>
      </c>
      <c r="BH599" s="1474"/>
      <c r="BI599" s="1427">
        <f t="shared" si="3"/>
        <v>0</v>
      </c>
      <c r="BJ599" s="1428"/>
      <c r="BK599" s="1473">
        <f t="shared" si="4"/>
        <v>0</v>
      </c>
      <c r="BL599" s="1474"/>
      <c r="BM599" s="3"/>
      <c r="BN599" s="1475">
        <f t="shared" si="5"/>
        <v>0</v>
      </c>
      <c r="BO599" s="1476"/>
      <c r="BP599" s="1476"/>
      <c r="BQ599" s="1476"/>
      <c r="BR599" s="1477"/>
      <c r="BS599" s="1409">
        <f t="shared" si="6"/>
        <v>1</v>
      </c>
      <c r="BT599" s="1409"/>
      <c r="BU599" s="1409"/>
      <c r="BV599" s="1409"/>
      <c r="BW599" s="1409"/>
      <c r="BX599" s="1409">
        <f t="shared" si="7"/>
        <v>0</v>
      </c>
      <c r="BY599" s="1409"/>
      <c r="BZ599" s="1409"/>
      <c r="CA599" s="1409"/>
      <c r="CB599" s="1409"/>
      <c r="CC599" s="1409">
        <f t="shared" si="8"/>
        <v>0</v>
      </c>
      <c r="CD599" s="1409"/>
      <c r="CE599" s="1409"/>
      <c r="CF599" s="1409"/>
      <c r="CG599" s="1409"/>
      <c r="CH599" s="1409">
        <f t="shared" si="9"/>
        <v>0</v>
      </c>
      <c r="CI599" s="1409"/>
      <c r="CJ599" s="1409"/>
      <c r="CK599" s="1409"/>
      <c r="CL599" s="1409"/>
      <c r="CM599" s="1409">
        <f t="shared" si="10"/>
        <v>0</v>
      </c>
      <c r="CN599" s="1409"/>
      <c r="CO599" s="1409"/>
      <c r="CP599" s="1409"/>
      <c r="CQ599" s="1409"/>
      <c r="CR599" s="6"/>
      <c r="CS599" s="1707">
        <f t="shared" si="11"/>
        <v>0</v>
      </c>
      <c r="CT599" s="1707"/>
      <c r="CU599" s="1707"/>
      <c r="CV599" s="1707"/>
      <c r="CW599" s="1707"/>
      <c r="CX599" s="1707">
        <f t="shared" si="12"/>
        <v>0</v>
      </c>
      <c r="CY599" s="1707"/>
      <c r="CZ599" s="1707"/>
      <c r="DA599" s="1707"/>
      <c r="DB599" s="1707"/>
      <c r="DC599" s="1707">
        <f t="shared" si="13"/>
        <v>0</v>
      </c>
      <c r="DD599" s="1707"/>
      <c r="DE599" s="1707"/>
      <c r="DF599" s="1707"/>
      <c r="DG599" s="1707"/>
      <c r="DH599" s="1707">
        <f t="shared" si="14"/>
        <v>0</v>
      </c>
      <c r="DI599" s="1707"/>
      <c r="DJ599" s="1707"/>
      <c r="DK599" s="1707"/>
      <c r="DL599" s="1707"/>
      <c r="DM599" s="1707">
        <f t="shared" si="15"/>
        <v>0</v>
      </c>
      <c r="DN599" s="1707"/>
      <c r="DO599" s="1707"/>
      <c r="DP599" s="1707"/>
      <c r="DQ599" s="1707"/>
      <c r="DR599" s="1707">
        <f t="shared" si="16"/>
        <v>0</v>
      </c>
      <c r="DS599" s="1707"/>
      <c r="DT599" s="1707"/>
      <c r="DU599" s="1707"/>
      <c r="DV599" s="1707"/>
      <c r="DX599" s="1427" t="str">
        <f t="shared" si="17"/>
        <v xml:space="preserve"> </v>
      </c>
      <c r="DY599" s="1852"/>
      <c r="DZ599" s="1852"/>
      <c r="EA599" s="1852"/>
      <c r="EB599" s="1428"/>
      <c r="EC599" s="1427">
        <f t="shared" si="18"/>
        <v>871</v>
      </c>
      <c r="ED599" s="1852"/>
      <c r="EE599" s="1852"/>
      <c r="EF599" s="1852"/>
      <c r="EG599" s="1428"/>
      <c r="EH599" s="1427" t="str">
        <f t="shared" si="19"/>
        <v xml:space="preserve"> </v>
      </c>
      <c r="EI599" s="1852"/>
      <c r="EJ599" s="1852"/>
      <c r="EK599" s="1852"/>
      <c r="EL599" s="1428"/>
      <c r="EM599" s="1427" t="str">
        <f t="shared" si="20"/>
        <v xml:space="preserve"> </v>
      </c>
      <c r="EN599" s="1852"/>
      <c r="EO599" s="1852"/>
      <c r="EP599" s="1852"/>
      <c r="EQ599" s="1428"/>
      <c r="ER599" s="1427" t="str">
        <f t="shared" si="21"/>
        <v xml:space="preserve"> </v>
      </c>
      <c r="ES599" s="1852"/>
      <c r="ET599" s="1852"/>
      <c r="EU599" s="1852"/>
      <c r="EV599" s="1428"/>
      <c r="EW599" s="1427" t="str">
        <f t="shared" si="22"/>
        <v xml:space="preserve"> </v>
      </c>
      <c r="EX599" s="1852"/>
      <c r="EY599" s="1852"/>
      <c r="EZ599" s="1852"/>
      <c r="FA599" s="1428"/>
    </row>
    <row r="600" spans="1:157" ht="12.95" customHeight="1">
      <c r="A600" s="22"/>
      <c r="B600" t="s">
        <v>17</v>
      </c>
      <c r="G600" s="1408"/>
      <c r="H600" s="1408"/>
      <c r="I600" s="1408"/>
      <c r="J600" s="1408"/>
      <c r="K600" s="1408"/>
      <c r="L600" s="1408"/>
      <c r="M600" s="1408"/>
      <c r="N600" s="1408"/>
      <c r="O600" s="1408"/>
      <c r="P600" s="1408"/>
      <c r="Q600" s="1408"/>
      <c r="R600" s="1408"/>
      <c r="T600" s="22"/>
      <c r="U600" t="s">
        <v>17</v>
      </c>
      <c r="Z600" s="1393"/>
      <c r="AA600" s="1393"/>
      <c r="AB600" s="1393"/>
      <c r="AC600" s="1393"/>
      <c r="AD600" s="1393"/>
      <c r="AE600" s="1393"/>
      <c r="AF600" s="1393"/>
      <c r="AG600" s="1393"/>
      <c r="AH600" s="1393"/>
      <c r="AI600" s="1393"/>
      <c r="AJ600" s="1393"/>
      <c r="AK600" s="1393"/>
      <c r="BA600" s="4" t="s">
        <v>30</v>
      </c>
      <c r="BB600" s="3"/>
      <c r="BC600" s="3"/>
      <c r="BD600" s="3"/>
      <c r="BE600" s="1427">
        <f t="shared" si="1"/>
        <v>0</v>
      </c>
      <c r="BF600" s="1428"/>
      <c r="BG600" s="1473">
        <f t="shared" si="2"/>
        <v>0</v>
      </c>
      <c r="BH600" s="1474"/>
      <c r="BI600" s="1427">
        <f t="shared" si="3"/>
        <v>1</v>
      </c>
      <c r="BJ600" s="1428"/>
      <c r="BK600" s="1473">
        <f t="shared" si="4"/>
        <v>9</v>
      </c>
      <c r="BL600" s="1474"/>
      <c r="BM600" s="3"/>
      <c r="BN600" s="1475">
        <f t="shared" si="5"/>
        <v>0</v>
      </c>
      <c r="BO600" s="1476"/>
      <c r="BP600" s="1476"/>
      <c r="BQ600" s="1476"/>
      <c r="BR600" s="1477"/>
      <c r="BS600" s="1409">
        <f t="shared" si="6"/>
        <v>0</v>
      </c>
      <c r="BT600" s="1409"/>
      <c r="BU600" s="1409"/>
      <c r="BV600" s="1409"/>
      <c r="BW600" s="1409"/>
      <c r="BX600" s="1409">
        <f t="shared" si="7"/>
        <v>9</v>
      </c>
      <c r="BY600" s="1409"/>
      <c r="BZ600" s="1409"/>
      <c r="CA600" s="1409"/>
      <c r="CB600" s="1409"/>
      <c r="CC600" s="1409">
        <f t="shared" si="8"/>
        <v>0</v>
      </c>
      <c r="CD600" s="1409"/>
      <c r="CE600" s="1409"/>
      <c r="CF600" s="1409"/>
      <c r="CG600" s="1409"/>
      <c r="CH600" s="1409">
        <f t="shared" si="9"/>
        <v>0</v>
      </c>
      <c r="CI600" s="1409"/>
      <c r="CJ600" s="1409"/>
      <c r="CK600" s="1409"/>
      <c r="CL600" s="1409"/>
      <c r="CM600" s="1409">
        <f t="shared" si="10"/>
        <v>0</v>
      </c>
      <c r="CN600" s="1409"/>
      <c r="CO600" s="1409"/>
      <c r="CP600" s="1409"/>
      <c r="CQ600" s="1409"/>
      <c r="CR600" s="6"/>
      <c r="CS600" s="1707">
        <f t="shared" si="11"/>
        <v>0</v>
      </c>
      <c r="CT600" s="1707"/>
      <c r="CU600" s="1707"/>
      <c r="CV600" s="1707"/>
      <c r="CW600" s="1707"/>
      <c r="CX600" s="1707">
        <f t="shared" si="12"/>
        <v>0</v>
      </c>
      <c r="CY600" s="1707"/>
      <c r="CZ600" s="1707"/>
      <c r="DA600" s="1707"/>
      <c r="DB600" s="1707"/>
      <c r="DC600" s="1707">
        <f t="shared" si="13"/>
        <v>9</v>
      </c>
      <c r="DD600" s="1707"/>
      <c r="DE600" s="1707"/>
      <c r="DF600" s="1707"/>
      <c r="DG600" s="1707"/>
      <c r="DH600" s="1707">
        <f t="shared" si="14"/>
        <v>0</v>
      </c>
      <c r="DI600" s="1707"/>
      <c r="DJ600" s="1707"/>
      <c r="DK600" s="1707"/>
      <c r="DL600" s="1707"/>
      <c r="DM600" s="1707">
        <f t="shared" si="15"/>
        <v>0</v>
      </c>
      <c r="DN600" s="1707"/>
      <c r="DO600" s="1707"/>
      <c r="DP600" s="1707"/>
      <c r="DQ600" s="1707"/>
      <c r="DR600" s="1707">
        <f t="shared" si="16"/>
        <v>0</v>
      </c>
      <c r="DS600" s="1707"/>
      <c r="DT600" s="1707"/>
      <c r="DU600" s="1707"/>
      <c r="DV600" s="1707"/>
      <c r="DX600" s="1427" t="str">
        <f t="shared" si="17"/>
        <v xml:space="preserve"> </v>
      </c>
      <c r="DY600" s="1852"/>
      <c r="DZ600" s="1852"/>
      <c r="EA600" s="1852"/>
      <c r="EB600" s="1428"/>
      <c r="EC600" s="1427" t="str">
        <f t="shared" si="18"/>
        <v xml:space="preserve"> </v>
      </c>
      <c r="ED600" s="1852"/>
      <c r="EE600" s="1852"/>
      <c r="EF600" s="1852"/>
      <c r="EG600" s="1428"/>
      <c r="EH600" s="1427">
        <f t="shared" si="19"/>
        <v>520</v>
      </c>
      <c r="EI600" s="1852"/>
      <c r="EJ600" s="1852"/>
      <c r="EK600" s="1852"/>
      <c r="EL600" s="1428"/>
      <c r="EM600" s="1427" t="str">
        <f t="shared" si="20"/>
        <v xml:space="preserve"> </v>
      </c>
      <c r="EN600" s="1852"/>
      <c r="EO600" s="1852"/>
      <c r="EP600" s="1852"/>
      <c r="EQ600" s="1428"/>
      <c r="ER600" s="1427" t="str">
        <f t="shared" si="21"/>
        <v xml:space="preserve"> </v>
      </c>
      <c r="ES600" s="1852"/>
      <c r="ET600" s="1852"/>
      <c r="EU600" s="1852"/>
      <c r="EV600" s="1428"/>
      <c r="EW600" s="1427" t="str">
        <f t="shared" si="22"/>
        <v xml:space="preserve"> </v>
      </c>
      <c r="EX600" s="1852"/>
      <c r="EY600" s="1852"/>
      <c r="EZ600" s="1852"/>
      <c r="FA600" s="1428"/>
    </row>
    <row r="601" spans="1:157" ht="12.95" customHeight="1">
      <c r="A601" s="22"/>
      <c r="B601" t="s">
        <v>318</v>
      </c>
      <c r="G601" s="1447"/>
      <c r="H601" s="1447"/>
      <c r="I601" s="1447"/>
      <c r="J601" s="1447"/>
      <c r="K601" s="1447"/>
      <c r="L601" s="1447"/>
      <c r="O601" s="33" t="s">
        <v>208</v>
      </c>
      <c r="P601" s="1433"/>
      <c r="Q601" s="1433"/>
      <c r="R601" s="1433"/>
      <c r="T601" s="22"/>
      <c r="U601" t="s">
        <v>318</v>
      </c>
      <c r="Z601" s="1447"/>
      <c r="AA601" s="1447"/>
      <c r="AB601" s="1447"/>
      <c r="AC601" s="1447"/>
      <c r="AD601" s="1447"/>
      <c r="AE601" s="1447"/>
      <c r="AH601" s="33" t="s">
        <v>208</v>
      </c>
      <c r="AI601" s="1433"/>
      <c r="AJ601" s="1433"/>
      <c r="AK601" s="1433"/>
      <c r="AZ601" s="3"/>
      <c r="BA601" s="3"/>
      <c r="BB601" s="3"/>
      <c r="BC601" s="3"/>
      <c r="BD601" s="3"/>
      <c r="BE601" s="1427">
        <f t="shared" si="1"/>
        <v>1</v>
      </c>
      <c r="BF601" s="1428"/>
      <c r="BG601" s="1473">
        <f t="shared" si="2"/>
        <v>10</v>
      </c>
      <c r="BH601" s="1474"/>
      <c r="BI601" s="1427">
        <f t="shared" si="3"/>
        <v>0</v>
      </c>
      <c r="BJ601" s="1428"/>
      <c r="BK601" s="1473">
        <f t="shared" si="4"/>
        <v>0</v>
      </c>
      <c r="BL601" s="1474"/>
      <c r="BM601" s="3"/>
      <c r="BN601" s="1475">
        <f t="shared" si="5"/>
        <v>0</v>
      </c>
      <c r="BO601" s="1476"/>
      <c r="BP601" s="1476"/>
      <c r="BQ601" s="1476"/>
      <c r="BR601" s="1477"/>
      <c r="BS601" s="1409">
        <f t="shared" si="6"/>
        <v>0</v>
      </c>
      <c r="BT601" s="1409"/>
      <c r="BU601" s="1409"/>
      <c r="BV601" s="1409"/>
      <c r="BW601" s="1409"/>
      <c r="BX601" s="1409">
        <f t="shared" si="7"/>
        <v>10</v>
      </c>
      <c r="BY601" s="1409"/>
      <c r="BZ601" s="1409"/>
      <c r="CA601" s="1409"/>
      <c r="CB601" s="1409"/>
      <c r="CC601" s="1409">
        <f t="shared" si="8"/>
        <v>0</v>
      </c>
      <c r="CD601" s="1409"/>
      <c r="CE601" s="1409"/>
      <c r="CF601" s="1409"/>
      <c r="CG601" s="1409"/>
      <c r="CH601" s="1409">
        <f t="shared" si="9"/>
        <v>0</v>
      </c>
      <c r="CI601" s="1409"/>
      <c r="CJ601" s="1409"/>
      <c r="CK601" s="1409"/>
      <c r="CL601" s="1409"/>
      <c r="CM601" s="1409">
        <f t="shared" si="10"/>
        <v>0</v>
      </c>
      <c r="CN601" s="1409"/>
      <c r="CO601" s="1409"/>
      <c r="CP601" s="1409"/>
      <c r="CQ601" s="1409"/>
      <c r="CR601" s="6"/>
      <c r="CS601" s="1707">
        <f t="shared" si="11"/>
        <v>0</v>
      </c>
      <c r="CT601" s="1707"/>
      <c r="CU601" s="1707"/>
      <c r="CV601" s="1707"/>
      <c r="CW601" s="1707"/>
      <c r="CX601" s="1707">
        <f t="shared" si="12"/>
        <v>0</v>
      </c>
      <c r="CY601" s="1707"/>
      <c r="CZ601" s="1707"/>
      <c r="DA601" s="1707"/>
      <c r="DB601" s="1707"/>
      <c r="DC601" s="1707">
        <f t="shared" si="13"/>
        <v>0</v>
      </c>
      <c r="DD601" s="1707"/>
      <c r="DE601" s="1707"/>
      <c r="DF601" s="1707"/>
      <c r="DG601" s="1707"/>
      <c r="DH601" s="1707">
        <f t="shared" si="14"/>
        <v>0</v>
      </c>
      <c r="DI601" s="1707"/>
      <c r="DJ601" s="1707"/>
      <c r="DK601" s="1707"/>
      <c r="DL601" s="1707"/>
      <c r="DM601" s="1707">
        <f t="shared" si="15"/>
        <v>0</v>
      </c>
      <c r="DN601" s="1707"/>
      <c r="DO601" s="1707"/>
      <c r="DP601" s="1707"/>
      <c r="DQ601" s="1707"/>
      <c r="DR601" s="1707">
        <f t="shared" si="16"/>
        <v>0</v>
      </c>
      <c r="DS601" s="1707"/>
      <c r="DT601" s="1707"/>
      <c r="DU601" s="1707"/>
      <c r="DV601" s="1707"/>
      <c r="DX601" s="1427" t="str">
        <f t="shared" si="17"/>
        <v xml:space="preserve"> </v>
      </c>
      <c r="DY601" s="1852"/>
      <c r="DZ601" s="1852"/>
      <c r="EA601" s="1852"/>
      <c r="EB601" s="1428"/>
      <c r="EC601" s="1427" t="str">
        <f t="shared" si="18"/>
        <v xml:space="preserve"> </v>
      </c>
      <c r="ED601" s="1852"/>
      <c r="EE601" s="1852"/>
      <c r="EF601" s="1852"/>
      <c r="EG601" s="1428"/>
      <c r="EH601" s="1427">
        <f t="shared" si="19"/>
        <v>696</v>
      </c>
      <c r="EI601" s="1852"/>
      <c r="EJ601" s="1852"/>
      <c r="EK601" s="1852"/>
      <c r="EL601" s="1428"/>
      <c r="EM601" s="1427" t="str">
        <f t="shared" si="20"/>
        <v xml:space="preserve"> </v>
      </c>
      <c r="EN601" s="1852"/>
      <c r="EO601" s="1852"/>
      <c r="EP601" s="1852"/>
      <c r="EQ601" s="1428"/>
      <c r="ER601" s="1427" t="str">
        <f t="shared" si="21"/>
        <v xml:space="preserve"> </v>
      </c>
      <c r="ES601" s="1852"/>
      <c r="ET601" s="1852"/>
      <c r="EU601" s="1852"/>
      <c r="EV601" s="1428"/>
      <c r="EW601" s="1427" t="str">
        <f t="shared" si="22"/>
        <v xml:space="preserve"> </v>
      </c>
      <c r="EX601" s="1852"/>
      <c r="EY601" s="1852"/>
      <c r="EZ601" s="1852"/>
      <c r="FA601" s="1428"/>
    </row>
    <row r="602" spans="1:157" ht="12.95" customHeight="1">
      <c r="A602" s="22"/>
      <c r="B602" t="s">
        <v>18</v>
      </c>
      <c r="H602" s="1408"/>
      <c r="I602" s="1408"/>
      <c r="J602" s="1408"/>
      <c r="K602" s="1408"/>
      <c r="L602" s="1408"/>
      <c r="M602" s="1408"/>
      <c r="N602" s="1408"/>
      <c r="O602" s="1408"/>
      <c r="P602" s="1408"/>
      <c r="Q602" s="1408"/>
      <c r="R602" s="1408"/>
      <c r="T602" s="22"/>
      <c r="U602" t="s">
        <v>18</v>
      </c>
      <c r="AA602" s="1408"/>
      <c r="AB602" s="1408"/>
      <c r="AC602" s="1408"/>
      <c r="AD602" s="1408"/>
      <c r="AE602" s="1408"/>
      <c r="AF602" s="1408"/>
      <c r="AG602" s="1408"/>
      <c r="AH602" s="1408"/>
      <c r="AI602" s="1408"/>
      <c r="AJ602" s="1408"/>
      <c r="AK602" s="1408"/>
      <c r="AZ602" s="3"/>
      <c r="BA602" s="3"/>
      <c r="BB602" s="3"/>
      <c r="BC602" s="3"/>
      <c r="BD602" s="3"/>
      <c r="BE602" s="1427">
        <f t="shared" si="1"/>
        <v>1</v>
      </c>
      <c r="BF602" s="1428"/>
      <c r="BG602" s="1473">
        <f t="shared" si="2"/>
        <v>4</v>
      </c>
      <c r="BH602" s="1474"/>
      <c r="BI602" s="1427">
        <f t="shared" si="3"/>
        <v>0</v>
      </c>
      <c r="BJ602" s="1428"/>
      <c r="BK602" s="1473">
        <f t="shared" si="4"/>
        <v>0</v>
      </c>
      <c r="BL602" s="1474"/>
      <c r="BM602" s="3"/>
      <c r="BN602" s="1475">
        <f t="shared" si="5"/>
        <v>0</v>
      </c>
      <c r="BO602" s="1476"/>
      <c r="BP602" s="1476"/>
      <c r="BQ602" s="1476"/>
      <c r="BR602" s="1477"/>
      <c r="BS602" s="1409">
        <f t="shared" si="6"/>
        <v>0</v>
      </c>
      <c r="BT602" s="1409"/>
      <c r="BU602" s="1409"/>
      <c r="BV602" s="1409"/>
      <c r="BW602" s="1409"/>
      <c r="BX602" s="1409">
        <f t="shared" si="7"/>
        <v>4</v>
      </c>
      <c r="BY602" s="1409"/>
      <c r="BZ602" s="1409"/>
      <c r="CA602" s="1409"/>
      <c r="CB602" s="1409"/>
      <c r="CC602" s="1409">
        <f t="shared" si="8"/>
        <v>0</v>
      </c>
      <c r="CD602" s="1409"/>
      <c r="CE602" s="1409"/>
      <c r="CF602" s="1409"/>
      <c r="CG602" s="1409"/>
      <c r="CH602" s="1409">
        <f t="shared" si="9"/>
        <v>0</v>
      </c>
      <c r="CI602" s="1409"/>
      <c r="CJ602" s="1409"/>
      <c r="CK602" s="1409"/>
      <c r="CL602" s="1409"/>
      <c r="CM602" s="1409">
        <f t="shared" si="10"/>
        <v>0</v>
      </c>
      <c r="CN602" s="1409"/>
      <c r="CO602" s="1409"/>
      <c r="CP602" s="1409"/>
      <c r="CQ602" s="1409"/>
      <c r="CR602" s="6"/>
      <c r="CS602" s="1707">
        <f t="shared" si="11"/>
        <v>0</v>
      </c>
      <c r="CT602" s="1707"/>
      <c r="CU602" s="1707"/>
      <c r="CV602" s="1707"/>
      <c r="CW602" s="1707"/>
      <c r="CX602" s="1707">
        <f t="shared" si="12"/>
        <v>0</v>
      </c>
      <c r="CY602" s="1707"/>
      <c r="CZ602" s="1707"/>
      <c r="DA602" s="1707"/>
      <c r="DB602" s="1707"/>
      <c r="DC602" s="1707">
        <f t="shared" si="13"/>
        <v>0</v>
      </c>
      <c r="DD602" s="1707"/>
      <c r="DE602" s="1707"/>
      <c r="DF602" s="1707"/>
      <c r="DG602" s="1707"/>
      <c r="DH602" s="1707">
        <f t="shared" si="14"/>
        <v>0</v>
      </c>
      <c r="DI602" s="1707"/>
      <c r="DJ602" s="1707"/>
      <c r="DK602" s="1707"/>
      <c r="DL602" s="1707"/>
      <c r="DM602" s="1707">
        <f t="shared" si="15"/>
        <v>0</v>
      </c>
      <c r="DN602" s="1707"/>
      <c r="DO602" s="1707"/>
      <c r="DP602" s="1707"/>
      <c r="DQ602" s="1707"/>
      <c r="DR602" s="1707">
        <f t="shared" si="16"/>
        <v>0</v>
      </c>
      <c r="DS602" s="1707"/>
      <c r="DT602" s="1707"/>
      <c r="DU602" s="1707"/>
      <c r="DV602" s="1707"/>
      <c r="DX602" s="1427" t="str">
        <f t="shared" si="17"/>
        <v xml:space="preserve"> </v>
      </c>
      <c r="DY602" s="1852"/>
      <c r="DZ602" s="1852"/>
      <c r="EA602" s="1852"/>
      <c r="EB602" s="1428"/>
      <c r="EC602" s="1427" t="str">
        <f t="shared" si="18"/>
        <v xml:space="preserve"> </v>
      </c>
      <c r="ED602" s="1852"/>
      <c r="EE602" s="1852"/>
      <c r="EF602" s="1852"/>
      <c r="EG602" s="1428"/>
      <c r="EH602" s="1427">
        <f t="shared" si="19"/>
        <v>871</v>
      </c>
      <c r="EI602" s="1852"/>
      <c r="EJ602" s="1852"/>
      <c r="EK602" s="1852"/>
      <c r="EL602" s="1428"/>
      <c r="EM602" s="1427" t="str">
        <f t="shared" si="20"/>
        <v xml:space="preserve"> </v>
      </c>
      <c r="EN602" s="1852"/>
      <c r="EO602" s="1852"/>
      <c r="EP602" s="1852"/>
      <c r="EQ602" s="1428"/>
      <c r="ER602" s="1427" t="str">
        <f t="shared" si="21"/>
        <v xml:space="preserve"> </v>
      </c>
      <c r="ES602" s="1852"/>
      <c r="ET602" s="1852"/>
      <c r="EU602" s="1852"/>
      <c r="EV602" s="1428"/>
      <c r="EW602" s="1427" t="str">
        <f t="shared" si="22"/>
        <v xml:space="preserve"> </v>
      </c>
      <c r="EX602" s="1852"/>
      <c r="EY602" s="1852"/>
      <c r="EZ602" s="1852"/>
      <c r="FA602" s="1428"/>
    </row>
    <row r="603" spans="1:157" ht="12.95" customHeight="1">
      <c r="A603" s="22"/>
      <c r="B603" t="s">
        <v>20</v>
      </c>
      <c r="N603" s="1397" t="s">
        <v>679</v>
      </c>
      <c r="O603" s="1397"/>
      <c r="T603" s="22"/>
      <c r="U603" t="s">
        <v>20</v>
      </c>
      <c r="AG603" s="1397" t="s">
        <v>679</v>
      </c>
      <c r="AH603" s="1397"/>
      <c r="AZ603" s="3"/>
      <c r="BA603" s="3"/>
      <c r="BB603" s="3"/>
      <c r="BC603" s="3"/>
      <c r="BD603" s="3"/>
      <c r="BE603" s="1427">
        <f t="shared" si="1"/>
        <v>0</v>
      </c>
      <c r="BF603" s="1428"/>
      <c r="BG603" s="1473">
        <f t="shared" si="2"/>
        <v>0</v>
      </c>
      <c r="BH603" s="1474"/>
      <c r="BI603" s="1427">
        <f t="shared" si="3"/>
        <v>0</v>
      </c>
      <c r="BJ603" s="1428"/>
      <c r="BK603" s="1473">
        <f t="shared" si="4"/>
        <v>0</v>
      </c>
      <c r="BL603" s="1474"/>
      <c r="BM603" s="3"/>
      <c r="BN603" s="1475">
        <f t="shared" si="5"/>
        <v>0</v>
      </c>
      <c r="BO603" s="1476"/>
      <c r="BP603" s="1476"/>
      <c r="BQ603" s="1476"/>
      <c r="BR603" s="1477"/>
      <c r="BS603" s="1409">
        <f t="shared" si="6"/>
        <v>0</v>
      </c>
      <c r="BT603" s="1409"/>
      <c r="BU603" s="1409"/>
      <c r="BV603" s="1409"/>
      <c r="BW603" s="1409"/>
      <c r="BX603" s="1409">
        <f t="shared" si="7"/>
        <v>1</v>
      </c>
      <c r="BY603" s="1409"/>
      <c r="BZ603" s="1409"/>
      <c r="CA603" s="1409"/>
      <c r="CB603" s="1409"/>
      <c r="CC603" s="1409">
        <f t="shared" si="8"/>
        <v>0</v>
      </c>
      <c r="CD603" s="1409"/>
      <c r="CE603" s="1409"/>
      <c r="CF603" s="1409"/>
      <c r="CG603" s="1409"/>
      <c r="CH603" s="1409">
        <f t="shared" si="9"/>
        <v>0</v>
      </c>
      <c r="CI603" s="1409"/>
      <c r="CJ603" s="1409"/>
      <c r="CK603" s="1409"/>
      <c r="CL603" s="1409"/>
      <c r="CM603" s="1409">
        <f t="shared" si="10"/>
        <v>0</v>
      </c>
      <c r="CN603" s="1409"/>
      <c r="CO603" s="1409"/>
      <c r="CP603" s="1409"/>
      <c r="CQ603" s="1409"/>
      <c r="CR603" s="6"/>
      <c r="CS603" s="1707">
        <f t="shared" si="11"/>
        <v>0</v>
      </c>
      <c r="CT603" s="1707"/>
      <c r="CU603" s="1707"/>
      <c r="CV603" s="1707"/>
      <c r="CW603" s="1707"/>
      <c r="CX603" s="1707">
        <f t="shared" si="12"/>
        <v>0</v>
      </c>
      <c r="CY603" s="1707"/>
      <c r="CZ603" s="1707"/>
      <c r="DA603" s="1707"/>
      <c r="DB603" s="1707"/>
      <c r="DC603" s="1707">
        <f t="shared" si="13"/>
        <v>0</v>
      </c>
      <c r="DD603" s="1707"/>
      <c r="DE603" s="1707"/>
      <c r="DF603" s="1707"/>
      <c r="DG603" s="1707"/>
      <c r="DH603" s="1707">
        <f t="shared" si="14"/>
        <v>0</v>
      </c>
      <c r="DI603" s="1707"/>
      <c r="DJ603" s="1707"/>
      <c r="DK603" s="1707"/>
      <c r="DL603" s="1707"/>
      <c r="DM603" s="1707">
        <f t="shared" si="15"/>
        <v>0</v>
      </c>
      <c r="DN603" s="1707"/>
      <c r="DO603" s="1707"/>
      <c r="DP603" s="1707"/>
      <c r="DQ603" s="1707"/>
      <c r="DR603" s="1707">
        <f t="shared" si="16"/>
        <v>0</v>
      </c>
      <c r="DS603" s="1707"/>
      <c r="DT603" s="1707"/>
      <c r="DU603" s="1707"/>
      <c r="DV603" s="1707"/>
      <c r="DX603" s="1427" t="str">
        <f t="shared" si="17"/>
        <v xml:space="preserve"> </v>
      </c>
      <c r="DY603" s="1852"/>
      <c r="DZ603" s="1852"/>
      <c r="EA603" s="1852"/>
      <c r="EB603" s="1428"/>
      <c r="EC603" s="1427" t="str">
        <f t="shared" si="18"/>
        <v xml:space="preserve"> </v>
      </c>
      <c r="ED603" s="1852"/>
      <c r="EE603" s="1852"/>
      <c r="EF603" s="1852"/>
      <c r="EG603" s="1428"/>
      <c r="EH603" s="1427">
        <f t="shared" si="19"/>
        <v>1047</v>
      </c>
      <c r="EI603" s="1852"/>
      <c r="EJ603" s="1852"/>
      <c r="EK603" s="1852"/>
      <c r="EL603" s="1428"/>
      <c r="EM603" s="1427" t="str">
        <f t="shared" si="20"/>
        <v xml:space="preserve"> </v>
      </c>
      <c r="EN603" s="1852"/>
      <c r="EO603" s="1852"/>
      <c r="EP603" s="1852"/>
      <c r="EQ603" s="1428"/>
      <c r="ER603" s="1427" t="str">
        <f t="shared" si="21"/>
        <v xml:space="preserve"> </v>
      </c>
      <c r="ES603" s="1852"/>
      <c r="ET603" s="1852"/>
      <c r="EU603" s="1852"/>
      <c r="EV603" s="1428"/>
      <c r="EW603" s="1427" t="str">
        <f t="shared" si="22"/>
        <v xml:space="preserve"> </v>
      </c>
      <c r="EX603" s="1852"/>
      <c r="EY603" s="1852"/>
      <c r="EZ603" s="1852"/>
      <c r="FA603" s="1428"/>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7">
        <f t="shared" si="1"/>
        <v>0</v>
      </c>
      <c r="BF604" s="1428"/>
      <c r="BG604" s="1473">
        <f t="shared" si="2"/>
        <v>0</v>
      </c>
      <c r="BH604" s="1474"/>
      <c r="BI604" s="1427">
        <f t="shared" si="3"/>
        <v>1</v>
      </c>
      <c r="BJ604" s="1428"/>
      <c r="BK604" s="1473">
        <f t="shared" si="4"/>
        <v>7</v>
      </c>
      <c r="BL604" s="1474"/>
      <c r="BM604" s="3"/>
      <c r="BN604" s="1475">
        <f t="shared" si="5"/>
        <v>0</v>
      </c>
      <c r="BO604" s="1476"/>
      <c r="BP604" s="1476"/>
      <c r="BQ604" s="1476"/>
      <c r="BR604" s="1477"/>
      <c r="BS604" s="1409">
        <f t="shared" si="6"/>
        <v>0</v>
      </c>
      <c r="BT604" s="1409"/>
      <c r="BU604" s="1409"/>
      <c r="BV604" s="1409"/>
      <c r="BW604" s="1409"/>
      <c r="BX604" s="1409">
        <f t="shared" si="7"/>
        <v>0</v>
      </c>
      <c r="BY604" s="1409"/>
      <c r="BZ604" s="1409"/>
      <c r="CA604" s="1409"/>
      <c r="CB604" s="1409"/>
      <c r="CC604" s="1409">
        <f t="shared" si="8"/>
        <v>7</v>
      </c>
      <c r="CD604" s="1409"/>
      <c r="CE604" s="1409"/>
      <c r="CF604" s="1409"/>
      <c r="CG604" s="1409"/>
      <c r="CH604" s="1409">
        <f t="shared" si="9"/>
        <v>0</v>
      </c>
      <c r="CI604" s="1409"/>
      <c r="CJ604" s="1409"/>
      <c r="CK604" s="1409"/>
      <c r="CL604" s="1409"/>
      <c r="CM604" s="1409">
        <f t="shared" si="10"/>
        <v>0</v>
      </c>
      <c r="CN604" s="1409"/>
      <c r="CO604" s="1409"/>
      <c r="CP604" s="1409"/>
      <c r="CQ604" s="1409"/>
      <c r="CR604" s="6"/>
      <c r="CS604" s="1707">
        <f t="shared" si="11"/>
        <v>0</v>
      </c>
      <c r="CT604" s="1707"/>
      <c r="CU604" s="1707"/>
      <c r="CV604" s="1707"/>
      <c r="CW604" s="1707"/>
      <c r="CX604" s="1707">
        <f t="shared" si="12"/>
        <v>0</v>
      </c>
      <c r="CY604" s="1707"/>
      <c r="CZ604" s="1707"/>
      <c r="DA604" s="1707"/>
      <c r="DB604" s="1707"/>
      <c r="DC604" s="1707">
        <f t="shared" si="13"/>
        <v>0</v>
      </c>
      <c r="DD604" s="1707"/>
      <c r="DE604" s="1707"/>
      <c r="DF604" s="1707"/>
      <c r="DG604" s="1707"/>
      <c r="DH604" s="1707">
        <f t="shared" si="14"/>
        <v>7</v>
      </c>
      <c r="DI604" s="1707"/>
      <c r="DJ604" s="1707"/>
      <c r="DK604" s="1707"/>
      <c r="DL604" s="1707"/>
      <c r="DM604" s="1707">
        <f t="shared" si="15"/>
        <v>0</v>
      </c>
      <c r="DN604" s="1707"/>
      <c r="DO604" s="1707"/>
      <c r="DP604" s="1707"/>
      <c r="DQ604" s="1707"/>
      <c r="DR604" s="1707">
        <f t="shared" si="16"/>
        <v>0</v>
      </c>
      <c r="DS604" s="1707"/>
      <c r="DT604" s="1707"/>
      <c r="DU604" s="1707"/>
      <c r="DV604" s="1707"/>
      <c r="DX604" s="1427" t="str">
        <f t="shared" si="17"/>
        <v xml:space="preserve"> </v>
      </c>
      <c r="DY604" s="1852"/>
      <c r="DZ604" s="1852"/>
      <c r="EA604" s="1852"/>
      <c r="EB604" s="1428"/>
      <c r="EC604" s="1427" t="str">
        <f t="shared" si="18"/>
        <v xml:space="preserve"> </v>
      </c>
      <c r="ED604" s="1852"/>
      <c r="EE604" s="1852"/>
      <c r="EF604" s="1852"/>
      <c r="EG604" s="1428"/>
      <c r="EH604" s="1427" t="str">
        <f t="shared" si="19"/>
        <v xml:space="preserve"> </v>
      </c>
      <c r="EI604" s="1852"/>
      <c r="EJ604" s="1852"/>
      <c r="EK604" s="1852"/>
      <c r="EL604" s="1428"/>
      <c r="EM604" s="1427">
        <f t="shared" si="20"/>
        <v>601</v>
      </c>
      <c r="EN604" s="1852"/>
      <c r="EO604" s="1852"/>
      <c r="EP604" s="1852"/>
      <c r="EQ604" s="1428"/>
      <c r="ER604" s="1427" t="str">
        <f t="shared" si="21"/>
        <v xml:space="preserve"> </v>
      </c>
      <c r="ES604" s="1852"/>
      <c r="ET604" s="1852"/>
      <c r="EU604" s="1852"/>
      <c r="EV604" s="1428"/>
      <c r="EW604" s="1427" t="str">
        <f t="shared" si="22"/>
        <v xml:space="preserve"> </v>
      </c>
      <c r="EX604" s="1852"/>
      <c r="EY604" s="1852"/>
      <c r="EZ604" s="1852"/>
      <c r="FA604" s="1428"/>
    </row>
    <row r="605" spans="1:157" s="4" customFormat="1" ht="12.95" customHeight="1">
      <c r="A605" s="55" t="s">
        <v>364</v>
      </c>
      <c r="B605" t="s">
        <v>473</v>
      </c>
      <c r="C605"/>
      <c r="D605"/>
      <c r="E605"/>
      <c r="F605"/>
      <c r="G605" s="1514">
        <f>C560</f>
        <v>0</v>
      </c>
      <c r="H605" s="1514"/>
      <c r="I605" s="1514"/>
      <c r="J605" s="1514"/>
      <c r="K605" s="1514"/>
      <c r="L605" s="1514"/>
      <c r="M605" s="1514"/>
      <c r="N605" s="1514"/>
      <c r="O605" s="1514"/>
      <c r="P605" s="1514"/>
      <c r="Q605" s="1514"/>
      <c r="R605" s="1514"/>
      <c r="S605"/>
      <c r="T605" s="55" t="s">
        <v>365</v>
      </c>
      <c r="U605" t="s">
        <v>473</v>
      </c>
      <c r="V605"/>
      <c r="W605"/>
      <c r="X605"/>
      <c r="Y605"/>
      <c r="Z605" s="1514">
        <f>C561</f>
        <v>0</v>
      </c>
      <c r="AA605" s="1514"/>
      <c r="AB605" s="1514"/>
      <c r="AC605" s="1514"/>
      <c r="AD605" s="1514"/>
      <c r="AE605" s="1514"/>
      <c r="AF605" s="1514"/>
      <c r="AG605" s="1514"/>
      <c r="AH605" s="1514"/>
      <c r="AI605" s="1514"/>
      <c r="AJ605" s="1514"/>
      <c r="AK605" s="1514"/>
      <c r="AL605"/>
      <c r="AM605"/>
      <c r="AN605"/>
      <c r="AO605"/>
      <c r="AP605"/>
      <c r="AQ605"/>
      <c r="AR605"/>
      <c r="AS605"/>
      <c r="AT605"/>
      <c r="AU605"/>
      <c r="AV605"/>
      <c r="AW605"/>
      <c r="AX605"/>
      <c r="AY605"/>
      <c r="AZ605" s="3"/>
      <c r="BA605" s="3"/>
      <c r="BB605" s="3"/>
      <c r="BC605" s="3"/>
      <c r="BD605" s="3"/>
      <c r="BE605" s="1427">
        <f t="shared" si="1"/>
        <v>1</v>
      </c>
      <c r="BF605" s="1428"/>
      <c r="BG605" s="1473">
        <f t="shared" si="2"/>
        <v>16</v>
      </c>
      <c r="BH605" s="1474"/>
      <c r="BI605" s="1427">
        <f t="shared" si="3"/>
        <v>0</v>
      </c>
      <c r="BJ605" s="1428"/>
      <c r="BK605" s="1473">
        <f t="shared" si="4"/>
        <v>0</v>
      </c>
      <c r="BL605" s="1474"/>
      <c r="BM605" s="3"/>
      <c r="BN605" s="1475">
        <f t="shared" si="5"/>
        <v>0</v>
      </c>
      <c r="BO605" s="1476"/>
      <c r="BP605" s="1476"/>
      <c r="BQ605" s="1476"/>
      <c r="BR605" s="1477"/>
      <c r="BS605" s="1409">
        <f t="shared" si="6"/>
        <v>0</v>
      </c>
      <c r="BT605" s="1409"/>
      <c r="BU605" s="1409"/>
      <c r="BV605" s="1409"/>
      <c r="BW605" s="1409"/>
      <c r="BX605" s="1409">
        <f t="shared" si="7"/>
        <v>0</v>
      </c>
      <c r="BY605" s="1409"/>
      <c r="BZ605" s="1409"/>
      <c r="CA605" s="1409"/>
      <c r="CB605" s="1409"/>
      <c r="CC605" s="1409">
        <f t="shared" si="8"/>
        <v>16</v>
      </c>
      <c r="CD605" s="1409"/>
      <c r="CE605" s="1409"/>
      <c r="CF605" s="1409"/>
      <c r="CG605" s="1409"/>
      <c r="CH605" s="1409">
        <f t="shared" si="9"/>
        <v>0</v>
      </c>
      <c r="CI605" s="1409"/>
      <c r="CJ605" s="1409"/>
      <c r="CK605" s="1409"/>
      <c r="CL605" s="1409"/>
      <c r="CM605" s="1409">
        <f t="shared" si="10"/>
        <v>0</v>
      </c>
      <c r="CN605" s="1409"/>
      <c r="CO605" s="1409"/>
      <c r="CP605" s="1409"/>
      <c r="CQ605" s="1409"/>
      <c r="CR605" s="6"/>
      <c r="CS605" s="1707">
        <f t="shared" si="11"/>
        <v>0</v>
      </c>
      <c r="CT605" s="1707"/>
      <c r="CU605" s="1707"/>
      <c r="CV605" s="1707"/>
      <c r="CW605" s="1707"/>
      <c r="CX605" s="1707">
        <f t="shared" si="12"/>
        <v>0</v>
      </c>
      <c r="CY605" s="1707"/>
      <c r="CZ605" s="1707"/>
      <c r="DA605" s="1707"/>
      <c r="DB605" s="1707"/>
      <c r="DC605" s="1707">
        <f t="shared" si="13"/>
        <v>0</v>
      </c>
      <c r="DD605" s="1707"/>
      <c r="DE605" s="1707"/>
      <c r="DF605" s="1707"/>
      <c r="DG605" s="1707"/>
      <c r="DH605" s="1707">
        <f t="shared" si="14"/>
        <v>0</v>
      </c>
      <c r="DI605" s="1707"/>
      <c r="DJ605" s="1707"/>
      <c r="DK605" s="1707"/>
      <c r="DL605" s="1707"/>
      <c r="DM605" s="1707">
        <f t="shared" si="15"/>
        <v>0</v>
      </c>
      <c r="DN605" s="1707"/>
      <c r="DO605" s="1707"/>
      <c r="DP605" s="1707"/>
      <c r="DQ605" s="1707"/>
      <c r="DR605" s="1707">
        <f t="shared" si="16"/>
        <v>0</v>
      </c>
      <c r="DS605" s="1707"/>
      <c r="DT605" s="1707"/>
      <c r="DU605" s="1707"/>
      <c r="DV605" s="1707"/>
      <c r="DX605" s="1427" t="str">
        <f t="shared" si="17"/>
        <v xml:space="preserve"> </v>
      </c>
      <c r="DY605" s="1852"/>
      <c r="DZ605" s="1852"/>
      <c r="EA605" s="1852"/>
      <c r="EB605" s="1428"/>
      <c r="EC605" s="1427" t="str">
        <f t="shared" si="18"/>
        <v xml:space="preserve"> </v>
      </c>
      <c r="ED605" s="1852"/>
      <c r="EE605" s="1852"/>
      <c r="EF605" s="1852"/>
      <c r="EG605" s="1428"/>
      <c r="EH605" s="1427" t="str">
        <f t="shared" si="19"/>
        <v xml:space="preserve"> </v>
      </c>
      <c r="EI605" s="1852"/>
      <c r="EJ605" s="1852"/>
      <c r="EK605" s="1852"/>
      <c r="EL605" s="1428"/>
      <c r="EM605" s="1427">
        <f t="shared" si="20"/>
        <v>804</v>
      </c>
      <c r="EN605" s="1852"/>
      <c r="EO605" s="1852"/>
      <c r="EP605" s="1852"/>
      <c r="EQ605" s="1428"/>
      <c r="ER605" s="1427" t="str">
        <f t="shared" si="21"/>
        <v xml:space="preserve"> </v>
      </c>
      <c r="ES605" s="1852"/>
      <c r="ET605" s="1852"/>
      <c r="EU605" s="1852"/>
      <c r="EV605" s="1428"/>
      <c r="EW605" s="1427" t="str">
        <f t="shared" si="22"/>
        <v xml:space="preserve"> </v>
      </c>
      <c r="EX605" s="1852"/>
      <c r="EY605" s="1852"/>
      <c r="EZ605" s="1852"/>
      <c r="FA605" s="1428"/>
    </row>
    <row r="606" spans="1:157" s="4" customFormat="1" ht="12.95" customHeight="1">
      <c r="A606"/>
      <c r="B606" t="s">
        <v>86</v>
      </c>
      <c r="C606"/>
      <c r="D606"/>
      <c r="E606"/>
      <c r="F606"/>
      <c r="G606" s="1408"/>
      <c r="H606" s="1408"/>
      <c r="I606" s="1408"/>
      <c r="J606" s="1408"/>
      <c r="K606" s="1408"/>
      <c r="L606" s="1408"/>
      <c r="M606" s="1408"/>
      <c r="N606" s="1408"/>
      <c r="O606" s="1408"/>
      <c r="P606" s="1408"/>
      <c r="Q606" s="1408"/>
      <c r="R606" s="1408"/>
      <c r="S606"/>
      <c r="T606"/>
      <c r="U606" t="s">
        <v>86</v>
      </c>
      <c r="V606"/>
      <c r="W606"/>
      <c r="X606"/>
      <c r="Y606"/>
      <c r="Z606" s="1408"/>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c r="BD606" s="3"/>
      <c r="BE606" s="1427">
        <f t="shared" si="1"/>
        <v>1</v>
      </c>
      <c r="BF606" s="1428"/>
      <c r="BG606" s="1473">
        <f t="shared" si="2"/>
        <v>8</v>
      </c>
      <c r="BH606" s="1474"/>
      <c r="BI606" s="1427">
        <f t="shared" si="3"/>
        <v>0</v>
      </c>
      <c r="BJ606" s="1428"/>
      <c r="BK606" s="1473">
        <f t="shared" si="4"/>
        <v>0</v>
      </c>
      <c r="BL606" s="1474"/>
      <c r="BM606" s="3"/>
      <c r="BN606" s="1475">
        <f t="shared" si="5"/>
        <v>0</v>
      </c>
      <c r="BO606" s="1476"/>
      <c r="BP606" s="1476"/>
      <c r="BQ606" s="1476"/>
      <c r="BR606" s="1477"/>
      <c r="BS606" s="1409">
        <f t="shared" si="6"/>
        <v>0</v>
      </c>
      <c r="BT606" s="1409"/>
      <c r="BU606" s="1409"/>
      <c r="BV606" s="1409"/>
      <c r="BW606" s="1409"/>
      <c r="BX606" s="1409">
        <f t="shared" si="7"/>
        <v>0</v>
      </c>
      <c r="BY606" s="1409"/>
      <c r="BZ606" s="1409"/>
      <c r="CA606" s="1409"/>
      <c r="CB606" s="1409"/>
      <c r="CC606" s="1409">
        <f t="shared" si="8"/>
        <v>8</v>
      </c>
      <c r="CD606" s="1409"/>
      <c r="CE606" s="1409"/>
      <c r="CF606" s="1409"/>
      <c r="CG606" s="1409"/>
      <c r="CH606" s="1409">
        <f t="shared" si="9"/>
        <v>0</v>
      </c>
      <c r="CI606" s="1409"/>
      <c r="CJ606" s="1409"/>
      <c r="CK606" s="1409"/>
      <c r="CL606" s="1409"/>
      <c r="CM606" s="1409">
        <f t="shared" si="10"/>
        <v>0</v>
      </c>
      <c r="CN606" s="1409"/>
      <c r="CO606" s="1409"/>
      <c r="CP606" s="1409"/>
      <c r="CQ606" s="1409"/>
      <c r="CR606" s="6"/>
      <c r="CS606" s="1707">
        <f t="shared" si="11"/>
        <v>0</v>
      </c>
      <c r="CT606" s="1707"/>
      <c r="CU606" s="1707"/>
      <c r="CV606" s="1707"/>
      <c r="CW606" s="1707"/>
      <c r="CX606" s="1707">
        <f t="shared" si="12"/>
        <v>0</v>
      </c>
      <c r="CY606" s="1707"/>
      <c r="CZ606" s="1707"/>
      <c r="DA606" s="1707"/>
      <c r="DB606" s="1707"/>
      <c r="DC606" s="1707">
        <f t="shared" si="13"/>
        <v>0</v>
      </c>
      <c r="DD606" s="1707"/>
      <c r="DE606" s="1707"/>
      <c r="DF606" s="1707"/>
      <c r="DG606" s="1707"/>
      <c r="DH606" s="1707">
        <f t="shared" si="14"/>
        <v>0</v>
      </c>
      <c r="DI606" s="1707"/>
      <c r="DJ606" s="1707"/>
      <c r="DK606" s="1707"/>
      <c r="DL606" s="1707"/>
      <c r="DM606" s="1707">
        <f t="shared" si="15"/>
        <v>0</v>
      </c>
      <c r="DN606" s="1707"/>
      <c r="DO606" s="1707"/>
      <c r="DP606" s="1707"/>
      <c r="DQ606" s="1707"/>
      <c r="DR606" s="1707">
        <f t="shared" si="16"/>
        <v>0</v>
      </c>
      <c r="DS606" s="1707"/>
      <c r="DT606" s="1707"/>
      <c r="DU606" s="1707"/>
      <c r="DV606" s="1707"/>
      <c r="DX606" s="1427" t="str">
        <f t="shared" si="17"/>
        <v xml:space="preserve"> </v>
      </c>
      <c r="DY606" s="1852"/>
      <c r="DZ606" s="1852"/>
      <c r="EA606" s="1852"/>
      <c r="EB606" s="1428"/>
      <c r="EC606" s="1427" t="str">
        <f t="shared" si="18"/>
        <v xml:space="preserve"> </v>
      </c>
      <c r="ED606" s="1852"/>
      <c r="EE606" s="1852"/>
      <c r="EF606" s="1852"/>
      <c r="EG606" s="1428"/>
      <c r="EH606" s="1427" t="str">
        <f t="shared" si="19"/>
        <v xml:space="preserve"> </v>
      </c>
      <c r="EI606" s="1852"/>
      <c r="EJ606" s="1852"/>
      <c r="EK606" s="1852"/>
      <c r="EL606" s="1428"/>
      <c r="EM606" s="1427">
        <f t="shared" si="20"/>
        <v>1007</v>
      </c>
      <c r="EN606" s="1852"/>
      <c r="EO606" s="1852"/>
      <c r="EP606" s="1852"/>
      <c r="EQ606" s="1428"/>
      <c r="ER606" s="1427" t="str">
        <f t="shared" si="21"/>
        <v xml:space="preserve"> </v>
      </c>
      <c r="ES606" s="1852"/>
      <c r="ET606" s="1852"/>
      <c r="EU606" s="1852"/>
      <c r="EV606" s="1428"/>
      <c r="EW606" s="1427" t="str">
        <f t="shared" si="22"/>
        <v xml:space="preserve"> </v>
      </c>
      <c r="EX606" s="1852"/>
      <c r="EY606" s="1852"/>
      <c r="EZ606" s="1852"/>
      <c r="FA606" s="1428"/>
    </row>
    <row r="607" spans="1:157" ht="12.95" customHeight="1">
      <c r="B607" t="s">
        <v>590</v>
      </c>
      <c r="G607" s="1408"/>
      <c r="H607" s="1408"/>
      <c r="I607" s="1408"/>
      <c r="J607" s="1408"/>
      <c r="K607" s="1408"/>
      <c r="L607" s="1408"/>
      <c r="M607" s="1408"/>
      <c r="N607" s="1408"/>
      <c r="O607" s="1408"/>
      <c r="P607" s="1408"/>
      <c r="Q607" s="1408"/>
      <c r="R607" s="1408"/>
      <c r="U607" t="s">
        <v>590</v>
      </c>
      <c r="Z607" s="1393"/>
      <c r="AA607" s="1393"/>
      <c r="AB607" s="1393"/>
      <c r="AC607" s="1393"/>
      <c r="AD607" s="1393"/>
      <c r="AE607" s="1393"/>
      <c r="AF607" s="1393"/>
      <c r="AG607" s="1393"/>
      <c r="AH607" s="1393"/>
      <c r="AI607" s="1393"/>
      <c r="AJ607" s="1393"/>
      <c r="AK607" s="1393"/>
      <c r="AZ607" s="3"/>
      <c r="BA607" s="3"/>
      <c r="BB607" s="3"/>
      <c r="BC607" s="3"/>
      <c r="BD607" s="3"/>
      <c r="BE607" s="1427">
        <f t="shared" si="1"/>
        <v>0</v>
      </c>
      <c r="BF607" s="1428"/>
      <c r="BG607" s="1473">
        <f t="shared" si="2"/>
        <v>0</v>
      </c>
      <c r="BH607" s="1474"/>
      <c r="BI607" s="1427">
        <f t="shared" si="3"/>
        <v>0</v>
      </c>
      <c r="BJ607" s="1428"/>
      <c r="BK607" s="1473">
        <f t="shared" si="4"/>
        <v>0</v>
      </c>
      <c r="BL607" s="1474"/>
      <c r="BM607" s="3"/>
      <c r="BN607" s="1475">
        <f t="shared" si="5"/>
        <v>0</v>
      </c>
      <c r="BO607" s="1476"/>
      <c r="BP607" s="1476"/>
      <c r="BQ607" s="1476"/>
      <c r="BR607" s="1477"/>
      <c r="BS607" s="1409">
        <f t="shared" si="6"/>
        <v>0</v>
      </c>
      <c r="BT607" s="1409"/>
      <c r="BU607" s="1409"/>
      <c r="BV607" s="1409"/>
      <c r="BW607" s="1409"/>
      <c r="BX607" s="1409">
        <f t="shared" si="7"/>
        <v>0</v>
      </c>
      <c r="BY607" s="1409"/>
      <c r="BZ607" s="1409"/>
      <c r="CA607" s="1409"/>
      <c r="CB607" s="1409"/>
      <c r="CC607" s="1409">
        <f t="shared" si="8"/>
        <v>1</v>
      </c>
      <c r="CD607" s="1409"/>
      <c r="CE607" s="1409"/>
      <c r="CF607" s="1409"/>
      <c r="CG607" s="1409"/>
      <c r="CH607" s="1409">
        <f t="shared" si="9"/>
        <v>0</v>
      </c>
      <c r="CI607" s="1409"/>
      <c r="CJ607" s="1409"/>
      <c r="CK607" s="1409"/>
      <c r="CL607" s="1409"/>
      <c r="CM607" s="1409">
        <f t="shared" si="10"/>
        <v>0</v>
      </c>
      <c r="CN607" s="1409"/>
      <c r="CO607" s="1409"/>
      <c r="CP607" s="1409"/>
      <c r="CQ607" s="1409"/>
      <c r="CR607" s="6"/>
      <c r="CS607" s="1707">
        <f t="shared" si="11"/>
        <v>0</v>
      </c>
      <c r="CT607" s="1707"/>
      <c r="CU607" s="1707"/>
      <c r="CV607" s="1707"/>
      <c r="CW607" s="1707"/>
      <c r="CX607" s="1707">
        <f t="shared" si="12"/>
        <v>0</v>
      </c>
      <c r="CY607" s="1707"/>
      <c r="CZ607" s="1707"/>
      <c r="DA607" s="1707"/>
      <c r="DB607" s="1707"/>
      <c r="DC607" s="1707">
        <f t="shared" si="13"/>
        <v>0</v>
      </c>
      <c r="DD607" s="1707"/>
      <c r="DE607" s="1707"/>
      <c r="DF607" s="1707"/>
      <c r="DG607" s="1707"/>
      <c r="DH607" s="1707">
        <f t="shared" si="14"/>
        <v>0</v>
      </c>
      <c r="DI607" s="1707"/>
      <c r="DJ607" s="1707"/>
      <c r="DK607" s="1707"/>
      <c r="DL607" s="1707"/>
      <c r="DM607" s="1707">
        <f t="shared" si="15"/>
        <v>0</v>
      </c>
      <c r="DN607" s="1707"/>
      <c r="DO607" s="1707"/>
      <c r="DP607" s="1707"/>
      <c r="DQ607" s="1707"/>
      <c r="DR607" s="1707">
        <f t="shared" si="16"/>
        <v>0</v>
      </c>
      <c r="DS607" s="1707"/>
      <c r="DT607" s="1707"/>
      <c r="DU607" s="1707"/>
      <c r="DV607" s="1707"/>
      <c r="DX607" s="1427" t="str">
        <f t="shared" si="17"/>
        <v xml:space="preserve"> </v>
      </c>
      <c r="DY607" s="1852"/>
      <c r="DZ607" s="1852"/>
      <c r="EA607" s="1852"/>
      <c r="EB607" s="1428"/>
      <c r="EC607" s="1427" t="str">
        <f t="shared" si="18"/>
        <v xml:space="preserve"> </v>
      </c>
      <c r="ED607" s="1852"/>
      <c r="EE607" s="1852"/>
      <c r="EF607" s="1852"/>
      <c r="EG607" s="1428"/>
      <c r="EH607" s="1427" t="str">
        <f t="shared" si="19"/>
        <v xml:space="preserve"> </v>
      </c>
      <c r="EI607" s="1852"/>
      <c r="EJ607" s="1852"/>
      <c r="EK607" s="1852"/>
      <c r="EL607" s="1428"/>
      <c r="EM607" s="1427">
        <f t="shared" si="20"/>
        <v>1209</v>
      </c>
      <c r="EN607" s="1852"/>
      <c r="EO607" s="1852"/>
      <c r="EP607" s="1852"/>
      <c r="EQ607" s="1428"/>
      <c r="ER607" s="1427" t="str">
        <f t="shared" si="21"/>
        <v xml:space="preserve"> </v>
      </c>
      <c r="ES607" s="1852"/>
      <c r="ET607" s="1852"/>
      <c r="EU607" s="1852"/>
      <c r="EV607" s="1428"/>
      <c r="EW607" s="1427" t="str">
        <f t="shared" si="22"/>
        <v xml:space="preserve"> </v>
      </c>
      <c r="EX607" s="1852"/>
      <c r="EY607" s="1852"/>
      <c r="EZ607" s="1852"/>
      <c r="FA607" s="1428"/>
    </row>
    <row r="608" spans="1:157" ht="12.95" customHeight="1">
      <c r="B608" t="s">
        <v>17</v>
      </c>
      <c r="G608" s="1408"/>
      <c r="H608" s="1408"/>
      <c r="I608" s="1408"/>
      <c r="J608" s="1408"/>
      <c r="K608" s="1408"/>
      <c r="L608" s="1408"/>
      <c r="M608" s="1408"/>
      <c r="N608" s="1408"/>
      <c r="O608" s="1408"/>
      <c r="P608" s="1408"/>
      <c r="Q608" s="1408"/>
      <c r="R608" s="1408"/>
      <c r="U608" t="s">
        <v>17</v>
      </c>
      <c r="Z608" s="1393"/>
      <c r="AA608" s="1393"/>
      <c r="AB608" s="1393"/>
      <c r="AC608" s="1393"/>
      <c r="AD608" s="1393"/>
      <c r="AE608" s="1393"/>
      <c r="AF608" s="1393"/>
      <c r="AG608" s="1393"/>
      <c r="AH608" s="1393"/>
      <c r="AI608" s="1393"/>
      <c r="AJ608" s="1393"/>
      <c r="AK608" s="1393"/>
      <c r="AZ608" s="3"/>
      <c r="BA608" s="3"/>
      <c r="BB608" s="3"/>
      <c r="BC608" s="3"/>
      <c r="BD608" s="3"/>
      <c r="BE608" s="1427">
        <f t="shared" si="1"/>
        <v>0</v>
      </c>
      <c r="BF608" s="1428"/>
      <c r="BG608" s="1473">
        <f t="shared" si="2"/>
        <v>0</v>
      </c>
      <c r="BH608" s="1474"/>
      <c r="BI608" s="1427">
        <f t="shared" si="3"/>
        <v>1</v>
      </c>
      <c r="BJ608" s="1428"/>
      <c r="BK608" s="1473">
        <f t="shared" si="4"/>
        <v>2</v>
      </c>
      <c r="BL608" s="1474"/>
      <c r="BM608" s="3"/>
      <c r="BN608" s="1475">
        <f t="shared" si="5"/>
        <v>0</v>
      </c>
      <c r="BO608" s="1476"/>
      <c r="BP608" s="1476"/>
      <c r="BQ608" s="1476"/>
      <c r="BR608" s="1477"/>
      <c r="BS608" s="1409">
        <f t="shared" si="6"/>
        <v>0</v>
      </c>
      <c r="BT608" s="1409"/>
      <c r="BU608" s="1409"/>
      <c r="BV608" s="1409"/>
      <c r="BW608" s="1409"/>
      <c r="BX608" s="1409">
        <f t="shared" si="7"/>
        <v>0</v>
      </c>
      <c r="BY608" s="1409"/>
      <c r="BZ608" s="1409"/>
      <c r="CA608" s="1409"/>
      <c r="CB608" s="1409"/>
      <c r="CC608" s="1409">
        <f t="shared" si="8"/>
        <v>0</v>
      </c>
      <c r="CD608" s="1409"/>
      <c r="CE608" s="1409"/>
      <c r="CF608" s="1409"/>
      <c r="CG608" s="1409"/>
      <c r="CH608" s="1409">
        <f t="shared" si="9"/>
        <v>2</v>
      </c>
      <c r="CI608" s="1409"/>
      <c r="CJ608" s="1409"/>
      <c r="CK608" s="1409"/>
      <c r="CL608" s="1409"/>
      <c r="CM608" s="1409">
        <f t="shared" si="10"/>
        <v>0</v>
      </c>
      <c r="CN608" s="1409"/>
      <c r="CO608" s="1409"/>
      <c r="CP608" s="1409"/>
      <c r="CQ608" s="1409"/>
      <c r="CR608" s="6"/>
      <c r="CS608" s="1707">
        <f t="shared" si="11"/>
        <v>0</v>
      </c>
      <c r="CT608" s="1707"/>
      <c r="CU608" s="1707"/>
      <c r="CV608" s="1707"/>
      <c r="CW608" s="1707"/>
      <c r="CX608" s="1707">
        <f t="shared" si="12"/>
        <v>0</v>
      </c>
      <c r="CY608" s="1707"/>
      <c r="CZ608" s="1707"/>
      <c r="DA608" s="1707"/>
      <c r="DB608" s="1707"/>
      <c r="DC608" s="1707">
        <f t="shared" si="13"/>
        <v>0</v>
      </c>
      <c r="DD608" s="1707"/>
      <c r="DE608" s="1707"/>
      <c r="DF608" s="1707"/>
      <c r="DG608" s="1707"/>
      <c r="DH608" s="1707">
        <f t="shared" si="14"/>
        <v>0</v>
      </c>
      <c r="DI608" s="1707"/>
      <c r="DJ608" s="1707"/>
      <c r="DK608" s="1707"/>
      <c r="DL608" s="1707"/>
      <c r="DM608" s="1707">
        <f t="shared" si="15"/>
        <v>2</v>
      </c>
      <c r="DN608" s="1707"/>
      <c r="DO608" s="1707"/>
      <c r="DP608" s="1707"/>
      <c r="DQ608" s="1707"/>
      <c r="DR608" s="1707">
        <f t="shared" si="16"/>
        <v>0</v>
      </c>
      <c r="DS608" s="1707"/>
      <c r="DT608" s="1707"/>
      <c r="DU608" s="1707"/>
      <c r="DV608" s="1707"/>
      <c r="DX608" s="1427" t="str">
        <f t="shared" si="17"/>
        <v xml:space="preserve"> </v>
      </c>
      <c r="DY608" s="1852"/>
      <c r="DZ608" s="1852"/>
      <c r="EA608" s="1852"/>
      <c r="EB608" s="1428"/>
      <c r="EC608" s="1427" t="str">
        <f t="shared" si="18"/>
        <v xml:space="preserve"> </v>
      </c>
      <c r="ED608" s="1852"/>
      <c r="EE608" s="1852"/>
      <c r="EF608" s="1852"/>
      <c r="EG608" s="1428"/>
      <c r="EH608" s="1427" t="str">
        <f t="shared" si="19"/>
        <v xml:space="preserve"> </v>
      </c>
      <c r="EI608" s="1852"/>
      <c r="EJ608" s="1852"/>
      <c r="EK608" s="1852"/>
      <c r="EL608" s="1428"/>
      <c r="EM608" s="1427" t="str">
        <f t="shared" si="20"/>
        <v xml:space="preserve"> </v>
      </c>
      <c r="EN608" s="1852"/>
      <c r="EO608" s="1852"/>
      <c r="EP608" s="1852"/>
      <c r="EQ608" s="1428"/>
      <c r="ER608" s="1427">
        <f t="shared" si="21"/>
        <v>672</v>
      </c>
      <c r="ES608" s="1852"/>
      <c r="ET608" s="1852"/>
      <c r="EU608" s="1852"/>
      <c r="EV608" s="1428"/>
      <c r="EW608" s="1427" t="str">
        <f t="shared" si="22"/>
        <v xml:space="preserve"> </v>
      </c>
      <c r="EX608" s="1852"/>
      <c r="EY608" s="1852"/>
      <c r="EZ608" s="1852"/>
      <c r="FA608" s="1428"/>
    </row>
    <row r="609" spans="1:157" ht="12.95" customHeight="1">
      <c r="B609" t="s">
        <v>318</v>
      </c>
      <c r="G609" s="1447"/>
      <c r="H609" s="1447"/>
      <c r="I609" s="1447"/>
      <c r="J609" s="1447"/>
      <c r="K609" s="1447"/>
      <c r="L609" s="1447"/>
      <c r="O609" s="33" t="s">
        <v>208</v>
      </c>
      <c r="P609" s="1433"/>
      <c r="Q609" s="1433"/>
      <c r="R609" s="1433"/>
      <c r="U609" t="s">
        <v>318</v>
      </c>
      <c r="Z609" s="1447"/>
      <c r="AA609" s="1447"/>
      <c r="AB609" s="1447"/>
      <c r="AC609" s="1447"/>
      <c r="AD609" s="1447"/>
      <c r="AE609" s="1447"/>
      <c r="AH609" s="33" t="s">
        <v>208</v>
      </c>
      <c r="AI609" s="1433"/>
      <c r="AJ609" s="1433"/>
      <c r="AK609" s="1433"/>
      <c r="AZ609" s="3"/>
      <c r="BA609" s="3"/>
      <c r="BB609" s="3"/>
      <c r="BC609" s="3"/>
      <c r="BD609" s="3"/>
      <c r="BE609" s="1427">
        <f t="shared" si="1"/>
        <v>1</v>
      </c>
      <c r="BF609" s="1428"/>
      <c r="BG609" s="1473">
        <f t="shared" si="2"/>
        <v>6</v>
      </c>
      <c r="BH609" s="1474"/>
      <c r="BI609" s="1427">
        <f t="shared" si="3"/>
        <v>0</v>
      </c>
      <c r="BJ609" s="1428"/>
      <c r="BK609" s="1473">
        <f t="shared" si="4"/>
        <v>0</v>
      </c>
      <c r="BL609" s="1474"/>
      <c r="BM609" s="3"/>
      <c r="BN609" s="1475">
        <f t="shared" si="5"/>
        <v>0</v>
      </c>
      <c r="BO609" s="1476"/>
      <c r="BP609" s="1476"/>
      <c r="BQ609" s="1476"/>
      <c r="BR609" s="1477"/>
      <c r="BS609" s="1409">
        <f t="shared" si="6"/>
        <v>0</v>
      </c>
      <c r="BT609" s="1409"/>
      <c r="BU609" s="1409"/>
      <c r="BV609" s="1409"/>
      <c r="BW609" s="1409"/>
      <c r="BX609" s="1409">
        <f t="shared" si="7"/>
        <v>0</v>
      </c>
      <c r="BY609" s="1409"/>
      <c r="BZ609" s="1409"/>
      <c r="CA609" s="1409"/>
      <c r="CB609" s="1409"/>
      <c r="CC609" s="1409">
        <f t="shared" si="8"/>
        <v>0</v>
      </c>
      <c r="CD609" s="1409"/>
      <c r="CE609" s="1409"/>
      <c r="CF609" s="1409"/>
      <c r="CG609" s="1409"/>
      <c r="CH609" s="1409">
        <f t="shared" si="9"/>
        <v>6</v>
      </c>
      <c r="CI609" s="1409"/>
      <c r="CJ609" s="1409"/>
      <c r="CK609" s="1409"/>
      <c r="CL609" s="1409"/>
      <c r="CM609" s="1409">
        <f t="shared" si="10"/>
        <v>0</v>
      </c>
      <c r="CN609" s="1409"/>
      <c r="CO609" s="1409"/>
      <c r="CP609" s="1409"/>
      <c r="CQ609" s="1409"/>
      <c r="CR609" s="6"/>
      <c r="CS609" s="1707">
        <f t="shared" si="11"/>
        <v>0</v>
      </c>
      <c r="CT609" s="1707"/>
      <c r="CU609" s="1707"/>
      <c r="CV609" s="1707"/>
      <c r="CW609" s="1707"/>
      <c r="CX609" s="1707">
        <f t="shared" si="12"/>
        <v>0</v>
      </c>
      <c r="CY609" s="1707"/>
      <c r="CZ609" s="1707"/>
      <c r="DA609" s="1707"/>
      <c r="DB609" s="1707"/>
      <c r="DC609" s="1707">
        <f t="shared" si="13"/>
        <v>0</v>
      </c>
      <c r="DD609" s="1707"/>
      <c r="DE609" s="1707"/>
      <c r="DF609" s="1707"/>
      <c r="DG609" s="1707"/>
      <c r="DH609" s="1707">
        <f t="shared" si="14"/>
        <v>0</v>
      </c>
      <c r="DI609" s="1707"/>
      <c r="DJ609" s="1707"/>
      <c r="DK609" s="1707"/>
      <c r="DL609" s="1707"/>
      <c r="DM609" s="1707">
        <f t="shared" si="15"/>
        <v>0</v>
      </c>
      <c r="DN609" s="1707"/>
      <c r="DO609" s="1707"/>
      <c r="DP609" s="1707"/>
      <c r="DQ609" s="1707"/>
      <c r="DR609" s="1707">
        <f t="shared" si="16"/>
        <v>0</v>
      </c>
      <c r="DS609" s="1707"/>
      <c r="DT609" s="1707"/>
      <c r="DU609" s="1707"/>
      <c r="DV609" s="1707"/>
      <c r="DX609" s="1427" t="str">
        <f t="shared" si="17"/>
        <v xml:space="preserve"> </v>
      </c>
      <c r="DY609" s="1852"/>
      <c r="DZ609" s="1852"/>
      <c r="EA609" s="1852"/>
      <c r="EB609" s="1428"/>
      <c r="EC609" s="1427" t="str">
        <f t="shared" si="18"/>
        <v xml:space="preserve"> </v>
      </c>
      <c r="ED609" s="1852"/>
      <c r="EE609" s="1852"/>
      <c r="EF609" s="1852"/>
      <c r="EG609" s="1428"/>
      <c r="EH609" s="1427" t="str">
        <f t="shared" si="19"/>
        <v xml:space="preserve"> </v>
      </c>
      <c r="EI609" s="1852"/>
      <c r="EJ609" s="1852"/>
      <c r="EK609" s="1852"/>
      <c r="EL609" s="1428"/>
      <c r="EM609" s="1427" t="str">
        <f t="shared" si="20"/>
        <v xml:space="preserve"> </v>
      </c>
      <c r="EN609" s="1852"/>
      <c r="EO609" s="1852"/>
      <c r="EP609" s="1852"/>
      <c r="EQ609" s="1428"/>
      <c r="ER609" s="1427">
        <f t="shared" si="21"/>
        <v>898</v>
      </c>
      <c r="ES609" s="1852"/>
      <c r="ET609" s="1852"/>
      <c r="EU609" s="1852"/>
      <c r="EV609" s="1428"/>
      <c r="EW609" s="1427" t="str">
        <f t="shared" si="22"/>
        <v xml:space="preserve"> </v>
      </c>
      <c r="EX609" s="1852"/>
      <c r="EY609" s="1852"/>
      <c r="EZ609" s="1852"/>
      <c r="FA609" s="1428"/>
    </row>
    <row r="610" spans="1:157" ht="12.95" customHeight="1">
      <c r="B610" t="s">
        <v>18</v>
      </c>
      <c r="H610" s="1408"/>
      <c r="I610" s="1408"/>
      <c r="J610" s="1408"/>
      <c r="K610" s="1408"/>
      <c r="L610" s="1408"/>
      <c r="M610" s="1408"/>
      <c r="N610" s="1408"/>
      <c r="O610" s="1408"/>
      <c r="P610" s="1408"/>
      <c r="Q610" s="1408"/>
      <c r="R610" s="1408"/>
      <c r="U610" t="s">
        <v>18</v>
      </c>
      <c r="AA610" s="1408"/>
      <c r="AB610" s="1408"/>
      <c r="AC610" s="1408"/>
      <c r="AD610" s="1408"/>
      <c r="AE610" s="1408"/>
      <c r="AF610" s="1408"/>
      <c r="AG610" s="1408"/>
      <c r="AH610" s="1408"/>
      <c r="AI610" s="1408"/>
      <c r="AJ610" s="1408"/>
      <c r="AK610" s="1408"/>
      <c r="AZ610" s="3"/>
      <c r="BA610" s="3"/>
      <c r="BB610" s="3"/>
      <c r="BC610" s="3"/>
      <c r="BD610" s="3"/>
      <c r="BE610" s="1427">
        <f t="shared" si="1"/>
        <v>1</v>
      </c>
      <c r="BF610" s="1428"/>
      <c r="BG610" s="1473">
        <f t="shared" si="2"/>
        <v>1</v>
      </c>
      <c r="BH610" s="1474"/>
      <c r="BI610" s="1427">
        <f t="shared" si="3"/>
        <v>0</v>
      </c>
      <c r="BJ610" s="1428"/>
      <c r="BK610" s="1473">
        <f t="shared" si="4"/>
        <v>0</v>
      </c>
      <c r="BL610" s="1474"/>
      <c r="BM610" s="3"/>
      <c r="BN610" s="1475">
        <f t="shared" si="5"/>
        <v>0</v>
      </c>
      <c r="BO610" s="1476"/>
      <c r="BP610" s="1476"/>
      <c r="BQ610" s="1476"/>
      <c r="BR610" s="1477"/>
      <c r="BS610" s="1409">
        <f t="shared" si="6"/>
        <v>0</v>
      </c>
      <c r="BT610" s="1409"/>
      <c r="BU610" s="1409"/>
      <c r="BV610" s="1409"/>
      <c r="BW610" s="1409"/>
      <c r="BX610" s="1409">
        <f t="shared" si="7"/>
        <v>0</v>
      </c>
      <c r="BY610" s="1409"/>
      <c r="BZ610" s="1409"/>
      <c r="CA610" s="1409"/>
      <c r="CB610" s="1409"/>
      <c r="CC610" s="1409">
        <f t="shared" si="8"/>
        <v>0</v>
      </c>
      <c r="CD610" s="1409"/>
      <c r="CE610" s="1409"/>
      <c r="CF610" s="1409"/>
      <c r="CG610" s="1409"/>
      <c r="CH610" s="1409">
        <f t="shared" si="9"/>
        <v>1</v>
      </c>
      <c r="CI610" s="1409"/>
      <c r="CJ610" s="1409"/>
      <c r="CK610" s="1409"/>
      <c r="CL610" s="1409"/>
      <c r="CM610" s="1409">
        <f t="shared" si="10"/>
        <v>0</v>
      </c>
      <c r="CN610" s="1409"/>
      <c r="CO610" s="1409"/>
      <c r="CP610" s="1409"/>
      <c r="CQ610" s="1409"/>
      <c r="CR610" s="6"/>
      <c r="CS610" s="1707">
        <f t="shared" si="11"/>
        <v>0</v>
      </c>
      <c r="CT610" s="1707"/>
      <c r="CU610" s="1707"/>
      <c r="CV610" s="1707"/>
      <c r="CW610" s="1707"/>
      <c r="CX610" s="1707">
        <f t="shared" si="12"/>
        <v>0</v>
      </c>
      <c r="CY610" s="1707"/>
      <c r="CZ610" s="1707"/>
      <c r="DA610" s="1707"/>
      <c r="DB610" s="1707"/>
      <c r="DC610" s="1707">
        <f t="shared" si="13"/>
        <v>0</v>
      </c>
      <c r="DD610" s="1707"/>
      <c r="DE610" s="1707"/>
      <c r="DF610" s="1707"/>
      <c r="DG610" s="1707"/>
      <c r="DH610" s="1707">
        <f t="shared" si="14"/>
        <v>0</v>
      </c>
      <c r="DI610" s="1707"/>
      <c r="DJ610" s="1707"/>
      <c r="DK610" s="1707"/>
      <c r="DL610" s="1707"/>
      <c r="DM610" s="1707">
        <f t="shared" si="15"/>
        <v>0</v>
      </c>
      <c r="DN610" s="1707"/>
      <c r="DO610" s="1707"/>
      <c r="DP610" s="1707"/>
      <c r="DQ610" s="1707"/>
      <c r="DR610" s="1707">
        <f t="shared" si="16"/>
        <v>0</v>
      </c>
      <c r="DS610" s="1707"/>
      <c r="DT610" s="1707"/>
      <c r="DU610" s="1707"/>
      <c r="DV610" s="1707"/>
      <c r="DX610" s="1427" t="str">
        <f t="shared" si="17"/>
        <v xml:space="preserve"> </v>
      </c>
      <c r="DY610" s="1852"/>
      <c r="DZ610" s="1852"/>
      <c r="EA610" s="1852"/>
      <c r="EB610" s="1428"/>
      <c r="EC610" s="1427" t="str">
        <f t="shared" si="18"/>
        <v xml:space="preserve"> </v>
      </c>
      <c r="ED610" s="1852"/>
      <c r="EE610" s="1852"/>
      <c r="EF610" s="1852"/>
      <c r="EG610" s="1428"/>
      <c r="EH610" s="1427" t="str">
        <f t="shared" si="19"/>
        <v xml:space="preserve"> </v>
      </c>
      <c r="EI610" s="1852"/>
      <c r="EJ610" s="1852"/>
      <c r="EK610" s="1852"/>
      <c r="EL610" s="1428"/>
      <c r="EM610" s="1427" t="str">
        <f t="shared" si="20"/>
        <v xml:space="preserve"> </v>
      </c>
      <c r="EN610" s="1852"/>
      <c r="EO610" s="1852"/>
      <c r="EP610" s="1852"/>
      <c r="EQ610" s="1428"/>
      <c r="ER610" s="1427">
        <f t="shared" si="21"/>
        <v>1124</v>
      </c>
      <c r="ES610" s="1852"/>
      <c r="ET610" s="1852"/>
      <c r="EU610" s="1852"/>
      <c r="EV610" s="1428"/>
      <c r="EW610" s="1427" t="str">
        <f t="shared" si="22"/>
        <v xml:space="preserve"> </v>
      </c>
      <c r="EX610" s="1852"/>
      <c r="EY610" s="1852"/>
      <c r="EZ610" s="1852"/>
      <c r="FA610" s="1428"/>
    </row>
    <row r="611" spans="1:157" ht="12.95" customHeight="1">
      <c r="B611" t="s">
        <v>20</v>
      </c>
      <c r="N611" s="1397" t="s">
        <v>679</v>
      </c>
      <c r="O611" s="1397"/>
      <c r="U611" t="s">
        <v>20</v>
      </c>
      <c r="AG611" s="1397" t="s">
        <v>679</v>
      </c>
      <c r="AH611" s="1397"/>
      <c r="AZ611" s="3"/>
      <c r="BA611" s="3"/>
      <c r="BB611" s="3"/>
      <c r="BC611" s="3"/>
      <c r="BD611" s="3"/>
      <c r="BE611" s="1427">
        <f t="shared" si="1"/>
        <v>0</v>
      </c>
      <c r="BF611" s="1428"/>
      <c r="BG611" s="1473">
        <f t="shared" si="2"/>
        <v>0</v>
      </c>
      <c r="BH611" s="1474"/>
      <c r="BI611" s="1427">
        <f t="shared" si="3"/>
        <v>0</v>
      </c>
      <c r="BJ611" s="1428"/>
      <c r="BK611" s="1473">
        <f t="shared" si="4"/>
        <v>0</v>
      </c>
      <c r="BL611" s="1474"/>
      <c r="BM611" s="3"/>
      <c r="BN611" s="1475">
        <f t="shared" si="5"/>
        <v>0</v>
      </c>
      <c r="BO611" s="1476"/>
      <c r="BP611" s="1476"/>
      <c r="BQ611" s="1476"/>
      <c r="BR611" s="1477"/>
      <c r="BS611" s="1409">
        <f t="shared" si="6"/>
        <v>0</v>
      </c>
      <c r="BT611" s="1409"/>
      <c r="BU611" s="1409"/>
      <c r="BV611" s="1409"/>
      <c r="BW611" s="1409"/>
      <c r="BX611" s="1409">
        <f t="shared" si="7"/>
        <v>0</v>
      </c>
      <c r="BY611" s="1409"/>
      <c r="BZ611" s="1409"/>
      <c r="CA611" s="1409"/>
      <c r="CB611" s="1409"/>
      <c r="CC611" s="1409">
        <f t="shared" si="8"/>
        <v>0</v>
      </c>
      <c r="CD611" s="1409"/>
      <c r="CE611" s="1409"/>
      <c r="CF611" s="1409"/>
      <c r="CG611" s="1409"/>
      <c r="CH611" s="1409">
        <f t="shared" si="9"/>
        <v>1</v>
      </c>
      <c r="CI611" s="1409"/>
      <c r="CJ611" s="1409"/>
      <c r="CK611" s="1409"/>
      <c r="CL611" s="1409"/>
      <c r="CM611" s="1409">
        <f t="shared" si="10"/>
        <v>0</v>
      </c>
      <c r="CN611" s="1409"/>
      <c r="CO611" s="1409"/>
      <c r="CP611" s="1409"/>
      <c r="CQ611" s="1409"/>
      <c r="CR611" s="6"/>
      <c r="CS611" s="1707">
        <f t="shared" si="11"/>
        <v>0</v>
      </c>
      <c r="CT611" s="1707"/>
      <c r="CU611" s="1707"/>
      <c r="CV611" s="1707"/>
      <c r="CW611" s="1707"/>
      <c r="CX611" s="1707">
        <f t="shared" si="12"/>
        <v>0</v>
      </c>
      <c r="CY611" s="1707"/>
      <c r="CZ611" s="1707"/>
      <c r="DA611" s="1707"/>
      <c r="DB611" s="1707"/>
      <c r="DC611" s="1707">
        <f t="shared" si="13"/>
        <v>0</v>
      </c>
      <c r="DD611" s="1707"/>
      <c r="DE611" s="1707"/>
      <c r="DF611" s="1707"/>
      <c r="DG611" s="1707"/>
      <c r="DH611" s="1707">
        <f t="shared" si="14"/>
        <v>0</v>
      </c>
      <c r="DI611" s="1707"/>
      <c r="DJ611" s="1707"/>
      <c r="DK611" s="1707"/>
      <c r="DL611" s="1707"/>
      <c r="DM611" s="1707">
        <f t="shared" si="15"/>
        <v>0</v>
      </c>
      <c r="DN611" s="1707"/>
      <c r="DO611" s="1707"/>
      <c r="DP611" s="1707"/>
      <c r="DQ611" s="1707"/>
      <c r="DR611" s="1707">
        <f t="shared" si="16"/>
        <v>0</v>
      </c>
      <c r="DS611" s="1707"/>
      <c r="DT611" s="1707"/>
      <c r="DU611" s="1707"/>
      <c r="DV611" s="1707"/>
      <c r="DX611" s="1427" t="str">
        <f t="shared" si="17"/>
        <v xml:space="preserve"> </v>
      </c>
      <c r="DY611" s="1852"/>
      <c r="DZ611" s="1852"/>
      <c r="EA611" s="1852"/>
      <c r="EB611" s="1428"/>
      <c r="EC611" s="1427" t="str">
        <f t="shared" si="18"/>
        <v xml:space="preserve"> </v>
      </c>
      <c r="ED611" s="1852"/>
      <c r="EE611" s="1852"/>
      <c r="EF611" s="1852"/>
      <c r="EG611" s="1428"/>
      <c r="EH611" s="1427" t="str">
        <f t="shared" si="19"/>
        <v xml:space="preserve"> </v>
      </c>
      <c r="EI611" s="1852"/>
      <c r="EJ611" s="1852"/>
      <c r="EK611" s="1852"/>
      <c r="EL611" s="1428"/>
      <c r="EM611" s="1427" t="str">
        <f t="shared" si="20"/>
        <v xml:space="preserve"> </v>
      </c>
      <c r="EN611" s="1852"/>
      <c r="EO611" s="1852"/>
      <c r="EP611" s="1852"/>
      <c r="EQ611" s="1428"/>
      <c r="ER611" s="1427">
        <f t="shared" si="21"/>
        <v>1350</v>
      </c>
      <c r="ES611" s="1852"/>
      <c r="ET611" s="1852"/>
      <c r="EU611" s="1852"/>
      <c r="EV611" s="1428"/>
      <c r="EW611" s="1427" t="str">
        <f t="shared" si="22"/>
        <v xml:space="preserve"> </v>
      </c>
      <c r="EX611" s="1852"/>
      <c r="EY611" s="1852"/>
      <c r="EZ611" s="1852"/>
      <c r="FA611" s="1428"/>
    </row>
    <row r="612" spans="1:157" ht="12.95" customHeight="1">
      <c r="AZ612" s="3"/>
      <c r="BA612" s="3"/>
      <c r="BB612" s="3"/>
      <c r="BC612" s="3"/>
      <c r="BD612" s="3"/>
      <c r="BE612" s="1427">
        <f t="shared" si="1"/>
        <v>0</v>
      </c>
      <c r="BF612" s="1428"/>
      <c r="BG612" s="1473">
        <f t="shared" si="2"/>
        <v>0</v>
      </c>
      <c r="BH612" s="1474"/>
      <c r="BI612" s="1427">
        <f t="shared" si="3"/>
        <v>0</v>
      </c>
      <c r="BJ612" s="1428"/>
      <c r="BK612" s="1473">
        <f t="shared" si="4"/>
        <v>0</v>
      </c>
      <c r="BL612" s="1474"/>
      <c r="BM612" s="3"/>
      <c r="BN612" s="1475">
        <f t="shared" si="5"/>
        <v>0</v>
      </c>
      <c r="BO612" s="1476"/>
      <c r="BP612" s="1476"/>
      <c r="BQ612" s="1476"/>
      <c r="BR612" s="1477"/>
      <c r="BS612" s="1409">
        <f t="shared" si="6"/>
        <v>0</v>
      </c>
      <c r="BT612" s="1409"/>
      <c r="BU612" s="1409"/>
      <c r="BV612" s="1409"/>
      <c r="BW612" s="1409"/>
      <c r="BX612" s="1409">
        <f t="shared" si="7"/>
        <v>0</v>
      </c>
      <c r="BY612" s="1409"/>
      <c r="BZ612" s="1409"/>
      <c r="CA612" s="1409"/>
      <c r="CB612" s="1409"/>
      <c r="CC612" s="1409">
        <f t="shared" si="8"/>
        <v>0</v>
      </c>
      <c r="CD612" s="1409"/>
      <c r="CE612" s="1409"/>
      <c r="CF612" s="1409"/>
      <c r="CG612" s="1409"/>
      <c r="CH612" s="1409">
        <f t="shared" si="9"/>
        <v>0</v>
      </c>
      <c r="CI612" s="1409"/>
      <c r="CJ612" s="1409"/>
      <c r="CK612" s="1409"/>
      <c r="CL612" s="1409"/>
      <c r="CM612" s="1409">
        <f t="shared" si="10"/>
        <v>0</v>
      </c>
      <c r="CN612" s="1409"/>
      <c r="CO612" s="1409"/>
      <c r="CP612" s="1409"/>
      <c r="CQ612" s="1409"/>
      <c r="CR612" s="6"/>
      <c r="CS612" s="1707">
        <f t="shared" si="11"/>
        <v>0</v>
      </c>
      <c r="CT612" s="1707"/>
      <c r="CU612" s="1707"/>
      <c r="CV612" s="1707"/>
      <c r="CW612" s="1707"/>
      <c r="CX612" s="1707">
        <f t="shared" si="12"/>
        <v>0</v>
      </c>
      <c r="CY612" s="1707"/>
      <c r="CZ612" s="1707"/>
      <c r="DA612" s="1707"/>
      <c r="DB612" s="1707"/>
      <c r="DC612" s="1707">
        <f t="shared" si="13"/>
        <v>0</v>
      </c>
      <c r="DD612" s="1707"/>
      <c r="DE612" s="1707"/>
      <c r="DF612" s="1707"/>
      <c r="DG612" s="1707"/>
      <c r="DH612" s="1707">
        <f t="shared" si="14"/>
        <v>0</v>
      </c>
      <c r="DI612" s="1707"/>
      <c r="DJ612" s="1707"/>
      <c r="DK612" s="1707"/>
      <c r="DL612" s="1707"/>
      <c r="DM612" s="1707">
        <f t="shared" si="15"/>
        <v>0</v>
      </c>
      <c r="DN612" s="1707"/>
      <c r="DO612" s="1707"/>
      <c r="DP612" s="1707"/>
      <c r="DQ612" s="1707"/>
      <c r="DR612" s="1707">
        <f t="shared" si="16"/>
        <v>0</v>
      </c>
      <c r="DS612" s="1707"/>
      <c r="DT612" s="1707"/>
      <c r="DU612" s="1707"/>
      <c r="DV612" s="1707"/>
      <c r="DX612" s="1427" t="str">
        <f t="shared" si="17"/>
        <v xml:space="preserve"> </v>
      </c>
      <c r="DY612" s="1852"/>
      <c r="DZ612" s="1852"/>
      <c r="EA612" s="1852"/>
      <c r="EB612" s="1428"/>
      <c r="EC612" s="1427" t="str">
        <f t="shared" si="18"/>
        <v xml:space="preserve"> </v>
      </c>
      <c r="ED612" s="1852"/>
      <c r="EE612" s="1852"/>
      <c r="EF612" s="1852"/>
      <c r="EG612" s="1428"/>
      <c r="EH612" s="1427" t="str">
        <f t="shared" si="19"/>
        <v xml:space="preserve"> </v>
      </c>
      <c r="EI612" s="1852"/>
      <c r="EJ612" s="1852"/>
      <c r="EK612" s="1852"/>
      <c r="EL612" s="1428"/>
      <c r="EM612" s="1427" t="str">
        <f t="shared" si="20"/>
        <v xml:space="preserve"> </v>
      </c>
      <c r="EN612" s="1852"/>
      <c r="EO612" s="1852"/>
      <c r="EP612" s="1852"/>
      <c r="EQ612" s="1428"/>
      <c r="ER612" s="1427" t="str">
        <f t="shared" si="21"/>
        <v xml:space="preserve"> </v>
      </c>
      <c r="ES612" s="1852"/>
      <c r="ET612" s="1852"/>
      <c r="EU612" s="1852"/>
      <c r="EV612" s="1428"/>
      <c r="EW612" s="1427" t="str">
        <f t="shared" si="22"/>
        <v xml:space="preserve"> </v>
      </c>
      <c r="EX612" s="1852"/>
      <c r="EY612" s="1852"/>
      <c r="EZ612" s="1852"/>
      <c r="FA612" s="1428"/>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7">
        <f t="shared" si="1"/>
        <v>0</v>
      </c>
      <c r="BF613" s="1428"/>
      <c r="BG613" s="1473">
        <f t="shared" si="2"/>
        <v>0</v>
      </c>
      <c r="BH613" s="1474"/>
      <c r="BI613" s="1427">
        <f t="shared" si="3"/>
        <v>0</v>
      </c>
      <c r="BJ613" s="1428"/>
      <c r="BK613" s="1473">
        <f t="shared" si="4"/>
        <v>0</v>
      </c>
      <c r="BL613" s="1474"/>
      <c r="BM613" s="3"/>
      <c r="BN613" s="1475">
        <f t="shared" si="5"/>
        <v>0</v>
      </c>
      <c r="BO613" s="1476"/>
      <c r="BP613" s="1476"/>
      <c r="BQ613" s="1476"/>
      <c r="BR613" s="1477"/>
      <c r="BS613" s="1409">
        <f t="shared" si="6"/>
        <v>0</v>
      </c>
      <c r="BT613" s="1409"/>
      <c r="BU613" s="1409"/>
      <c r="BV613" s="1409"/>
      <c r="BW613" s="1409"/>
      <c r="BX613" s="1409">
        <f t="shared" si="7"/>
        <v>0</v>
      </c>
      <c r="BY613" s="1409"/>
      <c r="BZ613" s="1409"/>
      <c r="CA613" s="1409"/>
      <c r="CB613" s="1409"/>
      <c r="CC613" s="1409">
        <f t="shared" si="8"/>
        <v>0</v>
      </c>
      <c r="CD613" s="1409"/>
      <c r="CE613" s="1409"/>
      <c r="CF613" s="1409"/>
      <c r="CG613" s="1409"/>
      <c r="CH613" s="1409">
        <f t="shared" si="9"/>
        <v>0</v>
      </c>
      <c r="CI613" s="1409"/>
      <c r="CJ613" s="1409"/>
      <c r="CK613" s="1409"/>
      <c r="CL613" s="1409"/>
      <c r="CM613" s="1409">
        <f t="shared" si="10"/>
        <v>0</v>
      </c>
      <c r="CN613" s="1409"/>
      <c r="CO613" s="1409"/>
      <c r="CP613" s="1409"/>
      <c r="CQ613" s="1409"/>
      <c r="CR613" s="6"/>
      <c r="CS613" s="1707">
        <f t="shared" si="11"/>
        <v>0</v>
      </c>
      <c r="CT613" s="1707"/>
      <c r="CU613" s="1707"/>
      <c r="CV613" s="1707"/>
      <c r="CW613" s="1707"/>
      <c r="CX613" s="1707">
        <f t="shared" si="12"/>
        <v>0</v>
      </c>
      <c r="CY613" s="1707"/>
      <c r="CZ613" s="1707"/>
      <c r="DA613" s="1707"/>
      <c r="DB613" s="1707"/>
      <c r="DC613" s="1707">
        <f t="shared" si="13"/>
        <v>0</v>
      </c>
      <c r="DD613" s="1707"/>
      <c r="DE613" s="1707"/>
      <c r="DF613" s="1707"/>
      <c r="DG613" s="1707"/>
      <c r="DH613" s="1707">
        <f t="shared" si="14"/>
        <v>0</v>
      </c>
      <c r="DI613" s="1707"/>
      <c r="DJ613" s="1707"/>
      <c r="DK613" s="1707"/>
      <c r="DL613" s="1707"/>
      <c r="DM613" s="1707">
        <f t="shared" si="15"/>
        <v>0</v>
      </c>
      <c r="DN613" s="1707"/>
      <c r="DO613" s="1707"/>
      <c r="DP613" s="1707"/>
      <c r="DQ613" s="1707"/>
      <c r="DR613" s="1707">
        <f t="shared" si="16"/>
        <v>0</v>
      </c>
      <c r="DS613" s="1707"/>
      <c r="DT613" s="1707"/>
      <c r="DU613" s="1707"/>
      <c r="DV613" s="1707"/>
      <c r="DX613" s="1427" t="str">
        <f t="shared" si="17"/>
        <v xml:space="preserve"> </v>
      </c>
      <c r="DY613" s="1852"/>
      <c r="DZ613" s="1852"/>
      <c r="EA613" s="1852"/>
      <c r="EB613" s="1428"/>
      <c r="EC613" s="1427" t="str">
        <f t="shared" si="18"/>
        <v xml:space="preserve"> </v>
      </c>
      <c r="ED613" s="1852"/>
      <c r="EE613" s="1852"/>
      <c r="EF613" s="1852"/>
      <c r="EG613" s="1428"/>
      <c r="EH613" s="1427" t="str">
        <f t="shared" si="19"/>
        <v xml:space="preserve"> </v>
      </c>
      <c r="EI613" s="1852"/>
      <c r="EJ613" s="1852"/>
      <c r="EK613" s="1852"/>
      <c r="EL613" s="1428"/>
      <c r="EM613" s="1427" t="str">
        <f t="shared" si="20"/>
        <v xml:space="preserve"> </v>
      </c>
      <c r="EN613" s="1852"/>
      <c r="EO613" s="1852"/>
      <c r="EP613" s="1852"/>
      <c r="EQ613" s="1428"/>
      <c r="ER613" s="1427" t="str">
        <f t="shared" si="21"/>
        <v xml:space="preserve"> </v>
      </c>
      <c r="ES613" s="1852"/>
      <c r="ET613" s="1852"/>
      <c r="EU613" s="1852"/>
      <c r="EV613" s="1428"/>
      <c r="EW613" s="1427" t="str">
        <f t="shared" si="22"/>
        <v xml:space="preserve"> </v>
      </c>
      <c r="EX613" s="1852"/>
      <c r="EY613" s="1852"/>
      <c r="EZ613" s="1852"/>
      <c r="FA613" s="1428"/>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7">
        <f t="shared" si="1"/>
        <v>0</v>
      </c>
      <c r="BF614" s="1428"/>
      <c r="BG614" s="1473">
        <f t="shared" si="2"/>
        <v>0</v>
      </c>
      <c r="BH614" s="1474"/>
      <c r="BI614" s="1427">
        <f t="shared" si="3"/>
        <v>0</v>
      </c>
      <c r="BJ614" s="1428"/>
      <c r="BK614" s="1473">
        <f t="shared" si="4"/>
        <v>0</v>
      </c>
      <c r="BL614" s="1474"/>
      <c r="BM614" s="3"/>
      <c r="BN614" s="1475">
        <f t="shared" si="5"/>
        <v>0</v>
      </c>
      <c r="BO614" s="1476"/>
      <c r="BP614" s="1476"/>
      <c r="BQ614" s="1476"/>
      <c r="BR614" s="1477"/>
      <c r="BS614" s="1409">
        <f t="shared" si="6"/>
        <v>0</v>
      </c>
      <c r="BT614" s="1409"/>
      <c r="BU614" s="1409"/>
      <c r="BV614" s="1409"/>
      <c r="BW614" s="1409"/>
      <c r="BX614" s="1409">
        <f t="shared" si="7"/>
        <v>0</v>
      </c>
      <c r="BY614" s="1409"/>
      <c r="BZ614" s="1409"/>
      <c r="CA614" s="1409"/>
      <c r="CB614" s="1409"/>
      <c r="CC614" s="1409">
        <f t="shared" si="8"/>
        <v>0</v>
      </c>
      <c r="CD614" s="1409"/>
      <c r="CE614" s="1409"/>
      <c r="CF614" s="1409"/>
      <c r="CG614" s="1409"/>
      <c r="CH614" s="1409">
        <f t="shared" si="9"/>
        <v>0</v>
      </c>
      <c r="CI614" s="1409"/>
      <c r="CJ614" s="1409"/>
      <c r="CK614" s="1409"/>
      <c r="CL614" s="1409"/>
      <c r="CM614" s="1409">
        <f t="shared" si="10"/>
        <v>0</v>
      </c>
      <c r="CN614" s="1409"/>
      <c r="CO614" s="1409"/>
      <c r="CP614" s="1409"/>
      <c r="CQ614" s="1409"/>
      <c r="CR614" s="6"/>
      <c r="CS614" s="1707">
        <f t="shared" si="11"/>
        <v>0</v>
      </c>
      <c r="CT614" s="1707"/>
      <c r="CU614" s="1707"/>
      <c r="CV614" s="1707"/>
      <c r="CW614" s="1707"/>
      <c r="CX614" s="1707">
        <f t="shared" si="12"/>
        <v>0</v>
      </c>
      <c r="CY614" s="1707"/>
      <c r="CZ614" s="1707"/>
      <c r="DA614" s="1707"/>
      <c r="DB614" s="1707"/>
      <c r="DC614" s="1707">
        <f t="shared" si="13"/>
        <v>0</v>
      </c>
      <c r="DD614" s="1707"/>
      <c r="DE614" s="1707"/>
      <c r="DF614" s="1707"/>
      <c r="DG614" s="1707"/>
      <c r="DH614" s="1707">
        <f t="shared" si="14"/>
        <v>0</v>
      </c>
      <c r="DI614" s="1707"/>
      <c r="DJ614" s="1707"/>
      <c r="DK614" s="1707"/>
      <c r="DL614" s="1707"/>
      <c r="DM614" s="1707">
        <f t="shared" si="15"/>
        <v>0</v>
      </c>
      <c r="DN614" s="1707"/>
      <c r="DO614" s="1707"/>
      <c r="DP614" s="1707"/>
      <c r="DQ614" s="1707"/>
      <c r="DR614" s="1707">
        <f t="shared" si="16"/>
        <v>0</v>
      </c>
      <c r="DS614" s="1707"/>
      <c r="DT614" s="1707"/>
      <c r="DU614" s="1707"/>
      <c r="DV614" s="1707"/>
      <c r="DX614" s="1427" t="str">
        <f t="shared" si="17"/>
        <v xml:space="preserve"> </v>
      </c>
      <c r="DY614" s="1852"/>
      <c r="DZ614" s="1852"/>
      <c r="EA614" s="1852"/>
      <c r="EB614" s="1428"/>
      <c r="EC614" s="1427" t="str">
        <f t="shared" si="18"/>
        <v xml:space="preserve"> </v>
      </c>
      <c r="ED614" s="1852"/>
      <c r="EE614" s="1852"/>
      <c r="EF614" s="1852"/>
      <c r="EG614" s="1428"/>
      <c r="EH614" s="1427" t="str">
        <f t="shared" si="19"/>
        <v xml:space="preserve"> </v>
      </c>
      <c r="EI614" s="1852"/>
      <c r="EJ614" s="1852"/>
      <c r="EK614" s="1852"/>
      <c r="EL614" s="1428"/>
      <c r="EM614" s="1427" t="str">
        <f t="shared" si="20"/>
        <v xml:space="preserve"> </v>
      </c>
      <c r="EN614" s="1852"/>
      <c r="EO614" s="1852"/>
      <c r="EP614" s="1852"/>
      <c r="EQ614" s="1428"/>
      <c r="ER614" s="1427" t="str">
        <f t="shared" si="21"/>
        <v xml:space="preserve"> </v>
      </c>
      <c r="ES614" s="1852"/>
      <c r="ET614" s="1852"/>
      <c r="EU614" s="1852"/>
      <c r="EV614" s="1428"/>
      <c r="EW614" s="1427" t="str">
        <f t="shared" si="22"/>
        <v xml:space="preserve"> </v>
      </c>
      <c r="EX614" s="1852"/>
      <c r="EY614" s="1852"/>
      <c r="EZ614" s="1852"/>
      <c r="FA614" s="1428"/>
    </row>
    <row r="615" spans="1:157" ht="12.95" customHeight="1">
      <c r="AZ615" s="3"/>
      <c r="BA615" s="3"/>
      <c r="BB615" s="3"/>
      <c r="BC615" s="3"/>
      <c r="BD615" s="3"/>
      <c r="BE615" s="1427">
        <f t="shared" si="1"/>
        <v>0</v>
      </c>
      <c r="BF615" s="1428"/>
      <c r="BG615" s="1473">
        <f t="shared" si="2"/>
        <v>0</v>
      </c>
      <c r="BH615" s="1474"/>
      <c r="BI615" s="1427">
        <f t="shared" si="3"/>
        <v>0</v>
      </c>
      <c r="BJ615" s="1428"/>
      <c r="BK615" s="1473">
        <f t="shared" si="4"/>
        <v>0</v>
      </c>
      <c r="BL615" s="1474"/>
      <c r="BM615" s="3"/>
      <c r="BN615" s="1475">
        <f t="shared" si="5"/>
        <v>0</v>
      </c>
      <c r="BO615" s="1476"/>
      <c r="BP615" s="1476"/>
      <c r="BQ615" s="1476"/>
      <c r="BR615" s="1477"/>
      <c r="BS615" s="1409">
        <f t="shared" si="6"/>
        <v>0</v>
      </c>
      <c r="BT615" s="1409"/>
      <c r="BU615" s="1409"/>
      <c r="BV615" s="1409"/>
      <c r="BW615" s="1409"/>
      <c r="BX615" s="1409">
        <f t="shared" si="7"/>
        <v>0</v>
      </c>
      <c r="BY615" s="1409"/>
      <c r="BZ615" s="1409"/>
      <c r="CA615" s="1409"/>
      <c r="CB615" s="1409"/>
      <c r="CC615" s="1409">
        <f t="shared" si="8"/>
        <v>0</v>
      </c>
      <c r="CD615" s="1409"/>
      <c r="CE615" s="1409"/>
      <c r="CF615" s="1409"/>
      <c r="CG615" s="1409"/>
      <c r="CH615" s="1409">
        <f t="shared" si="9"/>
        <v>0</v>
      </c>
      <c r="CI615" s="1409"/>
      <c r="CJ615" s="1409"/>
      <c r="CK615" s="1409"/>
      <c r="CL615" s="1409"/>
      <c r="CM615" s="1409">
        <f t="shared" si="10"/>
        <v>0</v>
      </c>
      <c r="CN615" s="1409"/>
      <c r="CO615" s="1409"/>
      <c r="CP615" s="1409"/>
      <c r="CQ615" s="1409"/>
      <c r="CR615" s="6"/>
      <c r="CS615" s="1707">
        <f t="shared" si="11"/>
        <v>0</v>
      </c>
      <c r="CT615" s="1707"/>
      <c r="CU615" s="1707"/>
      <c r="CV615" s="1707"/>
      <c r="CW615" s="1707"/>
      <c r="CX615" s="1707">
        <f t="shared" si="12"/>
        <v>0</v>
      </c>
      <c r="CY615" s="1707"/>
      <c r="CZ615" s="1707"/>
      <c r="DA615" s="1707"/>
      <c r="DB615" s="1707"/>
      <c r="DC615" s="1707">
        <f t="shared" si="13"/>
        <v>0</v>
      </c>
      <c r="DD615" s="1707"/>
      <c r="DE615" s="1707"/>
      <c r="DF615" s="1707"/>
      <c r="DG615" s="1707"/>
      <c r="DH615" s="1707">
        <f t="shared" si="14"/>
        <v>0</v>
      </c>
      <c r="DI615" s="1707"/>
      <c r="DJ615" s="1707"/>
      <c r="DK615" s="1707"/>
      <c r="DL615" s="1707"/>
      <c r="DM615" s="1707">
        <f t="shared" si="15"/>
        <v>0</v>
      </c>
      <c r="DN615" s="1707"/>
      <c r="DO615" s="1707"/>
      <c r="DP615" s="1707"/>
      <c r="DQ615" s="1707"/>
      <c r="DR615" s="1707">
        <f t="shared" si="16"/>
        <v>0</v>
      </c>
      <c r="DS615" s="1707"/>
      <c r="DT615" s="1707"/>
      <c r="DU615" s="1707"/>
      <c r="DV615" s="1707"/>
      <c r="DX615" s="1427" t="str">
        <f t="shared" si="17"/>
        <v xml:space="preserve"> </v>
      </c>
      <c r="DY615" s="1852"/>
      <c r="DZ615" s="1852"/>
      <c r="EA615" s="1852"/>
      <c r="EB615" s="1428"/>
      <c r="EC615" s="1427" t="str">
        <f t="shared" si="18"/>
        <v xml:space="preserve"> </v>
      </c>
      <c r="ED615" s="1852"/>
      <c r="EE615" s="1852"/>
      <c r="EF615" s="1852"/>
      <c r="EG615" s="1428"/>
      <c r="EH615" s="1427" t="str">
        <f t="shared" si="19"/>
        <v xml:space="preserve"> </v>
      </c>
      <c r="EI615" s="1852"/>
      <c r="EJ615" s="1852"/>
      <c r="EK615" s="1852"/>
      <c r="EL615" s="1428"/>
      <c r="EM615" s="1427" t="str">
        <f t="shared" si="20"/>
        <v xml:space="preserve"> </v>
      </c>
      <c r="EN615" s="1852"/>
      <c r="EO615" s="1852"/>
      <c r="EP615" s="1852"/>
      <c r="EQ615" s="1428"/>
      <c r="ER615" s="1427" t="str">
        <f t="shared" si="21"/>
        <v xml:space="preserve"> </v>
      </c>
      <c r="ES615" s="1852"/>
      <c r="ET615" s="1852"/>
      <c r="EU615" s="1852"/>
      <c r="EV615" s="1428"/>
      <c r="EW615" s="1427" t="str">
        <f t="shared" si="22"/>
        <v xml:space="preserve"> </v>
      </c>
      <c r="EX615" s="1852"/>
      <c r="EY615" s="1852"/>
      <c r="EZ615" s="1852"/>
      <c r="FA615" s="1428"/>
    </row>
    <row r="616" spans="1:157" ht="12.95" customHeight="1">
      <c r="A616" s="2" t="s">
        <v>321</v>
      </c>
      <c r="B616" s="2"/>
      <c r="C616" s="2" t="s">
        <v>21</v>
      </c>
      <c r="AZ616" s="3"/>
      <c r="BA616" s="3"/>
      <c r="BB616" s="3"/>
      <c r="BC616" s="3"/>
      <c r="BD616" s="3"/>
      <c r="BE616" s="1427">
        <f t="shared" si="1"/>
        <v>0</v>
      </c>
      <c r="BF616" s="1428"/>
      <c r="BG616" s="1473">
        <f t="shared" si="2"/>
        <v>0</v>
      </c>
      <c r="BH616" s="1474"/>
      <c r="BI616" s="1427">
        <f t="shared" si="3"/>
        <v>0</v>
      </c>
      <c r="BJ616" s="1428"/>
      <c r="BK616" s="1473">
        <f t="shared" si="4"/>
        <v>0</v>
      </c>
      <c r="BL616" s="1474"/>
      <c r="BM616" s="3"/>
      <c r="BN616" s="1475">
        <f t="shared" si="5"/>
        <v>0</v>
      </c>
      <c r="BO616" s="1476"/>
      <c r="BP616" s="1476"/>
      <c r="BQ616" s="1476"/>
      <c r="BR616" s="1477"/>
      <c r="BS616" s="1409">
        <f t="shared" si="6"/>
        <v>0</v>
      </c>
      <c r="BT616" s="1409"/>
      <c r="BU616" s="1409"/>
      <c r="BV616" s="1409"/>
      <c r="BW616" s="1409"/>
      <c r="BX616" s="1409">
        <f t="shared" si="7"/>
        <v>0</v>
      </c>
      <c r="BY616" s="1409"/>
      <c r="BZ616" s="1409"/>
      <c r="CA616" s="1409"/>
      <c r="CB616" s="1409"/>
      <c r="CC616" s="1409">
        <f t="shared" si="8"/>
        <v>0</v>
      </c>
      <c r="CD616" s="1409"/>
      <c r="CE616" s="1409"/>
      <c r="CF616" s="1409"/>
      <c r="CG616" s="1409"/>
      <c r="CH616" s="1409">
        <f t="shared" si="9"/>
        <v>0</v>
      </c>
      <c r="CI616" s="1409"/>
      <c r="CJ616" s="1409"/>
      <c r="CK616" s="1409"/>
      <c r="CL616" s="1409"/>
      <c r="CM616" s="1409">
        <f t="shared" si="10"/>
        <v>0</v>
      </c>
      <c r="CN616" s="1409"/>
      <c r="CO616" s="1409"/>
      <c r="CP616" s="1409"/>
      <c r="CQ616" s="1409"/>
      <c r="CR616" s="6"/>
      <c r="CS616" s="1707">
        <f t="shared" si="11"/>
        <v>0</v>
      </c>
      <c r="CT616" s="1707"/>
      <c r="CU616" s="1707"/>
      <c r="CV616" s="1707"/>
      <c r="CW616" s="1707"/>
      <c r="CX616" s="1707">
        <f t="shared" si="12"/>
        <v>0</v>
      </c>
      <c r="CY616" s="1707"/>
      <c r="CZ616" s="1707"/>
      <c r="DA616" s="1707"/>
      <c r="DB616" s="1707"/>
      <c r="DC616" s="1707">
        <f t="shared" si="13"/>
        <v>0</v>
      </c>
      <c r="DD616" s="1707"/>
      <c r="DE616" s="1707"/>
      <c r="DF616" s="1707"/>
      <c r="DG616" s="1707"/>
      <c r="DH616" s="1707">
        <f t="shared" si="14"/>
        <v>0</v>
      </c>
      <c r="DI616" s="1707"/>
      <c r="DJ616" s="1707"/>
      <c r="DK616" s="1707"/>
      <c r="DL616" s="1707"/>
      <c r="DM616" s="1707">
        <f t="shared" si="15"/>
        <v>0</v>
      </c>
      <c r="DN616" s="1707"/>
      <c r="DO616" s="1707"/>
      <c r="DP616" s="1707"/>
      <c r="DQ616" s="1707"/>
      <c r="DR616" s="1707">
        <f t="shared" si="16"/>
        <v>0</v>
      </c>
      <c r="DS616" s="1707"/>
      <c r="DT616" s="1707"/>
      <c r="DU616" s="1707"/>
      <c r="DV616" s="1707"/>
      <c r="DX616" s="1427" t="str">
        <f t="shared" si="17"/>
        <v xml:space="preserve"> </v>
      </c>
      <c r="DY616" s="1852"/>
      <c r="DZ616" s="1852"/>
      <c r="EA616" s="1852"/>
      <c r="EB616" s="1428"/>
      <c r="EC616" s="1427" t="str">
        <f t="shared" si="18"/>
        <v xml:space="preserve"> </v>
      </c>
      <c r="ED616" s="1852"/>
      <c r="EE616" s="1852"/>
      <c r="EF616" s="1852"/>
      <c r="EG616" s="1428"/>
      <c r="EH616" s="1427" t="str">
        <f t="shared" si="19"/>
        <v xml:space="preserve"> </v>
      </c>
      <c r="EI616" s="1852"/>
      <c r="EJ616" s="1852"/>
      <c r="EK616" s="1852"/>
      <c r="EL616" s="1428"/>
      <c r="EM616" s="1427" t="str">
        <f t="shared" si="20"/>
        <v xml:space="preserve"> </v>
      </c>
      <c r="EN616" s="1852"/>
      <c r="EO616" s="1852"/>
      <c r="EP616" s="1852"/>
      <c r="EQ616" s="1428"/>
      <c r="ER616" s="1427" t="str">
        <f t="shared" si="21"/>
        <v xml:space="preserve"> </v>
      </c>
      <c r="ES616" s="1852"/>
      <c r="ET616" s="1852"/>
      <c r="EU616" s="1852"/>
      <c r="EV616" s="1428"/>
      <c r="EW616" s="1427" t="str">
        <f t="shared" si="22"/>
        <v xml:space="preserve"> </v>
      </c>
      <c r="EX616" s="1852"/>
      <c r="EY616" s="1852"/>
      <c r="EZ616" s="1852"/>
      <c r="FA616" s="1428"/>
    </row>
    <row r="617" spans="1:157" ht="12.95" customHeight="1">
      <c r="A617" s="2"/>
      <c r="B617" s="2"/>
      <c r="C617" s="2"/>
      <c r="AZ617" s="3"/>
      <c r="BA617" s="3"/>
      <c r="BB617" s="3"/>
      <c r="BC617" s="3"/>
      <c r="BD617" s="3"/>
      <c r="BE617" s="1427">
        <f t="shared" si="1"/>
        <v>0</v>
      </c>
      <c r="BF617" s="1428"/>
      <c r="BG617" s="1473">
        <f t="shared" si="2"/>
        <v>0</v>
      </c>
      <c r="BH617" s="1474"/>
      <c r="BI617" s="1427">
        <f t="shared" si="3"/>
        <v>0</v>
      </c>
      <c r="BJ617" s="1428"/>
      <c r="BK617" s="1473">
        <f t="shared" si="4"/>
        <v>0</v>
      </c>
      <c r="BL617" s="1474"/>
      <c r="BM617" s="3"/>
      <c r="BN617" s="1475">
        <f t="shared" si="5"/>
        <v>0</v>
      </c>
      <c r="BO617" s="1476"/>
      <c r="BP617" s="1476"/>
      <c r="BQ617" s="1476"/>
      <c r="BR617" s="1477"/>
      <c r="BS617" s="1409">
        <f t="shared" si="6"/>
        <v>0</v>
      </c>
      <c r="BT617" s="1409"/>
      <c r="BU617" s="1409"/>
      <c r="BV617" s="1409"/>
      <c r="BW617" s="1409"/>
      <c r="BX617" s="1409">
        <f t="shared" si="7"/>
        <v>0</v>
      </c>
      <c r="BY617" s="1409"/>
      <c r="BZ617" s="1409"/>
      <c r="CA617" s="1409"/>
      <c r="CB617" s="1409"/>
      <c r="CC617" s="1409">
        <f t="shared" si="8"/>
        <v>0</v>
      </c>
      <c r="CD617" s="1409"/>
      <c r="CE617" s="1409"/>
      <c r="CF617" s="1409"/>
      <c r="CG617" s="1409"/>
      <c r="CH617" s="1409">
        <f t="shared" si="9"/>
        <v>0</v>
      </c>
      <c r="CI617" s="1409"/>
      <c r="CJ617" s="1409"/>
      <c r="CK617" s="1409"/>
      <c r="CL617" s="1409"/>
      <c r="CM617" s="1409">
        <f t="shared" si="10"/>
        <v>0</v>
      </c>
      <c r="CN617" s="1409"/>
      <c r="CO617" s="1409"/>
      <c r="CP617" s="1409"/>
      <c r="CQ617" s="1409"/>
      <c r="CR617" s="6"/>
      <c r="CS617" s="1707">
        <f t="shared" si="11"/>
        <v>0</v>
      </c>
      <c r="CT617" s="1707"/>
      <c r="CU617" s="1707"/>
      <c r="CV617" s="1707"/>
      <c r="CW617" s="1707"/>
      <c r="CX617" s="1707">
        <f t="shared" si="12"/>
        <v>0</v>
      </c>
      <c r="CY617" s="1707"/>
      <c r="CZ617" s="1707"/>
      <c r="DA617" s="1707"/>
      <c r="DB617" s="1707"/>
      <c r="DC617" s="1707">
        <f t="shared" si="13"/>
        <v>0</v>
      </c>
      <c r="DD617" s="1707"/>
      <c r="DE617" s="1707"/>
      <c r="DF617" s="1707"/>
      <c r="DG617" s="1707"/>
      <c r="DH617" s="1707">
        <f t="shared" si="14"/>
        <v>0</v>
      </c>
      <c r="DI617" s="1707"/>
      <c r="DJ617" s="1707"/>
      <c r="DK617" s="1707"/>
      <c r="DL617" s="1707"/>
      <c r="DM617" s="1707">
        <f t="shared" si="15"/>
        <v>0</v>
      </c>
      <c r="DN617" s="1707"/>
      <c r="DO617" s="1707"/>
      <c r="DP617" s="1707"/>
      <c r="DQ617" s="1707"/>
      <c r="DR617" s="1707">
        <f t="shared" si="16"/>
        <v>0</v>
      </c>
      <c r="DS617" s="1707"/>
      <c r="DT617" s="1707"/>
      <c r="DU617" s="1707"/>
      <c r="DV617" s="1707"/>
      <c r="DX617" s="1427" t="str">
        <f t="shared" si="17"/>
        <v xml:space="preserve"> </v>
      </c>
      <c r="DY617" s="1852"/>
      <c r="DZ617" s="1852"/>
      <c r="EA617" s="1852"/>
      <c r="EB617" s="1428"/>
      <c r="EC617" s="1427" t="str">
        <f t="shared" si="18"/>
        <v xml:space="preserve"> </v>
      </c>
      <c r="ED617" s="1852"/>
      <c r="EE617" s="1852"/>
      <c r="EF617" s="1852"/>
      <c r="EG617" s="1428"/>
      <c r="EH617" s="1427" t="str">
        <f t="shared" si="19"/>
        <v xml:space="preserve"> </v>
      </c>
      <c r="EI617" s="1852"/>
      <c r="EJ617" s="1852"/>
      <c r="EK617" s="1852"/>
      <c r="EL617" s="1428"/>
      <c r="EM617" s="1427" t="str">
        <f t="shared" si="20"/>
        <v xml:space="preserve"> </v>
      </c>
      <c r="EN617" s="1852"/>
      <c r="EO617" s="1852"/>
      <c r="EP617" s="1852"/>
      <c r="EQ617" s="1428"/>
      <c r="ER617" s="1427" t="str">
        <f t="shared" si="21"/>
        <v xml:space="preserve"> </v>
      </c>
      <c r="ES617" s="1852"/>
      <c r="ET617" s="1852"/>
      <c r="EU617" s="1852"/>
      <c r="EV617" s="1428"/>
      <c r="EW617" s="1427" t="str">
        <f t="shared" si="22"/>
        <v xml:space="preserve"> </v>
      </c>
      <c r="EX617" s="1852"/>
      <c r="EY617" s="1852"/>
      <c r="EZ617" s="1852"/>
      <c r="FA617" s="1428"/>
    </row>
    <row r="618" spans="1:157" ht="12.95" customHeight="1">
      <c r="C618" s="2" t="s">
        <v>2529</v>
      </c>
      <c r="AZ618" s="3"/>
      <c r="BA618" s="3"/>
      <c r="BB618" s="3"/>
      <c r="BC618" s="3"/>
      <c r="BD618" s="3"/>
      <c r="BE618" s="1427">
        <f t="shared" si="1"/>
        <v>0</v>
      </c>
      <c r="BF618" s="1428"/>
      <c r="BG618" s="1473">
        <f t="shared" si="2"/>
        <v>0</v>
      </c>
      <c r="BH618" s="1474"/>
      <c r="BI618" s="1427">
        <f t="shared" si="3"/>
        <v>0</v>
      </c>
      <c r="BJ618" s="1428"/>
      <c r="BK618" s="1473">
        <f t="shared" si="4"/>
        <v>0</v>
      </c>
      <c r="BL618" s="1474"/>
      <c r="BM618" s="3"/>
      <c r="BN618" s="1475">
        <f t="shared" si="5"/>
        <v>0</v>
      </c>
      <c r="BO618" s="1476"/>
      <c r="BP618" s="1476"/>
      <c r="BQ618" s="1476"/>
      <c r="BR618" s="1477"/>
      <c r="BS618" s="1409">
        <f t="shared" si="6"/>
        <v>0</v>
      </c>
      <c r="BT618" s="1409"/>
      <c r="BU618" s="1409"/>
      <c r="BV618" s="1409"/>
      <c r="BW618" s="1409"/>
      <c r="BX618" s="1409">
        <f t="shared" si="7"/>
        <v>0</v>
      </c>
      <c r="BY618" s="1409"/>
      <c r="BZ618" s="1409"/>
      <c r="CA618" s="1409"/>
      <c r="CB618" s="1409"/>
      <c r="CC618" s="1409">
        <f t="shared" si="8"/>
        <v>0</v>
      </c>
      <c r="CD618" s="1409"/>
      <c r="CE618" s="1409"/>
      <c r="CF618" s="1409"/>
      <c r="CG618" s="1409"/>
      <c r="CH618" s="1409">
        <f t="shared" si="9"/>
        <v>0</v>
      </c>
      <c r="CI618" s="1409"/>
      <c r="CJ618" s="1409"/>
      <c r="CK618" s="1409"/>
      <c r="CL618" s="1409"/>
      <c r="CM618" s="1409">
        <f t="shared" si="10"/>
        <v>0</v>
      </c>
      <c r="CN618" s="1409"/>
      <c r="CO618" s="1409"/>
      <c r="CP618" s="1409"/>
      <c r="CQ618" s="1409"/>
      <c r="CR618" s="6"/>
      <c r="CS618" s="1707">
        <f t="shared" si="11"/>
        <v>0</v>
      </c>
      <c r="CT618" s="1707"/>
      <c r="CU618" s="1707"/>
      <c r="CV618" s="1707"/>
      <c r="CW618" s="1707"/>
      <c r="CX618" s="1707">
        <f t="shared" si="12"/>
        <v>0</v>
      </c>
      <c r="CY618" s="1707"/>
      <c r="CZ618" s="1707"/>
      <c r="DA618" s="1707"/>
      <c r="DB618" s="1707"/>
      <c r="DC618" s="1707">
        <f t="shared" si="13"/>
        <v>0</v>
      </c>
      <c r="DD618" s="1707"/>
      <c r="DE618" s="1707"/>
      <c r="DF618" s="1707"/>
      <c r="DG618" s="1707"/>
      <c r="DH618" s="1707">
        <f t="shared" si="14"/>
        <v>0</v>
      </c>
      <c r="DI618" s="1707"/>
      <c r="DJ618" s="1707"/>
      <c r="DK618" s="1707"/>
      <c r="DL618" s="1707"/>
      <c r="DM618" s="1707">
        <f t="shared" si="15"/>
        <v>0</v>
      </c>
      <c r="DN618" s="1707"/>
      <c r="DO618" s="1707"/>
      <c r="DP618" s="1707"/>
      <c r="DQ618" s="1707"/>
      <c r="DR618" s="1707">
        <f t="shared" si="16"/>
        <v>0</v>
      </c>
      <c r="DS618" s="1707"/>
      <c r="DT618" s="1707"/>
      <c r="DU618" s="1707"/>
      <c r="DV618" s="1707"/>
      <c r="DX618" s="1427" t="str">
        <f t="shared" si="17"/>
        <v xml:space="preserve"> </v>
      </c>
      <c r="DY618" s="1852"/>
      <c r="DZ618" s="1852"/>
      <c r="EA618" s="1852"/>
      <c r="EB618" s="1428"/>
      <c r="EC618" s="1427" t="str">
        <f t="shared" si="18"/>
        <v xml:space="preserve"> </v>
      </c>
      <c r="ED618" s="1852"/>
      <c r="EE618" s="1852"/>
      <c r="EF618" s="1852"/>
      <c r="EG618" s="1428"/>
      <c r="EH618" s="1427" t="str">
        <f t="shared" si="19"/>
        <v xml:space="preserve"> </v>
      </c>
      <c r="EI618" s="1852"/>
      <c r="EJ618" s="1852"/>
      <c r="EK618" s="1852"/>
      <c r="EL618" s="1428"/>
      <c r="EM618" s="1427" t="str">
        <f t="shared" si="20"/>
        <v xml:space="preserve"> </v>
      </c>
      <c r="EN618" s="1852"/>
      <c r="EO618" s="1852"/>
      <c r="EP618" s="1852"/>
      <c r="EQ618" s="1428"/>
      <c r="ER618" s="1427" t="str">
        <f t="shared" si="21"/>
        <v xml:space="preserve"> </v>
      </c>
      <c r="ES618" s="1852"/>
      <c r="ET618" s="1852"/>
      <c r="EU618" s="1852"/>
      <c r="EV618" s="1428"/>
      <c r="EW618" s="1427" t="str">
        <f t="shared" si="22"/>
        <v xml:space="preserve"> </v>
      </c>
      <c r="EX618" s="1852"/>
      <c r="EY618" s="1852"/>
      <c r="EZ618" s="1852"/>
      <c r="FA618" s="1428"/>
    </row>
    <row r="619" spans="1:157" ht="12.95" customHeight="1">
      <c r="B619" s="547"/>
      <c r="C619" s="2"/>
      <c r="AZ619" s="3"/>
      <c r="BA619" s="3"/>
      <c r="BB619" s="3"/>
      <c r="BC619" s="3"/>
      <c r="BD619" s="3"/>
      <c r="BE619" s="1427">
        <f t="shared" si="1"/>
        <v>0</v>
      </c>
      <c r="BF619" s="1428"/>
      <c r="BG619" s="1473">
        <f t="shared" si="2"/>
        <v>0</v>
      </c>
      <c r="BH619" s="1474"/>
      <c r="BI619" s="1427">
        <f t="shared" si="3"/>
        <v>0</v>
      </c>
      <c r="BJ619" s="1428"/>
      <c r="BK619" s="1473">
        <f t="shared" si="4"/>
        <v>0</v>
      </c>
      <c r="BL619" s="1474"/>
      <c r="BM619" s="3"/>
      <c r="BN619" s="1475">
        <f t="shared" si="5"/>
        <v>0</v>
      </c>
      <c r="BO619" s="1476"/>
      <c r="BP619" s="1476"/>
      <c r="BQ619" s="1476"/>
      <c r="BR619" s="1477"/>
      <c r="BS619" s="1409">
        <f t="shared" si="6"/>
        <v>0</v>
      </c>
      <c r="BT619" s="1409"/>
      <c r="BU619" s="1409"/>
      <c r="BV619" s="1409"/>
      <c r="BW619" s="1409"/>
      <c r="BX619" s="1409">
        <f t="shared" si="7"/>
        <v>0</v>
      </c>
      <c r="BY619" s="1409"/>
      <c r="BZ619" s="1409"/>
      <c r="CA619" s="1409"/>
      <c r="CB619" s="1409"/>
      <c r="CC619" s="1409">
        <f t="shared" si="8"/>
        <v>0</v>
      </c>
      <c r="CD619" s="1409"/>
      <c r="CE619" s="1409"/>
      <c r="CF619" s="1409"/>
      <c r="CG619" s="1409"/>
      <c r="CH619" s="1409">
        <f t="shared" si="9"/>
        <v>0</v>
      </c>
      <c r="CI619" s="1409"/>
      <c r="CJ619" s="1409"/>
      <c r="CK619" s="1409"/>
      <c r="CL619" s="1409"/>
      <c r="CM619" s="1409">
        <f t="shared" si="10"/>
        <v>0</v>
      </c>
      <c r="CN619" s="1409"/>
      <c r="CO619" s="1409"/>
      <c r="CP619" s="1409"/>
      <c r="CQ619" s="1409"/>
      <c r="CR619" s="6"/>
      <c r="CS619" s="1707">
        <f t="shared" si="11"/>
        <v>0</v>
      </c>
      <c r="CT619" s="1707"/>
      <c r="CU619" s="1707"/>
      <c r="CV619" s="1707"/>
      <c r="CW619" s="1707"/>
      <c r="CX619" s="1707">
        <f t="shared" si="12"/>
        <v>0</v>
      </c>
      <c r="CY619" s="1707"/>
      <c r="CZ619" s="1707"/>
      <c r="DA619" s="1707"/>
      <c r="DB619" s="1707"/>
      <c r="DC619" s="1707">
        <f t="shared" si="13"/>
        <v>0</v>
      </c>
      <c r="DD619" s="1707"/>
      <c r="DE619" s="1707"/>
      <c r="DF619" s="1707"/>
      <c r="DG619" s="1707"/>
      <c r="DH619" s="1707">
        <f t="shared" si="14"/>
        <v>0</v>
      </c>
      <c r="DI619" s="1707"/>
      <c r="DJ619" s="1707"/>
      <c r="DK619" s="1707"/>
      <c r="DL619" s="1707"/>
      <c r="DM619" s="1707">
        <f t="shared" si="15"/>
        <v>0</v>
      </c>
      <c r="DN619" s="1707"/>
      <c r="DO619" s="1707"/>
      <c r="DP619" s="1707"/>
      <c r="DQ619" s="1707"/>
      <c r="DR619" s="1707">
        <f t="shared" si="16"/>
        <v>0</v>
      </c>
      <c r="DS619" s="1707"/>
      <c r="DT619" s="1707"/>
      <c r="DU619" s="1707"/>
      <c r="DV619" s="1707"/>
      <c r="DX619" s="1427" t="str">
        <f t="shared" si="17"/>
        <v xml:space="preserve"> </v>
      </c>
      <c r="DY619" s="1852"/>
      <c r="DZ619" s="1852"/>
      <c r="EA619" s="1852"/>
      <c r="EB619" s="1428"/>
      <c r="EC619" s="1427" t="str">
        <f t="shared" si="18"/>
        <v xml:space="preserve"> </v>
      </c>
      <c r="ED619" s="1852"/>
      <c r="EE619" s="1852"/>
      <c r="EF619" s="1852"/>
      <c r="EG619" s="1428"/>
      <c r="EH619" s="1427" t="str">
        <f t="shared" si="19"/>
        <v xml:space="preserve"> </v>
      </c>
      <c r="EI619" s="1852"/>
      <c r="EJ619" s="1852"/>
      <c r="EK619" s="1852"/>
      <c r="EL619" s="1428"/>
      <c r="EM619" s="1427" t="str">
        <f t="shared" si="20"/>
        <v xml:space="preserve"> </v>
      </c>
      <c r="EN619" s="1852"/>
      <c r="EO619" s="1852"/>
      <c r="EP619" s="1852"/>
      <c r="EQ619" s="1428"/>
      <c r="ER619" s="1427" t="str">
        <f t="shared" si="21"/>
        <v xml:space="preserve"> </v>
      </c>
      <c r="ES619" s="1852"/>
      <c r="ET619" s="1852"/>
      <c r="EU619" s="1852"/>
      <c r="EV619" s="1428"/>
      <c r="EW619" s="1427" t="str">
        <f t="shared" si="22"/>
        <v xml:space="preserve"> </v>
      </c>
      <c r="EX619" s="1852"/>
      <c r="EY619" s="1852"/>
      <c r="EZ619" s="1852"/>
      <c r="FA619" s="1428"/>
    </row>
    <row r="620" spans="1:157" ht="12.95" customHeight="1">
      <c r="B620" s="1862" t="s">
        <v>2531</v>
      </c>
      <c r="C620" s="1862"/>
      <c r="D620" s="1862"/>
      <c r="E620" s="1862"/>
      <c r="F620" s="1862"/>
      <c r="G620" s="1862"/>
      <c r="H620" s="1862"/>
      <c r="I620" s="1862"/>
      <c r="J620" s="1862"/>
      <c r="K620" s="1862"/>
      <c r="L620" s="1862"/>
      <c r="M620" s="1516" t="s">
        <v>2532</v>
      </c>
      <c r="N620" s="1516"/>
      <c r="O620" s="1516"/>
      <c r="P620" s="1516"/>
      <c r="Q620" s="1516" t="s">
        <v>2116</v>
      </c>
      <c r="R620" s="1516"/>
      <c r="S620" s="1516"/>
      <c r="T620" s="1516" t="s">
        <v>2114</v>
      </c>
      <c r="U620" s="1516"/>
      <c r="V620" s="1516"/>
      <c r="W620" s="1861" t="s">
        <v>463</v>
      </c>
      <c r="X620" s="1861"/>
      <c r="Y620" s="1861"/>
      <c r="Z620" s="1365" t="s">
        <v>2561</v>
      </c>
      <c r="AA620" s="1365"/>
      <c r="AB620" s="1366"/>
      <c r="AC620" s="1743" t="s">
        <v>1936</v>
      </c>
      <c r="AD620" s="1744"/>
      <c r="AE620" s="1745"/>
      <c r="AF620" s="1364" t="s">
        <v>2314</v>
      </c>
      <c r="AG620" s="1365"/>
      <c r="AH620" s="1365"/>
      <c r="AI620" s="1365"/>
      <c r="AJ620" s="1366"/>
      <c r="AK620" s="1733" t="s">
        <v>2315</v>
      </c>
      <c r="AL620" s="1734"/>
      <c r="AM620" s="1734"/>
      <c r="AN620" s="1735"/>
      <c r="AO620" s="1516" t="s">
        <v>464</v>
      </c>
      <c r="AP620" s="1516"/>
      <c r="AQ620" s="1516"/>
      <c r="AR620" s="1516"/>
      <c r="AS620" s="1516"/>
      <c r="AZ620" s="3"/>
      <c r="BA620" s="3"/>
      <c r="BB620" s="3"/>
      <c r="BC620" s="3"/>
      <c r="BD620" s="3"/>
      <c r="BE620" s="1427">
        <f t="shared" si="1"/>
        <v>0</v>
      </c>
      <c r="BF620" s="1428"/>
      <c r="BG620" s="1473">
        <f t="shared" si="2"/>
        <v>0</v>
      </c>
      <c r="BH620" s="1474"/>
      <c r="BI620" s="1427">
        <f t="shared" si="3"/>
        <v>0</v>
      </c>
      <c r="BJ620" s="1428"/>
      <c r="BK620" s="1473">
        <f t="shared" si="4"/>
        <v>0</v>
      </c>
      <c r="BL620" s="1474"/>
      <c r="BM620" s="3"/>
      <c r="BN620" s="1475">
        <f t="shared" si="5"/>
        <v>0</v>
      </c>
      <c r="BO620" s="1476"/>
      <c r="BP620" s="1476"/>
      <c r="BQ620" s="1476"/>
      <c r="BR620" s="1477"/>
      <c r="BS620" s="1409">
        <f t="shared" si="6"/>
        <v>0</v>
      </c>
      <c r="BT620" s="1409"/>
      <c r="BU620" s="1409"/>
      <c r="BV620" s="1409"/>
      <c r="BW620" s="1409"/>
      <c r="BX620" s="1409">
        <f t="shared" si="7"/>
        <v>0</v>
      </c>
      <c r="BY620" s="1409"/>
      <c r="BZ620" s="1409"/>
      <c r="CA620" s="1409"/>
      <c r="CB620" s="1409"/>
      <c r="CC620" s="1409">
        <f t="shared" si="8"/>
        <v>0</v>
      </c>
      <c r="CD620" s="1409"/>
      <c r="CE620" s="1409"/>
      <c r="CF620" s="1409"/>
      <c r="CG620" s="1409"/>
      <c r="CH620" s="1409">
        <f t="shared" si="9"/>
        <v>0</v>
      </c>
      <c r="CI620" s="1409"/>
      <c r="CJ620" s="1409"/>
      <c r="CK620" s="1409"/>
      <c r="CL620" s="1409"/>
      <c r="CM620" s="1409">
        <f t="shared" si="10"/>
        <v>0</v>
      </c>
      <c r="CN620" s="1409"/>
      <c r="CO620" s="1409"/>
      <c r="CP620" s="1409"/>
      <c r="CQ620" s="1409"/>
      <c r="CR620" s="6"/>
      <c r="CS620" s="1707">
        <f t="shared" si="11"/>
        <v>0</v>
      </c>
      <c r="CT620" s="1707"/>
      <c r="CU620" s="1707"/>
      <c r="CV620" s="1707"/>
      <c r="CW620" s="1707"/>
      <c r="CX620" s="1707">
        <f t="shared" si="12"/>
        <v>0</v>
      </c>
      <c r="CY620" s="1707"/>
      <c r="CZ620" s="1707"/>
      <c r="DA620" s="1707"/>
      <c r="DB620" s="1707"/>
      <c r="DC620" s="1707">
        <f t="shared" si="13"/>
        <v>0</v>
      </c>
      <c r="DD620" s="1707"/>
      <c r="DE620" s="1707"/>
      <c r="DF620" s="1707"/>
      <c r="DG620" s="1707"/>
      <c r="DH620" s="1707">
        <f t="shared" si="14"/>
        <v>0</v>
      </c>
      <c r="DI620" s="1707"/>
      <c r="DJ620" s="1707"/>
      <c r="DK620" s="1707"/>
      <c r="DL620" s="1707"/>
      <c r="DM620" s="1707">
        <f t="shared" si="15"/>
        <v>0</v>
      </c>
      <c r="DN620" s="1707"/>
      <c r="DO620" s="1707"/>
      <c r="DP620" s="1707"/>
      <c r="DQ620" s="1707"/>
      <c r="DR620" s="1707">
        <f t="shared" si="16"/>
        <v>0</v>
      </c>
      <c r="DS620" s="1707"/>
      <c r="DT620" s="1707"/>
      <c r="DU620" s="1707"/>
      <c r="DV620" s="1707"/>
      <c r="DX620" s="1427" t="str">
        <f t="shared" si="17"/>
        <v xml:space="preserve"> </v>
      </c>
      <c r="DY620" s="1852"/>
      <c r="DZ620" s="1852"/>
      <c r="EA620" s="1852"/>
      <c r="EB620" s="1428"/>
      <c r="EC620" s="1427" t="str">
        <f t="shared" si="18"/>
        <v xml:space="preserve"> </v>
      </c>
      <c r="ED620" s="1852"/>
      <c r="EE620" s="1852"/>
      <c r="EF620" s="1852"/>
      <c r="EG620" s="1428"/>
      <c r="EH620" s="1427" t="str">
        <f t="shared" si="19"/>
        <v xml:space="preserve"> </v>
      </c>
      <c r="EI620" s="1852"/>
      <c r="EJ620" s="1852"/>
      <c r="EK620" s="1852"/>
      <c r="EL620" s="1428"/>
      <c r="EM620" s="1427" t="str">
        <f t="shared" si="20"/>
        <v xml:space="preserve"> </v>
      </c>
      <c r="EN620" s="1852"/>
      <c r="EO620" s="1852"/>
      <c r="EP620" s="1852"/>
      <c r="EQ620" s="1428"/>
      <c r="ER620" s="1427" t="str">
        <f t="shared" si="21"/>
        <v xml:space="preserve"> </v>
      </c>
      <c r="ES620" s="1852"/>
      <c r="ET620" s="1852"/>
      <c r="EU620" s="1852"/>
      <c r="EV620" s="1428"/>
      <c r="EW620" s="1427" t="str">
        <f t="shared" si="22"/>
        <v xml:space="preserve"> </v>
      </c>
      <c r="EX620" s="1852"/>
      <c r="EY620" s="1852"/>
      <c r="EZ620" s="1852"/>
      <c r="FA620" s="1428"/>
    </row>
    <row r="621" spans="1:157" ht="12.95" customHeight="1">
      <c r="B621" s="1862"/>
      <c r="C621" s="1862"/>
      <c r="D621" s="1862"/>
      <c r="E621" s="1862"/>
      <c r="F621" s="1862"/>
      <c r="G621" s="1862"/>
      <c r="H621" s="1862"/>
      <c r="I621" s="1862"/>
      <c r="J621" s="1862"/>
      <c r="K621" s="1862"/>
      <c r="L621" s="1862"/>
      <c r="M621" s="1516"/>
      <c r="N621" s="1516"/>
      <c r="O621" s="1516"/>
      <c r="P621" s="1516"/>
      <c r="Q621" s="1516"/>
      <c r="R621" s="1516"/>
      <c r="S621" s="1516"/>
      <c r="T621" s="1516"/>
      <c r="U621" s="1516"/>
      <c r="V621" s="1516"/>
      <c r="W621" s="1861"/>
      <c r="X621" s="1861"/>
      <c r="Y621" s="1861"/>
      <c r="Z621" s="1368"/>
      <c r="AA621" s="1368"/>
      <c r="AB621" s="1369"/>
      <c r="AC621" s="1746"/>
      <c r="AD621" s="1747"/>
      <c r="AE621" s="1748"/>
      <c r="AF621" s="1367"/>
      <c r="AG621" s="1368"/>
      <c r="AH621" s="1368"/>
      <c r="AI621" s="1368"/>
      <c r="AJ621" s="1369"/>
      <c r="AK621" s="1736"/>
      <c r="AL621" s="1737"/>
      <c r="AM621" s="1737"/>
      <c r="AN621" s="1738"/>
      <c r="AO621" s="1516"/>
      <c r="AP621" s="1516"/>
      <c r="AQ621" s="1516"/>
      <c r="AR621" s="1516"/>
      <c r="AS621" s="1516"/>
      <c r="AZ621" s="3"/>
      <c r="BA621" s="3"/>
      <c r="BB621" s="3"/>
      <c r="BC621" s="3"/>
      <c r="BD621" s="3"/>
      <c r="BE621" s="3"/>
      <c r="BF621" s="3"/>
      <c r="BG621" s="1427">
        <f>SUM(BG596:BH620)</f>
        <v>49</v>
      </c>
      <c r="BH621" s="1428"/>
      <c r="BI621" s="3"/>
      <c r="BJ621" s="3"/>
      <c r="BK621" s="1427">
        <f>SUM(BK596:BL620)</f>
        <v>21</v>
      </c>
      <c r="BL621" s="1428"/>
      <c r="BM621" s="3"/>
      <c r="BN621" s="1427">
        <f>SUM(BN596:BR620)</f>
        <v>0</v>
      </c>
      <c r="BO621" s="1852"/>
      <c r="BP621" s="1852"/>
      <c r="BQ621" s="1852"/>
      <c r="BR621" s="1428"/>
      <c r="BS621" s="1698">
        <f>SUM(BS596:BW620)</f>
        <v>8</v>
      </c>
      <c r="BT621" s="1698"/>
      <c r="BU621" s="1698"/>
      <c r="BV621" s="1698"/>
      <c r="BW621" s="1698"/>
      <c r="BX621" s="1698">
        <f>SUM(BX596:CB620)</f>
        <v>24</v>
      </c>
      <c r="BY621" s="1698"/>
      <c r="BZ621" s="1698"/>
      <c r="CA621" s="1698"/>
      <c r="CB621" s="1698"/>
      <c r="CC621" s="1698">
        <f>SUM(CC596:CG620)</f>
        <v>32</v>
      </c>
      <c r="CD621" s="1698"/>
      <c r="CE621" s="1698"/>
      <c r="CF621" s="1698"/>
      <c r="CG621" s="1698"/>
      <c r="CH621" s="1698">
        <f>SUM(CH596:CL620)</f>
        <v>10</v>
      </c>
      <c r="CI621" s="1698"/>
      <c r="CJ621" s="1698"/>
      <c r="CK621" s="1698"/>
      <c r="CL621" s="1698"/>
      <c r="CM621" s="1698">
        <f>SUM(CM596:CQ620)</f>
        <v>0</v>
      </c>
      <c r="CN621" s="1698"/>
      <c r="CO621" s="1698"/>
      <c r="CP621" s="1698"/>
      <c r="CQ621" s="1698"/>
      <c r="CR621" s="386"/>
      <c r="CS621" s="1698">
        <f>SUM(CS596:CW620)</f>
        <v>0</v>
      </c>
      <c r="CT621" s="1698"/>
      <c r="CU621" s="1698"/>
      <c r="CV621" s="1698"/>
      <c r="CW621" s="1698"/>
      <c r="CX621" s="1698">
        <f>SUM(CX596:DB620)</f>
        <v>3</v>
      </c>
      <c r="CY621" s="1698"/>
      <c r="CZ621" s="1698"/>
      <c r="DA621" s="1698"/>
      <c r="DB621" s="1698"/>
      <c r="DC621" s="1698">
        <f>SUM(DC596:DG620)</f>
        <v>9</v>
      </c>
      <c r="DD621" s="1698"/>
      <c r="DE621" s="1698"/>
      <c r="DF621" s="1698"/>
      <c r="DG621" s="1698"/>
      <c r="DH621" s="1698">
        <f>SUM(DH596:DL620)</f>
        <v>7</v>
      </c>
      <c r="DI621" s="1698"/>
      <c r="DJ621" s="1698"/>
      <c r="DK621" s="1698"/>
      <c r="DL621" s="1698"/>
      <c r="DM621" s="1698">
        <f>SUM(DM596:DQ620)</f>
        <v>2</v>
      </c>
      <c r="DN621" s="1698"/>
      <c r="DO621" s="1698"/>
      <c r="DP621" s="1698"/>
      <c r="DQ621" s="1698"/>
      <c r="DR621" s="1698">
        <f>SUM(DR596:DV620)</f>
        <v>0</v>
      </c>
      <c r="DS621" s="1698"/>
      <c r="DT621" s="1698"/>
      <c r="DU621" s="1698"/>
      <c r="DV621" s="1698"/>
      <c r="DX621" s="1698">
        <f>SUM(DX596:EB620)</f>
        <v>0</v>
      </c>
      <c r="DY621" s="1698"/>
      <c r="DZ621" s="1698"/>
      <c r="EA621" s="1698"/>
      <c r="EB621" s="1698"/>
      <c r="EC621" s="1698">
        <f>SUM(EC596:EG620)</f>
        <v>2607</v>
      </c>
      <c r="ED621" s="1698"/>
      <c r="EE621" s="1698"/>
      <c r="EF621" s="1698"/>
      <c r="EG621" s="1698"/>
      <c r="EH621" s="1698">
        <f>SUM(EH596:EL620)</f>
        <v>3134</v>
      </c>
      <c r="EI621" s="1698"/>
      <c r="EJ621" s="1698"/>
      <c r="EK621" s="1698"/>
      <c r="EL621" s="1698"/>
      <c r="EM621" s="1698">
        <f>SUM(EM596:EQ620)</f>
        <v>3621</v>
      </c>
      <c r="EN621" s="1698"/>
      <c r="EO621" s="1698"/>
      <c r="EP621" s="1698"/>
      <c r="EQ621" s="1698"/>
      <c r="ER621" s="1698">
        <f>SUM(ER596:EV620)</f>
        <v>4044</v>
      </c>
      <c r="ES621" s="1698"/>
      <c r="ET621" s="1698"/>
      <c r="EU621" s="1698"/>
      <c r="EV621" s="1698"/>
      <c r="EW621" s="1698">
        <f>SUM(EW596:FA620)</f>
        <v>0</v>
      </c>
      <c r="EX621" s="1698"/>
      <c r="EY621" s="1698"/>
      <c r="EZ621" s="1698"/>
      <c r="FA621" s="1698"/>
    </row>
    <row r="622" spans="1:157" ht="12.95" customHeight="1">
      <c r="B622" s="1862"/>
      <c r="C622" s="1862"/>
      <c r="D622" s="1862"/>
      <c r="E622" s="1862"/>
      <c r="F622" s="1862"/>
      <c r="G622" s="1862"/>
      <c r="H622" s="1862"/>
      <c r="I622" s="1862"/>
      <c r="J622" s="1862"/>
      <c r="K622" s="1862"/>
      <c r="L622" s="1862"/>
      <c r="M622" s="1516"/>
      <c r="N622" s="1516"/>
      <c r="O622" s="1516"/>
      <c r="P622" s="1516"/>
      <c r="Q622" s="1516"/>
      <c r="R622" s="1516"/>
      <c r="S622" s="1516"/>
      <c r="T622" s="1516"/>
      <c r="U622" s="1516"/>
      <c r="V622" s="1516"/>
      <c r="W622" s="1861"/>
      <c r="X622" s="1861"/>
      <c r="Y622" s="1861"/>
      <c r="Z622" s="1423"/>
      <c r="AA622" s="1423"/>
      <c r="AB622" s="1424"/>
      <c r="AC622" s="1749"/>
      <c r="AD622" s="1750"/>
      <c r="AE622" s="1751"/>
      <c r="AF622" s="1422"/>
      <c r="AG622" s="1423"/>
      <c r="AH622" s="1423"/>
      <c r="AI622" s="1423"/>
      <c r="AJ622" s="1424"/>
      <c r="AK622" s="1739"/>
      <c r="AL622" s="1740"/>
      <c r="AM622" s="1740"/>
      <c r="AN622" s="1741"/>
      <c r="AO622" s="1516"/>
      <c r="AP622" s="1516"/>
      <c r="AQ622" s="1516"/>
      <c r="AR622" s="1516"/>
      <c r="AS622" s="1516"/>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7">
        <f>BN621+BS621+BX621+CC621+CH621+CM621</f>
        <v>74</v>
      </c>
      <c r="CN622" s="1852"/>
      <c r="CO622" s="1852"/>
      <c r="CP622" s="1852"/>
      <c r="CQ622" s="1428"/>
      <c r="CR622" s="386"/>
      <c r="CS622" s="3"/>
      <c r="CT622" s="3"/>
      <c r="CU622" s="3"/>
      <c r="CV622" s="3"/>
      <c r="CW622" s="3"/>
      <c r="CX622" s="3"/>
      <c r="CY622" s="3"/>
      <c r="CZ622" s="3"/>
      <c r="DA622" s="3"/>
      <c r="DB622" s="3"/>
      <c r="DC622" s="3"/>
      <c r="DD622" s="3"/>
      <c r="DE622" s="3"/>
      <c r="DF622" s="3"/>
    </row>
    <row r="623" spans="1:157" ht="12.95" customHeight="1">
      <c r="B623" s="51" t="s">
        <v>113</v>
      </c>
      <c r="C623" s="1711" t="s">
        <v>2718</v>
      </c>
      <c r="D623" s="1711"/>
      <c r="E623" s="1711"/>
      <c r="F623" s="1711"/>
      <c r="G623" s="1711"/>
      <c r="H623" s="1711"/>
      <c r="I623" s="1711"/>
      <c r="J623" s="1711"/>
      <c r="K623" s="1711"/>
      <c r="L623" s="1711"/>
      <c r="M623" s="1860" t="s">
        <v>2542</v>
      </c>
      <c r="N623" s="1860"/>
      <c r="O623" s="1860"/>
      <c r="P623" s="1860"/>
      <c r="Q623" s="1562">
        <f>15*12</f>
        <v>180</v>
      </c>
      <c r="R623" s="1562"/>
      <c r="S623" s="1864"/>
      <c r="T623" s="1863">
        <v>480</v>
      </c>
      <c r="U623" s="1562"/>
      <c r="V623" s="1864"/>
      <c r="W623" s="1857">
        <v>6.5699999999999995E-2</v>
      </c>
      <c r="X623" s="1858"/>
      <c r="Y623" s="1859"/>
      <c r="Z623" s="1713" t="s">
        <v>2560</v>
      </c>
      <c r="AA623" s="1714"/>
      <c r="AB623" s="1715"/>
      <c r="AC623" s="1437">
        <v>1</v>
      </c>
      <c r="AD623" s="1438"/>
      <c r="AE623" s="1439"/>
      <c r="AF623" s="1585">
        <v>162380</v>
      </c>
      <c r="AG623" s="1586"/>
      <c r="AH623" s="1586"/>
      <c r="AI623" s="1586"/>
      <c r="AJ623" s="1587"/>
      <c r="AK623" s="1704"/>
      <c r="AL623" s="1705"/>
      <c r="AM623" s="1705"/>
      <c r="AN623" s="1706"/>
      <c r="AO623" s="1611">
        <v>2291757</v>
      </c>
      <c r="AP623" s="1611"/>
      <c r="AQ623" s="1611"/>
      <c r="AR623" s="1611"/>
      <c r="AS623" s="1611"/>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8</v>
      </c>
      <c r="BX623" s="3"/>
      <c r="BY623" s="3"/>
      <c r="BZ623" s="3"/>
      <c r="CA623" s="3"/>
      <c r="CB623" s="897">
        <f>BX621*2</f>
        <v>48</v>
      </c>
      <c r="CC623" s="3"/>
      <c r="CD623" s="3"/>
      <c r="CE623" s="3"/>
      <c r="CF623" s="3"/>
      <c r="CG623" s="897">
        <f>CC621*3</f>
        <v>96</v>
      </c>
      <c r="CH623" s="3"/>
      <c r="CI623" s="3"/>
      <c r="CJ623" s="3"/>
      <c r="CK623" s="3"/>
      <c r="CL623" s="897">
        <f>CH621*4</f>
        <v>40</v>
      </c>
      <c r="CM623" s="3"/>
      <c r="CN623" s="3"/>
      <c r="CO623" s="3"/>
      <c r="CP623" s="3"/>
      <c r="CQ623" s="897">
        <f>CM621*5</f>
        <v>0</v>
      </c>
      <c r="CS623" s="897">
        <f>BR623+BW623+CB623+CG623+CL623+CQ623</f>
        <v>192</v>
      </c>
      <c r="CT623" s="57" t="s">
        <v>2126</v>
      </c>
      <c r="CU623" s="3"/>
      <c r="CV623" s="3"/>
      <c r="CW623" s="3"/>
      <c r="CX623" s="3"/>
      <c r="CY623" s="3"/>
      <c r="CZ623" s="3"/>
      <c r="DA623" s="3"/>
      <c r="DB623" s="3"/>
      <c r="DC623" s="3"/>
      <c r="DD623" s="3"/>
      <c r="DE623" s="3"/>
      <c r="DF623" s="3"/>
    </row>
    <row r="624" spans="1:157" ht="12.95" customHeight="1">
      <c r="B624" s="52" t="s">
        <v>114</v>
      </c>
      <c r="C624" s="1711" t="s">
        <v>2706</v>
      </c>
      <c r="D624" s="1711"/>
      <c r="E624" s="1711"/>
      <c r="F624" s="1711"/>
      <c r="G624" s="1711"/>
      <c r="H624" s="1711"/>
      <c r="I624" s="1711"/>
      <c r="J624" s="1711"/>
      <c r="K624" s="1711"/>
      <c r="L624" s="1711"/>
      <c r="M624" s="1860" t="s">
        <v>2541</v>
      </c>
      <c r="N624" s="1860"/>
      <c r="O624" s="1860"/>
      <c r="P624" s="1860"/>
      <c r="Q624" s="1863"/>
      <c r="R624" s="1562"/>
      <c r="S624" s="1864"/>
      <c r="T624" s="1863"/>
      <c r="U624" s="1562"/>
      <c r="V624" s="1864"/>
      <c r="W624" s="1857"/>
      <c r="X624" s="1858"/>
      <c r="Y624" s="1859"/>
      <c r="Z624" s="1713" t="s">
        <v>1328</v>
      </c>
      <c r="AA624" s="1714"/>
      <c r="AB624" s="1715"/>
      <c r="AC624" s="1437"/>
      <c r="AD624" s="1438"/>
      <c r="AE624" s="1439"/>
      <c r="AF624" s="1585"/>
      <c r="AG624" s="1586"/>
      <c r="AH624" s="1586"/>
      <c r="AI624" s="1586"/>
      <c r="AJ624" s="1587"/>
      <c r="AK624" s="1704"/>
      <c r="AL624" s="1705"/>
      <c r="AM624" s="1705"/>
      <c r="AN624" s="1706"/>
      <c r="AO624" s="1601">
        <v>10720918</v>
      </c>
      <c r="AP624" s="1602"/>
      <c r="AQ624" s="1602"/>
      <c r="AR624" s="1602"/>
      <c r="AS624" s="160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3" t="e">
        <f t="shared" ref="DX624:DX648" si="23">DX596*(BN596/$BN$621)</f>
        <v>#VALUE!</v>
      </c>
      <c r="DY624" s="1853"/>
      <c r="DZ624" s="1853"/>
      <c r="EA624" s="1853"/>
      <c r="EB624" s="1853"/>
      <c r="EC624" s="1853">
        <f t="shared" ref="EC624:EC648" si="24">EC596*(BS596/$BS$621)</f>
        <v>162</v>
      </c>
      <c r="ED624" s="1853"/>
      <c r="EE624" s="1853"/>
      <c r="EF624" s="1853"/>
      <c r="EG624" s="1853"/>
      <c r="EH624" s="1853" t="e">
        <f t="shared" ref="EH624:EH648" si="25">EH596*(BX596/$BX$621)</f>
        <v>#VALUE!</v>
      </c>
      <c r="EI624" s="1853"/>
      <c r="EJ624" s="1853"/>
      <c r="EK624" s="1853"/>
      <c r="EL624" s="1853"/>
      <c r="EM624" s="1853" t="e">
        <f t="shared" ref="EM624:EM648" si="26">EM596*(CC596/$CC$621)</f>
        <v>#VALUE!</v>
      </c>
      <c r="EN624" s="1853"/>
      <c r="EO624" s="1853"/>
      <c r="EP624" s="1853"/>
      <c r="EQ624" s="1853"/>
      <c r="ER624" s="1853" t="e">
        <f t="shared" ref="ER624:ER648" si="27">ER596*(CH596/$CH$621)</f>
        <v>#VALUE!</v>
      </c>
      <c r="ES624" s="1853"/>
      <c r="ET624" s="1853"/>
      <c r="EU624" s="1853"/>
      <c r="EV624" s="1853"/>
      <c r="EW624" s="1853" t="e">
        <f t="shared" ref="EW624:EW648" si="28">EW596*(CM596/$CM$621)</f>
        <v>#VALUE!</v>
      </c>
      <c r="EX624" s="1853"/>
      <c r="EY624" s="1853"/>
      <c r="EZ624" s="1853"/>
      <c r="FA624" s="1853"/>
    </row>
    <row r="625" spans="1:157" ht="12.95" customHeight="1">
      <c r="B625" s="52" t="s">
        <v>120</v>
      </c>
      <c r="C625" s="1711" t="s">
        <v>2733</v>
      </c>
      <c r="D625" s="1711"/>
      <c r="E625" s="1711"/>
      <c r="F625" s="1711"/>
      <c r="G625" s="1711"/>
      <c r="H625" s="1711"/>
      <c r="I625" s="1711"/>
      <c r="J625" s="1711"/>
      <c r="K625" s="1711"/>
      <c r="L625" s="1711"/>
      <c r="M625" s="1860" t="s">
        <v>2539</v>
      </c>
      <c r="N625" s="1860"/>
      <c r="O625" s="1860"/>
      <c r="P625" s="1860"/>
      <c r="Q625" s="1863"/>
      <c r="R625" s="1562"/>
      <c r="S625" s="1864"/>
      <c r="T625" s="1863"/>
      <c r="U625" s="1562"/>
      <c r="V625" s="1864"/>
      <c r="W625" s="1857"/>
      <c r="X625" s="1858"/>
      <c r="Y625" s="1859"/>
      <c r="Z625" s="1713" t="s">
        <v>1328</v>
      </c>
      <c r="AA625" s="1714"/>
      <c r="AB625" s="1715"/>
      <c r="AC625" s="1437"/>
      <c r="AD625" s="1438"/>
      <c r="AE625" s="1439"/>
      <c r="AF625" s="1585"/>
      <c r="AG625" s="1586"/>
      <c r="AH625" s="1586"/>
      <c r="AI625" s="1586"/>
      <c r="AJ625" s="1587"/>
      <c r="AK625" s="1704"/>
      <c r="AL625" s="1705"/>
      <c r="AM625" s="1705"/>
      <c r="AN625" s="1706"/>
      <c r="AO625" s="1601">
        <v>301864</v>
      </c>
      <c r="AP625" s="1602"/>
      <c r="AQ625" s="1602"/>
      <c r="AR625" s="1602"/>
      <c r="AS625" s="1603"/>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3" t="e">
        <f t="shared" si="23"/>
        <v>#VALUE!</v>
      </c>
      <c r="DY625" s="1853"/>
      <c r="DZ625" s="1853"/>
      <c r="EA625" s="1853"/>
      <c r="EB625" s="1853"/>
      <c r="EC625" s="1853">
        <f t="shared" si="24"/>
        <v>217.125</v>
      </c>
      <c r="ED625" s="1853"/>
      <c r="EE625" s="1853"/>
      <c r="EF625" s="1853"/>
      <c r="EG625" s="1853"/>
      <c r="EH625" s="1853" t="e">
        <f t="shared" si="25"/>
        <v>#VALUE!</v>
      </c>
      <c r="EI625" s="1853"/>
      <c r="EJ625" s="1853"/>
      <c r="EK625" s="1853"/>
      <c r="EL625" s="1853"/>
      <c r="EM625" s="1853" t="e">
        <f t="shared" si="26"/>
        <v>#VALUE!</v>
      </c>
      <c r="EN625" s="1853"/>
      <c r="EO625" s="1853"/>
      <c r="EP625" s="1853"/>
      <c r="EQ625" s="1853"/>
      <c r="ER625" s="1853" t="e">
        <f t="shared" si="27"/>
        <v>#VALUE!</v>
      </c>
      <c r="ES625" s="1853"/>
      <c r="ET625" s="1853"/>
      <c r="EU625" s="1853"/>
      <c r="EV625" s="1853"/>
      <c r="EW625" s="1853" t="e">
        <f t="shared" si="28"/>
        <v>#VALUE!</v>
      </c>
      <c r="EX625" s="1853"/>
      <c r="EY625" s="1853"/>
      <c r="EZ625" s="1853"/>
      <c r="FA625" s="1853"/>
    </row>
    <row r="626" spans="1:157" ht="12.95" customHeight="1">
      <c r="B626" s="52" t="s">
        <v>591</v>
      </c>
      <c r="C626" s="1711" t="s">
        <v>2719</v>
      </c>
      <c r="D626" s="1712"/>
      <c r="E626" s="1712"/>
      <c r="F626" s="1712"/>
      <c r="G626" s="1712"/>
      <c r="H626" s="1712"/>
      <c r="I626" s="1712"/>
      <c r="J626" s="1712"/>
      <c r="K626" s="1712"/>
      <c r="L626" s="1712"/>
      <c r="M626" s="1860" t="s">
        <v>2535</v>
      </c>
      <c r="N626" s="1860"/>
      <c r="O626" s="1860"/>
      <c r="P626" s="1860"/>
      <c r="Q626" s="1863"/>
      <c r="R626" s="1562"/>
      <c r="S626" s="1864"/>
      <c r="T626" s="1863"/>
      <c r="U626" s="1562"/>
      <c r="V626" s="1864"/>
      <c r="W626" s="1857"/>
      <c r="X626" s="1858"/>
      <c r="Y626" s="1859"/>
      <c r="Z626" s="1713" t="s">
        <v>468</v>
      </c>
      <c r="AA626" s="1714"/>
      <c r="AB626" s="1715"/>
      <c r="AC626" s="1437"/>
      <c r="AD626" s="1438"/>
      <c r="AE626" s="1439"/>
      <c r="AF626" s="1585"/>
      <c r="AG626" s="1586"/>
      <c r="AH626" s="1586"/>
      <c r="AI626" s="1586"/>
      <c r="AJ626" s="1587"/>
      <c r="AK626" s="1704"/>
      <c r="AL626" s="1705"/>
      <c r="AM626" s="1705"/>
      <c r="AN626" s="1706"/>
      <c r="AO626" s="1601">
        <v>91850</v>
      </c>
      <c r="AP626" s="1602"/>
      <c r="AQ626" s="1602"/>
      <c r="AR626" s="1602"/>
      <c r="AS626" s="1603"/>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475">
        <f>IF(J758="SRO/Studio",O758,0)</f>
        <v>0</v>
      </c>
      <c r="BO626" s="1476"/>
      <c r="BP626" s="1476"/>
      <c r="BQ626" s="1476"/>
      <c r="BR626" s="1477"/>
      <c r="BS626" s="1409">
        <f>IF(J758="1 Bedroom",O758,0)</f>
        <v>0</v>
      </c>
      <c r="BT626" s="1409"/>
      <c r="BU626" s="1409"/>
      <c r="BV626" s="1409"/>
      <c r="BW626" s="1409"/>
      <c r="BX626" s="1409">
        <f>IF(J758="2 Bedrooms",O758,0)</f>
        <v>0</v>
      </c>
      <c r="BY626" s="1409"/>
      <c r="BZ626" s="1409"/>
      <c r="CA626" s="1409"/>
      <c r="CB626" s="1409"/>
      <c r="CC626" s="1409">
        <f>IF(J758="3 Bedrooms",O758,0)</f>
        <v>1</v>
      </c>
      <c r="CD626" s="1409"/>
      <c r="CE626" s="1409"/>
      <c r="CF626" s="1409"/>
      <c r="CG626" s="1409"/>
      <c r="CH626" s="1409">
        <f>IF(J758="4 Bedrooms",O758,0)</f>
        <v>0</v>
      </c>
      <c r="CI626" s="1409"/>
      <c r="CJ626" s="1409"/>
      <c r="CK626" s="1409"/>
      <c r="CL626" s="1409"/>
      <c r="CM626" s="1409">
        <f>IF(J758="5 Bedrooms",O758,0)</f>
        <v>0</v>
      </c>
      <c r="CN626" s="1409"/>
      <c r="CO626" s="1409"/>
      <c r="CP626" s="1409"/>
      <c r="CQ626" s="1409"/>
      <c r="CR626" s="6"/>
      <c r="CS626" s="3"/>
      <c r="CT626" s="3"/>
      <c r="CU626" s="3"/>
      <c r="CV626" s="3"/>
      <c r="CW626" s="3"/>
      <c r="CX626" s="3"/>
      <c r="CY626" s="3"/>
      <c r="CZ626" s="3"/>
      <c r="DA626" s="3"/>
      <c r="DB626" s="3"/>
      <c r="DC626" s="3"/>
      <c r="DD626" s="3"/>
      <c r="DE626" s="3"/>
      <c r="DF626" s="3"/>
      <c r="DX626" s="1853" t="e">
        <f t="shared" si="23"/>
        <v>#VALUE!</v>
      </c>
      <c r="DY626" s="1853"/>
      <c r="DZ626" s="1853"/>
      <c r="EA626" s="1853"/>
      <c r="EB626" s="1853"/>
      <c r="EC626" s="1853">
        <f t="shared" si="24"/>
        <v>90.625</v>
      </c>
      <c r="ED626" s="1853"/>
      <c r="EE626" s="1853"/>
      <c r="EF626" s="1853"/>
      <c r="EG626" s="1853"/>
      <c r="EH626" s="1853" t="e">
        <f t="shared" si="25"/>
        <v>#VALUE!</v>
      </c>
      <c r="EI626" s="1853"/>
      <c r="EJ626" s="1853"/>
      <c r="EK626" s="1853"/>
      <c r="EL626" s="1853"/>
      <c r="EM626" s="1853" t="e">
        <f t="shared" si="26"/>
        <v>#VALUE!</v>
      </c>
      <c r="EN626" s="1853"/>
      <c r="EO626" s="1853"/>
      <c r="EP626" s="1853"/>
      <c r="EQ626" s="1853"/>
      <c r="ER626" s="1853" t="e">
        <f t="shared" si="27"/>
        <v>#VALUE!</v>
      </c>
      <c r="ES626" s="1853"/>
      <c r="ET626" s="1853"/>
      <c r="EU626" s="1853"/>
      <c r="EV626" s="1853"/>
      <c r="EW626" s="1853" t="e">
        <f t="shared" si="28"/>
        <v>#VALUE!</v>
      </c>
      <c r="EX626" s="1853"/>
      <c r="EY626" s="1853"/>
      <c r="EZ626" s="1853"/>
      <c r="FA626" s="1853"/>
    </row>
    <row r="627" spans="1:157" ht="12.95" customHeight="1">
      <c r="B627" s="52" t="s">
        <v>788</v>
      </c>
      <c r="C627" s="1711" t="s">
        <v>2707</v>
      </c>
      <c r="D627" s="1712"/>
      <c r="E627" s="1712"/>
      <c r="F627" s="1712"/>
      <c r="G627" s="1712"/>
      <c r="H627" s="1712"/>
      <c r="I627" s="1712"/>
      <c r="J627" s="1712"/>
      <c r="K627" s="1712"/>
      <c r="L627" s="1712"/>
      <c r="M627" s="1860" t="s">
        <v>2541</v>
      </c>
      <c r="N627" s="1860"/>
      <c r="O627" s="1860"/>
      <c r="P627" s="1860"/>
      <c r="Q627" s="1863"/>
      <c r="R627" s="1562"/>
      <c r="S627" s="1864"/>
      <c r="T627" s="1863"/>
      <c r="U627" s="1562"/>
      <c r="V627" s="1864"/>
      <c r="W627" s="1857"/>
      <c r="X627" s="1858"/>
      <c r="Y627" s="1859"/>
      <c r="Z627" s="1713" t="s">
        <v>1328</v>
      </c>
      <c r="AA627" s="1714"/>
      <c r="AB627" s="1715"/>
      <c r="AC627" s="1437"/>
      <c r="AD627" s="1438"/>
      <c r="AE627" s="1439"/>
      <c r="AF627" s="1585"/>
      <c r="AG627" s="1586"/>
      <c r="AH627" s="1586"/>
      <c r="AI627" s="1586"/>
      <c r="AJ627" s="1587"/>
      <c r="AK627" s="1704"/>
      <c r="AL627" s="1705"/>
      <c r="AM627" s="1705"/>
      <c r="AN627" s="1706"/>
      <c r="AO627" s="1601">
        <v>5209091</v>
      </c>
      <c r="AP627" s="1602"/>
      <c r="AQ627" s="1602"/>
      <c r="AR627" s="1602"/>
      <c r="AS627" s="160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75">
        <f>IF(J759="SRO/Studio",O759,0)</f>
        <v>0</v>
      </c>
      <c r="BO627" s="1476"/>
      <c r="BP627" s="1476"/>
      <c r="BQ627" s="1476"/>
      <c r="BR627" s="1477"/>
      <c r="BS627" s="1409">
        <f>IF(J759="1 Bedroom",O759,0)</f>
        <v>0</v>
      </c>
      <c r="BT627" s="1409"/>
      <c r="BU627" s="1409"/>
      <c r="BV627" s="1409"/>
      <c r="BW627" s="1409"/>
      <c r="BX627" s="1409">
        <f>IF(J759="2 Bedrooms",O759,0)</f>
        <v>0</v>
      </c>
      <c r="BY627" s="1409"/>
      <c r="BZ627" s="1409"/>
      <c r="CA627" s="1409"/>
      <c r="CB627" s="1409"/>
      <c r="CC627" s="1409">
        <f>IF(J759="3 Bedrooms",O759,0)</f>
        <v>0</v>
      </c>
      <c r="CD627" s="1409"/>
      <c r="CE627" s="1409"/>
      <c r="CF627" s="1409"/>
      <c r="CG627" s="1409"/>
      <c r="CH627" s="1409">
        <f>IF(J759="4 Bedrooms",O759,0)</f>
        <v>0</v>
      </c>
      <c r="CI627" s="1409"/>
      <c r="CJ627" s="1409"/>
      <c r="CK627" s="1409"/>
      <c r="CL627" s="1409"/>
      <c r="CM627" s="1409">
        <f>IF(J759="5 Bedrooms",O759,0)</f>
        <v>0</v>
      </c>
      <c r="CN627" s="1409"/>
      <c r="CO627" s="1409"/>
      <c r="CP627" s="1409"/>
      <c r="CQ627" s="1409"/>
      <c r="CR627" s="6"/>
      <c r="CS627" s="3"/>
      <c r="CT627" s="3"/>
      <c r="CU627" s="3"/>
      <c r="CV627" s="3"/>
      <c r="CW627" s="3"/>
      <c r="CX627" s="3"/>
      <c r="CY627" s="3"/>
      <c r="CZ627" s="3"/>
      <c r="DA627" s="3"/>
      <c r="DB627" s="3"/>
      <c r="DC627" s="3"/>
      <c r="DD627" s="3"/>
      <c r="DE627" s="3"/>
      <c r="DF627" s="3"/>
      <c r="DX627" s="1853" t="e">
        <f t="shared" si="23"/>
        <v>#VALUE!</v>
      </c>
      <c r="DY627" s="1853"/>
      <c r="DZ627" s="1853"/>
      <c r="EA627" s="1853"/>
      <c r="EB627" s="1853"/>
      <c r="EC627" s="1853">
        <f t="shared" si="24"/>
        <v>108.875</v>
      </c>
      <c r="ED627" s="1853"/>
      <c r="EE627" s="1853"/>
      <c r="EF627" s="1853"/>
      <c r="EG627" s="1853"/>
      <c r="EH627" s="1853" t="e">
        <f t="shared" si="25"/>
        <v>#VALUE!</v>
      </c>
      <c r="EI627" s="1853"/>
      <c r="EJ627" s="1853"/>
      <c r="EK627" s="1853"/>
      <c r="EL627" s="1853"/>
      <c r="EM627" s="1853" t="e">
        <f t="shared" si="26"/>
        <v>#VALUE!</v>
      </c>
      <c r="EN627" s="1853"/>
      <c r="EO627" s="1853"/>
      <c r="EP627" s="1853"/>
      <c r="EQ627" s="1853"/>
      <c r="ER627" s="1853" t="e">
        <f t="shared" si="27"/>
        <v>#VALUE!</v>
      </c>
      <c r="ES627" s="1853"/>
      <c r="ET627" s="1853"/>
      <c r="EU627" s="1853"/>
      <c r="EV627" s="1853"/>
      <c r="EW627" s="1853" t="e">
        <f t="shared" si="28"/>
        <v>#VALUE!</v>
      </c>
      <c r="EX627" s="1853"/>
      <c r="EY627" s="1853"/>
      <c r="EZ627" s="1853"/>
      <c r="FA627" s="1853"/>
    </row>
    <row r="628" spans="1:157" ht="12.95" customHeight="1">
      <c r="B628" s="52" t="s">
        <v>594</v>
      </c>
      <c r="C628" s="1712"/>
      <c r="D628" s="1712"/>
      <c r="E628" s="1712"/>
      <c r="F628" s="1712"/>
      <c r="G628" s="1712"/>
      <c r="H628" s="1712"/>
      <c r="I628" s="1712"/>
      <c r="J628" s="1712"/>
      <c r="K628" s="1712"/>
      <c r="L628" s="1712"/>
      <c r="M628" s="1860" t="s">
        <v>1328</v>
      </c>
      <c r="N628" s="1860"/>
      <c r="O628" s="1860"/>
      <c r="P628" s="1860"/>
      <c r="Q628" s="1863"/>
      <c r="R628" s="1562"/>
      <c r="S628" s="1864"/>
      <c r="T628" s="1863"/>
      <c r="U628" s="1562"/>
      <c r="V628" s="1864"/>
      <c r="W628" s="1857"/>
      <c r="X628" s="1858"/>
      <c r="Y628" s="1859"/>
      <c r="Z628" s="1713" t="s">
        <v>1328</v>
      </c>
      <c r="AA628" s="1714"/>
      <c r="AB628" s="1715"/>
      <c r="AC628" s="1437"/>
      <c r="AD628" s="1438"/>
      <c r="AE628" s="1439"/>
      <c r="AF628" s="1585"/>
      <c r="AG628" s="1586"/>
      <c r="AH628" s="1586"/>
      <c r="AI628" s="1586"/>
      <c r="AJ628" s="1587"/>
      <c r="AK628" s="1704"/>
      <c r="AL628" s="1705"/>
      <c r="AM628" s="1705"/>
      <c r="AN628" s="1706"/>
      <c r="AO628" s="1601"/>
      <c r="AP628" s="1602"/>
      <c r="AQ628" s="1602"/>
      <c r="AR628" s="1602"/>
      <c r="AS628" s="160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75">
        <f>IF(J760="SRO/Studio",O760,0)</f>
        <v>0</v>
      </c>
      <c r="BO628" s="1476"/>
      <c r="BP628" s="1476"/>
      <c r="BQ628" s="1476"/>
      <c r="BR628" s="1477"/>
      <c r="BS628" s="1409">
        <f>IF(J760="1 Bedroom",O760,0)</f>
        <v>0</v>
      </c>
      <c r="BT628" s="1409"/>
      <c r="BU628" s="1409"/>
      <c r="BV628" s="1409"/>
      <c r="BW628" s="1409"/>
      <c r="BX628" s="1409">
        <f>IF(J760="2 Bedrooms",O760,0)</f>
        <v>0</v>
      </c>
      <c r="BY628" s="1409"/>
      <c r="BZ628" s="1409"/>
      <c r="CA628" s="1409"/>
      <c r="CB628" s="1409"/>
      <c r="CC628" s="1409">
        <f>IF(J760="3 Bedrooms",O760,0)</f>
        <v>0</v>
      </c>
      <c r="CD628" s="1409"/>
      <c r="CE628" s="1409"/>
      <c r="CF628" s="1409"/>
      <c r="CG628" s="1409"/>
      <c r="CH628" s="1409">
        <f>IF(J760="4 Bedrooms",O760,0)</f>
        <v>0</v>
      </c>
      <c r="CI628" s="1409"/>
      <c r="CJ628" s="1409"/>
      <c r="CK628" s="1409"/>
      <c r="CL628" s="1409"/>
      <c r="CM628" s="1409">
        <f>IF(J760="5 Bedrooms",O760,0)</f>
        <v>0</v>
      </c>
      <c r="CN628" s="1409"/>
      <c r="CO628" s="1409"/>
      <c r="CP628" s="1409"/>
      <c r="CQ628" s="1409"/>
      <c r="CR628" s="1049"/>
      <c r="CV628" s="3"/>
      <c r="CW628" s="3"/>
      <c r="CX628" s="3"/>
      <c r="CY628" s="3"/>
      <c r="CZ628" s="3"/>
      <c r="DA628" s="3"/>
      <c r="DB628" s="3"/>
      <c r="DC628" s="3"/>
      <c r="DD628" s="3"/>
      <c r="DE628" s="3"/>
      <c r="DF628" s="3"/>
      <c r="DX628" s="1853" t="e">
        <f t="shared" si="23"/>
        <v>#VALUE!</v>
      </c>
      <c r="DY628" s="1853"/>
      <c r="DZ628" s="1853"/>
      <c r="EA628" s="1853"/>
      <c r="EB628" s="1853"/>
      <c r="EC628" s="1853" t="e">
        <f t="shared" si="24"/>
        <v>#VALUE!</v>
      </c>
      <c r="ED628" s="1853"/>
      <c r="EE628" s="1853"/>
      <c r="EF628" s="1853"/>
      <c r="EG628" s="1853"/>
      <c r="EH628" s="1853">
        <f t="shared" si="25"/>
        <v>195</v>
      </c>
      <c r="EI628" s="1853"/>
      <c r="EJ628" s="1853"/>
      <c r="EK628" s="1853"/>
      <c r="EL628" s="1853"/>
      <c r="EM628" s="1853" t="e">
        <f t="shared" si="26"/>
        <v>#VALUE!</v>
      </c>
      <c r="EN628" s="1853"/>
      <c r="EO628" s="1853"/>
      <c r="EP628" s="1853"/>
      <c r="EQ628" s="1853"/>
      <c r="ER628" s="1853" t="e">
        <f t="shared" si="27"/>
        <v>#VALUE!</v>
      </c>
      <c r="ES628" s="1853"/>
      <c r="ET628" s="1853"/>
      <c r="EU628" s="1853"/>
      <c r="EV628" s="1853"/>
      <c r="EW628" s="1853" t="e">
        <f t="shared" si="28"/>
        <v>#VALUE!</v>
      </c>
      <c r="EX628" s="1853"/>
      <c r="EY628" s="1853"/>
      <c r="EZ628" s="1853"/>
      <c r="FA628" s="1853"/>
    </row>
    <row r="629" spans="1:157" ht="12.95" customHeight="1">
      <c r="B629" s="52" t="s">
        <v>465</v>
      </c>
      <c r="C629" s="1712"/>
      <c r="D629" s="1712"/>
      <c r="E629" s="1712"/>
      <c r="F629" s="1712"/>
      <c r="G629" s="1712"/>
      <c r="H629" s="1712"/>
      <c r="I629" s="1712"/>
      <c r="J629" s="1712"/>
      <c r="K629" s="1712"/>
      <c r="L629" s="1712"/>
      <c r="M629" s="1860" t="s">
        <v>1328</v>
      </c>
      <c r="N629" s="1860"/>
      <c r="O629" s="1860"/>
      <c r="P629" s="1860"/>
      <c r="Q629" s="1863"/>
      <c r="R629" s="1562"/>
      <c r="S629" s="1864"/>
      <c r="T629" s="1863"/>
      <c r="U629" s="1562"/>
      <c r="V629" s="1864"/>
      <c r="W629" s="1857"/>
      <c r="X629" s="1858"/>
      <c r="Y629" s="1859"/>
      <c r="Z629" s="1713" t="s">
        <v>1328</v>
      </c>
      <c r="AA629" s="1714"/>
      <c r="AB629" s="1715"/>
      <c r="AC629" s="1437"/>
      <c r="AD629" s="1438"/>
      <c r="AE629" s="1439"/>
      <c r="AF629" s="1585"/>
      <c r="AG629" s="1586"/>
      <c r="AH629" s="1586"/>
      <c r="AI629" s="1586"/>
      <c r="AJ629" s="1587"/>
      <c r="AK629" s="1704"/>
      <c r="AL629" s="1705"/>
      <c r="AM629" s="1705"/>
      <c r="AN629" s="1706"/>
      <c r="AO629" s="1601"/>
      <c r="AP629" s="1602"/>
      <c r="AQ629" s="1602"/>
      <c r="AR629" s="1602"/>
      <c r="AS629" s="160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75">
        <f>IF(J761="SRO/Studio",O761,0)</f>
        <v>0</v>
      </c>
      <c r="BO629" s="1476"/>
      <c r="BP629" s="1476"/>
      <c r="BQ629" s="1476"/>
      <c r="BR629" s="1477"/>
      <c r="BS629" s="1409">
        <f>IF(J761="1 Bedroom",O761,0)</f>
        <v>0</v>
      </c>
      <c r="BT629" s="1409"/>
      <c r="BU629" s="1409"/>
      <c r="BV629" s="1409"/>
      <c r="BW629" s="1409"/>
      <c r="BX629" s="1409">
        <f>IF(J761="2 Bedrooms",O761,0)</f>
        <v>0</v>
      </c>
      <c r="BY629" s="1409"/>
      <c r="BZ629" s="1409"/>
      <c r="CA629" s="1409"/>
      <c r="CB629" s="1409"/>
      <c r="CC629" s="1409">
        <f>IF(J761="3 Bedrooms",O761,0)</f>
        <v>0</v>
      </c>
      <c r="CD629" s="1409"/>
      <c r="CE629" s="1409"/>
      <c r="CF629" s="1409"/>
      <c r="CG629" s="1409"/>
      <c r="CH629" s="1409">
        <f>IF(J761="4 Bedrooms",O761,0)</f>
        <v>0</v>
      </c>
      <c r="CI629" s="1409"/>
      <c r="CJ629" s="1409"/>
      <c r="CK629" s="1409"/>
      <c r="CL629" s="1409"/>
      <c r="CM629" s="1409">
        <f>IF(J761="5 Bedrooms",O761,0)</f>
        <v>0</v>
      </c>
      <c r="CN629" s="1409"/>
      <c r="CO629" s="1409"/>
      <c r="CP629" s="1409"/>
      <c r="CQ629" s="1409"/>
      <c r="CV629" s="3"/>
      <c r="CW629" s="3"/>
      <c r="CX629" s="3"/>
      <c r="CY629" s="3"/>
      <c r="CZ629" s="3"/>
      <c r="DA629" s="3"/>
      <c r="DB629" s="3"/>
      <c r="DC629" s="3"/>
      <c r="DD629" s="3"/>
      <c r="DE629" s="3"/>
      <c r="DF629" s="3"/>
      <c r="DX629" s="1853" t="e">
        <f t="shared" si="23"/>
        <v>#VALUE!</v>
      </c>
      <c r="DY629" s="1853"/>
      <c r="DZ629" s="1853"/>
      <c r="EA629" s="1853"/>
      <c r="EB629" s="1853"/>
      <c r="EC629" s="1853" t="e">
        <f t="shared" si="24"/>
        <v>#VALUE!</v>
      </c>
      <c r="ED629" s="1853"/>
      <c r="EE629" s="1853"/>
      <c r="EF629" s="1853"/>
      <c r="EG629" s="1853"/>
      <c r="EH629" s="1853">
        <f t="shared" si="25"/>
        <v>290</v>
      </c>
      <c r="EI629" s="1853"/>
      <c r="EJ629" s="1853"/>
      <c r="EK629" s="1853"/>
      <c r="EL629" s="1853"/>
      <c r="EM629" s="1853" t="e">
        <f t="shared" si="26"/>
        <v>#VALUE!</v>
      </c>
      <c r="EN629" s="1853"/>
      <c r="EO629" s="1853"/>
      <c r="EP629" s="1853"/>
      <c r="EQ629" s="1853"/>
      <c r="ER629" s="1853" t="e">
        <f t="shared" si="27"/>
        <v>#VALUE!</v>
      </c>
      <c r="ES629" s="1853"/>
      <c r="ET629" s="1853"/>
      <c r="EU629" s="1853"/>
      <c r="EV629" s="1853"/>
      <c r="EW629" s="1853" t="e">
        <f t="shared" si="28"/>
        <v>#VALUE!</v>
      </c>
      <c r="EX629" s="1853"/>
      <c r="EY629" s="1853"/>
      <c r="EZ629" s="1853"/>
      <c r="FA629" s="1853"/>
    </row>
    <row r="630" spans="1:157" ht="12.95" customHeight="1">
      <c r="B630" s="52" t="s">
        <v>466</v>
      </c>
      <c r="C630" s="1712"/>
      <c r="D630" s="1712"/>
      <c r="E630" s="1712"/>
      <c r="F630" s="1712"/>
      <c r="G630" s="1712"/>
      <c r="H630" s="1712"/>
      <c r="I630" s="1712"/>
      <c r="J630" s="1712"/>
      <c r="K630" s="1712"/>
      <c r="L630" s="1712"/>
      <c r="M630" s="1860" t="s">
        <v>1328</v>
      </c>
      <c r="N630" s="1860"/>
      <c r="O630" s="1860"/>
      <c r="P630" s="1860"/>
      <c r="Q630" s="1863"/>
      <c r="R630" s="1562"/>
      <c r="S630" s="1864"/>
      <c r="T630" s="1863"/>
      <c r="U630" s="1562"/>
      <c r="V630" s="1864"/>
      <c r="W630" s="1857"/>
      <c r="X630" s="1858"/>
      <c r="Y630" s="1859"/>
      <c r="Z630" s="1713" t="s">
        <v>1328</v>
      </c>
      <c r="AA630" s="1714"/>
      <c r="AB630" s="1715"/>
      <c r="AC630" s="1437"/>
      <c r="AD630" s="1438"/>
      <c r="AE630" s="1439"/>
      <c r="AF630" s="1585"/>
      <c r="AG630" s="1586"/>
      <c r="AH630" s="1586"/>
      <c r="AI630" s="1586"/>
      <c r="AJ630" s="1587"/>
      <c r="AK630" s="1704"/>
      <c r="AL630" s="1705"/>
      <c r="AM630" s="1705"/>
      <c r="AN630" s="1706"/>
      <c r="AO630" s="1601"/>
      <c r="AP630" s="1602"/>
      <c r="AQ630" s="1602"/>
      <c r="AR630" s="1602"/>
      <c r="AS630" s="160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73">
        <f>SUM(BN626:BR629)</f>
        <v>0</v>
      </c>
      <c r="BO630" s="1512"/>
      <c r="BP630" s="1512"/>
      <c r="BQ630" s="1512"/>
      <c r="BR630" s="1474"/>
      <c r="BS630" s="1701">
        <f>SUM(BS626:BW629)</f>
        <v>0</v>
      </c>
      <c r="BT630" s="1702"/>
      <c r="BU630" s="1702"/>
      <c r="BV630" s="1702"/>
      <c r="BW630" s="1703"/>
      <c r="BX630" s="1701">
        <f>SUM(BX626:CB629)</f>
        <v>0</v>
      </c>
      <c r="BY630" s="1702"/>
      <c r="BZ630" s="1702"/>
      <c r="CA630" s="1702"/>
      <c r="CB630" s="1703"/>
      <c r="CC630" s="1701">
        <f>SUM(CC626:CG629)</f>
        <v>1</v>
      </c>
      <c r="CD630" s="1702"/>
      <c r="CE630" s="1702"/>
      <c r="CF630" s="1702"/>
      <c r="CG630" s="1703"/>
      <c r="CH630" s="1701">
        <f>SUM(CH626:CL629)</f>
        <v>0</v>
      </c>
      <c r="CI630" s="1702"/>
      <c r="CJ630" s="1702"/>
      <c r="CK630" s="1702"/>
      <c r="CL630" s="1703"/>
      <c r="CM630" s="1701">
        <f>SUM(CM626:CQ629)</f>
        <v>0</v>
      </c>
      <c r="CN630" s="1702"/>
      <c r="CO630" s="1702"/>
      <c r="CP630" s="1702"/>
      <c r="CQ630" s="1703"/>
      <c r="CS630" s="897">
        <f>BN630+BS630+BX630+CC630+CH630+CM630</f>
        <v>1</v>
      </c>
      <c r="CT630" s="57" t="s">
        <v>2123</v>
      </c>
      <c r="CU630" s="3"/>
      <c r="CV630" s="3"/>
      <c r="CW630" s="3"/>
      <c r="CX630" s="3"/>
      <c r="CY630" s="3"/>
      <c r="CZ630" s="3"/>
      <c r="DA630" s="3"/>
      <c r="DB630" s="3"/>
      <c r="DC630" s="3"/>
      <c r="DD630" s="3"/>
      <c r="DE630" s="3"/>
      <c r="DF630" s="3"/>
      <c r="DX630" s="1853" t="e">
        <f t="shared" si="23"/>
        <v>#VALUE!</v>
      </c>
      <c r="DY630" s="1853"/>
      <c r="DZ630" s="1853"/>
      <c r="EA630" s="1853"/>
      <c r="EB630" s="1853"/>
      <c r="EC630" s="1853" t="e">
        <f t="shared" si="24"/>
        <v>#VALUE!</v>
      </c>
      <c r="ED630" s="1853"/>
      <c r="EE630" s="1853"/>
      <c r="EF630" s="1853"/>
      <c r="EG630" s="1853"/>
      <c r="EH630" s="1853">
        <f t="shared" si="25"/>
        <v>145.16666666666666</v>
      </c>
      <c r="EI630" s="1853"/>
      <c r="EJ630" s="1853"/>
      <c r="EK630" s="1853"/>
      <c r="EL630" s="1853"/>
      <c r="EM630" s="1853" t="e">
        <f t="shared" si="26"/>
        <v>#VALUE!</v>
      </c>
      <c r="EN630" s="1853"/>
      <c r="EO630" s="1853"/>
      <c r="EP630" s="1853"/>
      <c r="EQ630" s="1853"/>
      <c r="ER630" s="1853" t="e">
        <f t="shared" si="27"/>
        <v>#VALUE!</v>
      </c>
      <c r="ES630" s="1853"/>
      <c r="ET630" s="1853"/>
      <c r="EU630" s="1853"/>
      <c r="EV630" s="1853"/>
      <c r="EW630" s="1853" t="e">
        <f t="shared" si="28"/>
        <v>#VALUE!</v>
      </c>
      <c r="EX630" s="1853"/>
      <c r="EY630" s="1853"/>
      <c r="EZ630" s="1853"/>
      <c r="FA630" s="1853"/>
    </row>
    <row r="631" spans="1:157" ht="12.95" customHeight="1">
      <c r="B631" s="52" t="s">
        <v>471</v>
      </c>
      <c r="C631" s="1712"/>
      <c r="D631" s="1712"/>
      <c r="E631" s="1712"/>
      <c r="F631" s="1712"/>
      <c r="G631" s="1712"/>
      <c r="H631" s="1712"/>
      <c r="I631" s="1712"/>
      <c r="J631" s="1712"/>
      <c r="K631" s="1712"/>
      <c r="L631" s="1712"/>
      <c r="M631" s="1860" t="s">
        <v>1328</v>
      </c>
      <c r="N631" s="1860"/>
      <c r="O631" s="1860"/>
      <c r="P631" s="1860"/>
      <c r="Q631" s="1863"/>
      <c r="R631" s="1562"/>
      <c r="S631" s="1864"/>
      <c r="T631" s="1863"/>
      <c r="U631" s="1562"/>
      <c r="V631" s="1864"/>
      <c r="W631" s="1857"/>
      <c r="X631" s="1858"/>
      <c r="Y631" s="1859"/>
      <c r="Z631" s="1713" t="s">
        <v>1328</v>
      </c>
      <c r="AA631" s="1714"/>
      <c r="AB631" s="1715"/>
      <c r="AC631" s="1437"/>
      <c r="AD631" s="1438"/>
      <c r="AE631" s="1439"/>
      <c r="AF631" s="1585"/>
      <c r="AG631" s="1586"/>
      <c r="AH631" s="1586"/>
      <c r="AI631" s="1586"/>
      <c r="AJ631" s="1587"/>
      <c r="AK631" s="1704"/>
      <c r="AL631" s="1705"/>
      <c r="AM631" s="1705"/>
      <c r="AN631" s="1706"/>
      <c r="AO631" s="1601"/>
      <c r="AP631" s="1602"/>
      <c r="AQ631" s="1602"/>
      <c r="AR631" s="1602"/>
      <c r="AS631" s="160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853" t="e">
        <f t="shared" si="23"/>
        <v>#VALUE!</v>
      </c>
      <c r="DY631" s="1853"/>
      <c r="DZ631" s="1853"/>
      <c r="EA631" s="1853"/>
      <c r="EB631" s="1853"/>
      <c r="EC631" s="1853" t="e">
        <f t="shared" si="24"/>
        <v>#VALUE!</v>
      </c>
      <c r="ED631" s="1853"/>
      <c r="EE631" s="1853"/>
      <c r="EF631" s="1853"/>
      <c r="EG631" s="1853"/>
      <c r="EH631" s="1853">
        <f t="shared" si="25"/>
        <v>43.625</v>
      </c>
      <c r="EI631" s="1853"/>
      <c r="EJ631" s="1853"/>
      <c r="EK631" s="1853"/>
      <c r="EL631" s="1853"/>
      <c r="EM631" s="1853" t="e">
        <f t="shared" si="26"/>
        <v>#VALUE!</v>
      </c>
      <c r="EN631" s="1853"/>
      <c r="EO631" s="1853"/>
      <c r="EP631" s="1853"/>
      <c r="EQ631" s="1853"/>
      <c r="ER631" s="1853" t="e">
        <f t="shared" si="27"/>
        <v>#VALUE!</v>
      </c>
      <c r="ES631" s="1853"/>
      <c r="ET631" s="1853"/>
      <c r="EU631" s="1853"/>
      <c r="EV631" s="1853"/>
      <c r="EW631" s="1853" t="e">
        <f t="shared" si="28"/>
        <v>#VALUE!</v>
      </c>
      <c r="EX631" s="1853"/>
      <c r="EY631" s="1853"/>
      <c r="EZ631" s="1853"/>
      <c r="FA631" s="1853"/>
    </row>
    <row r="632" spans="1:157" ht="12.95" customHeight="1">
      <c r="B632" s="52" t="s">
        <v>656</v>
      </c>
      <c r="C632" s="1712"/>
      <c r="D632" s="1712"/>
      <c r="E632" s="1712"/>
      <c r="F632" s="1712"/>
      <c r="G632" s="1712"/>
      <c r="H632" s="1712"/>
      <c r="I632" s="1712"/>
      <c r="J632" s="1712"/>
      <c r="K632" s="1712"/>
      <c r="L632" s="1712"/>
      <c r="M632" s="1860" t="s">
        <v>1328</v>
      </c>
      <c r="N632" s="1860"/>
      <c r="O632" s="1860"/>
      <c r="P632" s="1860"/>
      <c r="Q632" s="1863"/>
      <c r="R632" s="1562"/>
      <c r="S632" s="1864"/>
      <c r="T632" s="1863"/>
      <c r="U632" s="1562"/>
      <c r="V632" s="1864"/>
      <c r="W632" s="1857"/>
      <c r="X632" s="1858"/>
      <c r="Y632" s="1859"/>
      <c r="Z632" s="1713" t="s">
        <v>1328</v>
      </c>
      <c r="AA632" s="1714"/>
      <c r="AB632" s="1715"/>
      <c r="AC632" s="1437"/>
      <c r="AD632" s="1438"/>
      <c r="AE632" s="1439"/>
      <c r="AF632" s="1585"/>
      <c r="AG632" s="1586"/>
      <c r="AH632" s="1586"/>
      <c r="AI632" s="1586"/>
      <c r="AJ632" s="1587"/>
      <c r="AK632" s="1704"/>
      <c r="AL632" s="1705"/>
      <c r="AM632" s="1705"/>
      <c r="AN632" s="1706"/>
      <c r="AO632" s="1601"/>
      <c r="AP632" s="1602"/>
      <c r="AQ632" s="1602"/>
      <c r="AR632" s="1602"/>
      <c r="AS632" s="160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3" t="e">
        <f t="shared" si="23"/>
        <v>#VALUE!</v>
      </c>
      <c r="DY632" s="1853"/>
      <c r="DZ632" s="1853"/>
      <c r="EA632" s="1853"/>
      <c r="EB632" s="1853"/>
      <c r="EC632" s="1853" t="e">
        <f t="shared" si="24"/>
        <v>#VALUE!</v>
      </c>
      <c r="ED632" s="1853"/>
      <c r="EE632" s="1853"/>
      <c r="EF632" s="1853"/>
      <c r="EG632" s="1853"/>
      <c r="EH632" s="1853" t="e">
        <f t="shared" si="25"/>
        <v>#VALUE!</v>
      </c>
      <c r="EI632" s="1853"/>
      <c r="EJ632" s="1853"/>
      <c r="EK632" s="1853"/>
      <c r="EL632" s="1853"/>
      <c r="EM632" s="1853">
        <f t="shared" si="26"/>
        <v>131.46875</v>
      </c>
      <c r="EN632" s="1853"/>
      <c r="EO632" s="1853"/>
      <c r="EP632" s="1853"/>
      <c r="EQ632" s="1853"/>
      <c r="ER632" s="1853" t="e">
        <f t="shared" si="27"/>
        <v>#VALUE!</v>
      </c>
      <c r="ES632" s="1853"/>
      <c r="ET632" s="1853"/>
      <c r="EU632" s="1853"/>
      <c r="EV632" s="1853"/>
      <c r="EW632" s="1853" t="e">
        <f t="shared" si="28"/>
        <v>#VALUE!</v>
      </c>
      <c r="EX632" s="1853"/>
      <c r="EY632" s="1853"/>
      <c r="EZ632" s="1853"/>
      <c r="FA632" s="1853"/>
    </row>
    <row r="633" spans="1:157" ht="12.95" customHeight="1">
      <c r="B633" s="52" t="s">
        <v>364</v>
      </c>
      <c r="C633" s="1712"/>
      <c r="D633" s="1712"/>
      <c r="E633" s="1712"/>
      <c r="F633" s="1712"/>
      <c r="G633" s="1712"/>
      <c r="H633" s="1712"/>
      <c r="I633" s="1712"/>
      <c r="J633" s="1712"/>
      <c r="K633" s="1712"/>
      <c r="L633" s="1712"/>
      <c r="M633" s="1860" t="s">
        <v>1328</v>
      </c>
      <c r="N633" s="1860"/>
      <c r="O633" s="1860"/>
      <c r="P633" s="1860"/>
      <c r="Q633" s="1863"/>
      <c r="R633" s="1562"/>
      <c r="S633" s="1864"/>
      <c r="T633" s="1863"/>
      <c r="U633" s="1562"/>
      <c r="V633" s="1864"/>
      <c r="W633" s="1857"/>
      <c r="X633" s="1858"/>
      <c r="Y633" s="1859"/>
      <c r="Z633" s="1713" t="s">
        <v>1328</v>
      </c>
      <c r="AA633" s="1714"/>
      <c r="AB633" s="1715"/>
      <c r="AC633" s="1437"/>
      <c r="AD633" s="1438"/>
      <c r="AE633" s="1439"/>
      <c r="AF633" s="1585"/>
      <c r="AG633" s="1586"/>
      <c r="AH633" s="1586"/>
      <c r="AI633" s="1586"/>
      <c r="AJ633" s="1587"/>
      <c r="AK633" s="1704"/>
      <c r="AL633" s="1705"/>
      <c r="AM633" s="1705"/>
      <c r="AN633" s="1706"/>
      <c r="AO633" s="1601"/>
      <c r="AP633" s="1602"/>
      <c r="AQ633" s="1602"/>
      <c r="AR633" s="1602"/>
      <c r="AS633" s="160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3" t="e">
        <f t="shared" si="23"/>
        <v>#VALUE!</v>
      </c>
      <c r="DY633" s="1853"/>
      <c r="DZ633" s="1853"/>
      <c r="EA633" s="1853"/>
      <c r="EB633" s="1853"/>
      <c r="EC633" s="1853" t="e">
        <f t="shared" si="24"/>
        <v>#VALUE!</v>
      </c>
      <c r="ED633" s="1853"/>
      <c r="EE633" s="1853"/>
      <c r="EF633" s="1853"/>
      <c r="EG633" s="1853"/>
      <c r="EH633" s="1853" t="e">
        <f t="shared" si="25"/>
        <v>#VALUE!</v>
      </c>
      <c r="EI633" s="1853"/>
      <c r="EJ633" s="1853"/>
      <c r="EK633" s="1853"/>
      <c r="EL633" s="1853"/>
      <c r="EM633" s="1853">
        <f t="shared" si="26"/>
        <v>402</v>
      </c>
      <c r="EN633" s="1853"/>
      <c r="EO633" s="1853"/>
      <c r="EP633" s="1853"/>
      <c r="EQ633" s="1853"/>
      <c r="ER633" s="1853" t="e">
        <f t="shared" si="27"/>
        <v>#VALUE!</v>
      </c>
      <c r="ES633" s="1853"/>
      <c r="ET633" s="1853"/>
      <c r="EU633" s="1853"/>
      <c r="EV633" s="1853"/>
      <c r="EW633" s="1853" t="e">
        <f t="shared" si="28"/>
        <v>#VALUE!</v>
      </c>
      <c r="EX633" s="1853"/>
      <c r="EY633" s="1853"/>
      <c r="EZ633" s="1853"/>
      <c r="FA633" s="1853"/>
    </row>
    <row r="634" spans="1:157" ht="12.95" customHeight="1">
      <c r="B634" s="52" t="s">
        <v>365</v>
      </c>
      <c r="C634" s="1712"/>
      <c r="D634" s="1712"/>
      <c r="E634" s="1712"/>
      <c r="F634" s="1712"/>
      <c r="G634" s="1712"/>
      <c r="H634" s="1712"/>
      <c r="I634" s="1712"/>
      <c r="J634" s="1712"/>
      <c r="K634" s="1712"/>
      <c r="L634" s="1712"/>
      <c r="M634" s="1860" t="s">
        <v>1328</v>
      </c>
      <c r="N634" s="1860"/>
      <c r="O634" s="1860"/>
      <c r="P634" s="1860"/>
      <c r="Q634" s="1863"/>
      <c r="R634" s="1562"/>
      <c r="S634" s="1864"/>
      <c r="T634" s="1863"/>
      <c r="U634" s="1562"/>
      <c r="V634" s="1864"/>
      <c r="W634" s="1857"/>
      <c r="X634" s="1858"/>
      <c r="Y634" s="1859"/>
      <c r="Z634" s="1713" t="s">
        <v>1328</v>
      </c>
      <c r="AA634" s="1714"/>
      <c r="AB634" s="1715"/>
      <c r="AC634" s="1437"/>
      <c r="AD634" s="1438"/>
      <c r="AE634" s="1439"/>
      <c r="AF634" s="1585"/>
      <c r="AG634" s="1586"/>
      <c r="AH634" s="1586"/>
      <c r="AI634" s="1586"/>
      <c r="AJ634" s="1587"/>
      <c r="AK634" s="1704"/>
      <c r="AL634" s="1705"/>
      <c r="AM634" s="1705"/>
      <c r="AN634" s="1706"/>
      <c r="AO634" s="1601"/>
      <c r="AP634" s="1602"/>
      <c r="AQ634" s="1602"/>
      <c r="AR634" s="1602"/>
      <c r="AS634" s="160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75">
        <f t="shared" ref="BN634:BN643" si="30">IF(J772="SRO/Studio",O772,0)</f>
        <v>0</v>
      </c>
      <c r="BO634" s="1476"/>
      <c r="BP634" s="1476"/>
      <c r="BQ634" s="1476"/>
      <c r="BR634" s="1477"/>
      <c r="BS634" s="1409">
        <f t="shared" ref="BS634:BS643" si="31">IF(J772="1 Bedroom",O772,0)</f>
        <v>0</v>
      </c>
      <c r="BT634" s="1409"/>
      <c r="BU634" s="1409"/>
      <c r="BV634" s="1409"/>
      <c r="BW634" s="1409"/>
      <c r="BX634" s="1409">
        <f t="shared" ref="BX634:BX643" si="32">IF(J772="2 Bedrooms",O772,0)</f>
        <v>0</v>
      </c>
      <c r="BY634" s="1409"/>
      <c r="BZ634" s="1409"/>
      <c r="CA634" s="1409"/>
      <c r="CB634" s="1409"/>
      <c r="CC634" s="1409">
        <f t="shared" ref="CC634:CC643" si="33">IF(J772="3 Bedrooms",O772,0)</f>
        <v>0</v>
      </c>
      <c r="CD634" s="1409"/>
      <c r="CE634" s="1409"/>
      <c r="CF634" s="1409"/>
      <c r="CG634" s="1409"/>
      <c r="CH634" s="1409">
        <f t="shared" ref="CH634:CH643" si="34">IF(J772="4 Bedrooms",O772,0)</f>
        <v>0</v>
      </c>
      <c r="CI634" s="1409"/>
      <c r="CJ634" s="1409"/>
      <c r="CK634" s="1409"/>
      <c r="CL634" s="1409"/>
      <c r="CM634" s="1409">
        <f t="shared" ref="CM634:CM643" si="35">IF(J772="5 Bedrooms",O772,0)</f>
        <v>0</v>
      </c>
      <c r="CN634" s="1409"/>
      <c r="CO634" s="1409"/>
      <c r="CP634" s="1409"/>
      <c r="CQ634" s="1409"/>
      <c r="CR634" s="6"/>
      <c r="CS634" s="1475">
        <f>IF(AND(BN634&gt;=1,AH772&gt;=0.1,AH772&lt;=1),O772,0)</f>
        <v>0</v>
      </c>
      <c r="CT634" s="1476"/>
      <c r="CU634" s="1476"/>
      <c r="CV634" s="1476"/>
      <c r="CW634" s="1477"/>
      <c r="CX634" s="1475">
        <f>IF(AND(BS634&gt;=1,AH772&gt;=0.1,AH772&lt;=1),O772,0)</f>
        <v>0</v>
      </c>
      <c r="CY634" s="1476"/>
      <c r="CZ634" s="1476"/>
      <c r="DA634" s="1476"/>
      <c r="DB634" s="1477"/>
      <c r="DC634" s="1475">
        <f>IF(AND(BX634&gt;=1,AH772&gt;=0.1,AH772&lt;=1),O772,0)</f>
        <v>0</v>
      </c>
      <c r="DD634" s="1476"/>
      <c r="DE634" s="1476"/>
      <c r="DF634" s="1476"/>
      <c r="DG634" s="1477"/>
      <c r="DH634" s="1475">
        <f>IF(AND(CC634&gt;=1,AH772&gt;=0.1,AH772&lt;=1),O772,0)</f>
        <v>0</v>
      </c>
      <c r="DI634" s="1476"/>
      <c r="DJ634" s="1476"/>
      <c r="DK634" s="1476"/>
      <c r="DL634" s="1477"/>
      <c r="DM634" s="1475">
        <f>IF(AND(CH634&gt;=1,AH772&gt;=0.1,AH772&lt;=1),O772,0)</f>
        <v>0</v>
      </c>
      <c r="DN634" s="1476"/>
      <c r="DO634" s="1476"/>
      <c r="DP634" s="1476"/>
      <c r="DQ634" s="1477"/>
      <c r="DR634" s="1475">
        <f>IF(AND(CM634&gt;=1,AH772&gt;=0.1,AH772&lt;=1),O772,0)</f>
        <v>0</v>
      </c>
      <c r="DS634" s="1476"/>
      <c r="DT634" s="1476"/>
      <c r="DU634" s="1476"/>
      <c r="DV634" s="1477"/>
      <c r="DX634" s="1853" t="e">
        <f t="shared" si="23"/>
        <v>#VALUE!</v>
      </c>
      <c r="DY634" s="1853"/>
      <c r="DZ634" s="1853"/>
      <c r="EA634" s="1853"/>
      <c r="EB634" s="1853"/>
      <c r="EC634" s="1853" t="e">
        <f t="shared" si="24"/>
        <v>#VALUE!</v>
      </c>
      <c r="ED634" s="1853"/>
      <c r="EE634" s="1853"/>
      <c r="EF634" s="1853"/>
      <c r="EG634" s="1853"/>
      <c r="EH634" s="1853" t="e">
        <f t="shared" si="25"/>
        <v>#VALUE!</v>
      </c>
      <c r="EI634" s="1853"/>
      <c r="EJ634" s="1853"/>
      <c r="EK634" s="1853"/>
      <c r="EL634" s="1853"/>
      <c r="EM634" s="1853">
        <f t="shared" si="26"/>
        <v>251.75</v>
      </c>
      <c r="EN634" s="1853"/>
      <c r="EO634" s="1853"/>
      <c r="EP634" s="1853"/>
      <c r="EQ634" s="1853"/>
      <c r="ER634" s="1853" t="e">
        <f t="shared" si="27"/>
        <v>#VALUE!</v>
      </c>
      <c r="ES634" s="1853"/>
      <c r="ET634" s="1853"/>
      <c r="EU634" s="1853"/>
      <c r="EV634" s="1853"/>
      <c r="EW634" s="1853" t="e">
        <f t="shared" si="28"/>
        <v>#VALUE!</v>
      </c>
      <c r="EX634" s="1853"/>
      <c r="EY634" s="1853"/>
      <c r="EZ634" s="1853"/>
      <c r="FA634" s="1853"/>
    </row>
    <row r="635" spans="1:157" ht="12.95" customHeight="1">
      <c r="B635" s="1522" t="s">
        <v>129</v>
      </c>
      <c r="C635" s="1523"/>
      <c r="D635" s="1523"/>
      <c r="E635" s="1523"/>
      <c r="F635" s="1523"/>
      <c r="G635" s="1523"/>
      <c r="H635" s="1523"/>
      <c r="I635" s="1523"/>
      <c r="J635" s="1523"/>
      <c r="K635" s="1523"/>
      <c r="L635" s="1523"/>
      <c r="M635" s="1523"/>
      <c r="N635" s="1523"/>
      <c r="O635" s="1523"/>
      <c r="P635" s="1523"/>
      <c r="Q635" s="1523"/>
      <c r="R635" s="1523"/>
      <c r="S635" s="1523"/>
      <c r="T635" s="1523"/>
      <c r="U635" s="1523"/>
      <c r="V635" s="1523"/>
      <c r="W635" s="1523"/>
      <c r="X635" s="1523"/>
      <c r="Y635" s="1523"/>
      <c r="Z635" s="1523"/>
      <c r="AA635" s="1523"/>
      <c r="AB635" s="1523"/>
      <c r="AC635" s="1523"/>
      <c r="AD635" s="1523"/>
      <c r="AE635" s="1523"/>
      <c r="AF635" s="1523"/>
      <c r="AG635" s="1523"/>
      <c r="AH635" s="1523"/>
      <c r="AI635" s="1523"/>
      <c r="AJ635" s="1523"/>
      <c r="AK635" s="1523"/>
      <c r="AL635" s="1523"/>
      <c r="AM635" s="1523"/>
      <c r="AN635" s="1525"/>
      <c r="AO635" s="1519">
        <f>SUM(AO623:AR634)</f>
        <v>18615480</v>
      </c>
      <c r="AP635" s="1520"/>
      <c r="AQ635" s="1520"/>
      <c r="AR635" s="1520"/>
      <c r="AS635" s="1521"/>
      <c r="AZ635" s="3"/>
      <c r="BA635" s="3"/>
      <c r="BB635" s="3"/>
      <c r="BC635" s="3"/>
      <c r="BD635" s="3"/>
      <c r="BE635" s="3"/>
      <c r="BF635" s="3"/>
      <c r="BG635" s="3"/>
      <c r="BH635" s="3"/>
      <c r="BI635" s="3"/>
      <c r="BJ635" s="3"/>
      <c r="BK635" s="3"/>
      <c r="BL635" s="3"/>
      <c r="BM635" s="3"/>
      <c r="BN635" s="1475">
        <f t="shared" si="30"/>
        <v>0</v>
      </c>
      <c r="BO635" s="1476"/>
      <c r="BP635" s="1476"/>
      <c r="BQ635" s="1476"/>
      <c r="BR635" s="1477"/>
      <c r="BS635" s="1409">
        <f t="shared" si="31"/>
        <v>0</v>
      </c>
      <c r="BT635" s="1409"/>
      <c r="BU635" s="1409"/>
      <c r="BV635" s="1409"/>
      <c r="BW635" s="1409"/>
      <c r="BX635" s="1409">
        <f t="shared" si="32"/>
        <v>0</v>
      </c>
      <c r="BY635" s="1409"/>
      <c r="BZ635" s="1409"/>
      <c r="CA635" s="1409"/>
      <c r="CB635" s="1409"/>
      <c r="CC635" s="1409">
        <f t="shared" si="33"/>
        <v>0</v>
      </c>
      <c r="CD635" s="1409"/>
      <c r="CE635" s="1409"/>
      <c r="CF635" s="1409"/>
      <c r="CG635" s="1409"/>
      <c r="CH635" s="1409">
        <f t="shared" si="34"/>
        <v>0</v>
      </c>
      <c r="CI635" s="1409"/>
      <c r="CJ635" s="1409"/>
      <c r="CK635" s="1409"/>
      <c r="CL635" s="1409"/>
      <c r="CM635" s="1409">
        <f t="shared" si="35"/>
        <v>0</v>
      </c>
      <c r="CN635" s="1409"/>
      <c r="CO635" s="1409"/>
      <c r="CP635" s="1409"/>
      <c r="CQ635" s="1409"/>
      <c r="CR635" s="6"/>
      <c r="CS635" s="1475">
        <f t="shared" ref="CS635:CS643" si="36">IF(AND(BN635&gt;=1,AH773&gt;=0.1,AH773&lt;=1),O773,0)</f>
        <v>0</v>
      </c>
      <c r="CT635" s="1476"/>
      <c r="CU635" s="1476"/>
      <c r="CV635" s="1476"/>
      <c r="CW635" s="1477"/>
      <c r="CX635" s="1475">
        <f t="shared" ref="CX635:CX643" si="37">IF(AND(BS635&gt;=1,AH773&gt;=0.1,AH773&lt;=1),O773,0)</f>
        <v>0</v>
      </c>
      <c r="CY635" s="1476"/>
      <c r="CZ635" s="1476"/>
      <c r="DA635" s="1476"/>
      <c r="DB635" s="1477"/>
      <c r="DC635" s="1475">
        <f t="shared" ref="DC635:DC643" si="38">IF(AND(BX635&gt;=1,AH773&gt;=0.1,AH773&lt;=1),O773,0)</f>
        <v>0</v>
      </c>
      <c r="DD635" s="1476"/>
      <c r="DE635" s="1476"/>
      <c r="DF635" s="1476"/>
      <c r="DG635" s="1477"/>
      <c r="DH635" s="1475">
        <f t="shared" ref="DH635:DH643" si="39">IF(AND(CC635&gt;=1,AH773&gt;=0.1,AH773&lt;=1),O773,0)</f>
        <v>0</v>
      </c>
      <c r="DI635" s="1476"/>
      <c r="DJ635" s="1476"/>
      <c r="DK635" s="1476"/>
      <c r="DL635" s="1477"/>
      <c r="DM635" s="1475">
        <f t="shared" ref="DM635:DM643" si="40">IF(AND(CH635&gt;=1,AH773&gt;=0.1,AH773&lt;=1),O773,0)</f>
        <v>0</v>
      </c>
      <c r="DN635" s="1476"/>
      <c r="DO635" s="1476"/>
      <c r="DP635" s="1476"/>
      <c r="DQ635" s="1477"/>
      <c r="DR635" s="1475">
        <f t="shared" ref="DR635:DR643" si="41">IF(AND(CM635&gt;=1,AH773&gt;=0.1,AH773&lt;=1),O773,0)</f>
        <v>0</v>
      </c>
      <c r="DS635" s="1476"/>
      <c r="DT635" s="1476"/>
      <c r="DU635" s="1476"/>
      <c r="DV635" s="1477"/>
      <c r="DX635" s="1853" t="e">
        <f t="shared" si="23"/>
        <v>#VALUE!</v>
      </c>
      <c r="DY635" s="1853"/>
      <c r="DZ635" s="1853"/>
      <c r="EA635" s="1853"/>
      <c r="EB635" s="1853"/>
      <c r="EC635" s="1853" t="e">
        <f t="shared" si="24"/>
        <v>#VALUE!</v>
      </c>
      <c r="ED635" s="1853"/>
      <c r="EE635" s="1853"/>
      <c r="EF635" s="1853"/>
      <c r="EG635" s="1853"/>
      <c r="EH635" s="1853" t="e">
        <f t="shared" si="25"/>
        <v>#VALUE!</v>
      </c>
      <c r="EI635" s="1853"/>
      <c r="EJ635" s="1853"/>
      <c r="EK635" s="1853"/>
      <c r="EL635" s="1853"/>
      <c r="EM635" s="1853">
        <f t="shared" si="26"/>
        <v>37.78125</v>
      </c>
      <c r="EN635" s="1853"/>
      <c r="EO635" s="1853"/>
      <c r="EP635" s="1853"/>
      <c r="EQ635" s="1853"/>
      <c r="ER635" s="1853" t="e">
        <f t="shared" si="27"/>
        <v>#VALUE!</v>
      </c>
      <c r="ES635" s="1853"/>
      <c r="ET635" s="1853"/>
      <c r="EU635" s="1853"/>
      <c r="EV635" s="1853"/>
      <c r="EW635" s="1853" t="e">
        <f t="shared" si="28"/>
        <v>#VALUE!</v>
      </c>
      <c r="EX635" s="1853"/>
      <c r="EY635" s="1853"/>
      <c r="EZ635" s="1853"/>
      <c r="FA635" s="1853"/>
    </row>
    <row r="636" spans="1:157" ht="12.95" customHeight="1">
      <c r="B636" s="1522" t="s">
        <v>269</v>
      </c>
      <c r="C636" s="1523"/>
      <c r="D636" s="1523"/>
      <c r="E636" s="1523"/>
      <c r="F636" s="1523"/>
      <c r="G636" s="1523"/>
      <c r="H636" s="1523"/>
      <c r="I636" s="1523"/>
      <c r="J636" s="1523"/>
      <c r="K636" s="1523"/>
      <c r="L636" s="1523"/>
      <c r="M636" s="1523"/>
      <c r="N636" s="1523"/>
      <c r="O636" s="1523"/>
      <c r="P636" s="1523"/>
      <c r="Q636" s="1523"/>
      <c r="R636" s="1523"/>
      <c r="S636" s="1523"/>
      <c r="T636" s="1523"/>
      <c r="U636" s="1523"/>
      <c r="V636" s="1523"/>
      <c r="W636" s="1523"/>
      <c r="X636" s="1523"/>
      <c r="Y636" s="1523"/>
      <c r="Z636" s="1523"/>
      <c r="AA636" s="1523"/>
      <c r="AB636" s="1523"/>
      <c r="AC636" s="1523"/>
      <c r="AD636" s="1523"/>
      <c r="AE636" s="1523"/>
      <c r="AF636" s="1523"/>
      <c r="AG636" s="1523"/>
      <c r="AH636" s="1523"/>
      <c r="AI636" s="1523"/>
      <c r="AJ636" s="1523"/>
      <c r="AK636" s="1523"/>
      <c r="AL636" s="1523"/>
      <c r="AM636" s="1523"/>
      <c r="AN636" s="1525"/>
      <c r="AO636" s="1601">
        <f>16536755+5018042</f>
        <v>21554797</v>
      </c>
      <c r="AP636" s="1602"/>
      <c r="AQ636" s="1602"/>
      <c r="AR636" s="1602"/>
      <c r="AS636" s="1603"/>
      <c r="AZ636" s="34"/>
      <c r="BA636" s="34"/>
      <c r="BB636" s="34"/>
      <c r="BC636" s="34"/>
      <c r="BD636" s="34"/>
      <c r="BE636" s="34"/>
      <c r="BF636" s="34"/>
      <c r="BG636" s="34"/>
      <c r="BH636" s="34"/>
      <c r="BI636" s="34"/>
      <c r="BJ636" s="34"/>
      <c r="BK636" s="34"/>
      <c r="BL636" s="34"/>
      <c r="BM636" s="34"/>
      <c r="BN636" s="1475">
        <f t="shared" si="30"/>
        <v>0</v>
      </c>
      <c r="BO636" s="1476"/>
      <c r="BP636" s="1476"/>
      <c r="BQ636" s="1476"/>
      <c r="BR636" s="1477"/>
      <c r="BS636" s="1409">
        <f t="shared" si="31"/>
        <v>0</v>
      </c>
      <c r="BT636" s="1409"/>
      <c r="BU636" s="1409"/>
      <c r="BV636" s="1409"/>
      <c r="BW636" s="1409"/>
      <c r="BX636" s="1409">
        <f t="shared" si="32"/>
        <v>0</v>
      </c>
      <c r="BY636" s="1409"/>
      <c r="BZ636" s="1409"/>
      <c r="CA636" s="1409"/>
      <c r="CB636" s="1409"/>
      <c r="CC636" s="1409">
        <f t="shared" si="33"/>
        <v>0</v>
      </c>
      <c r="CD636" s="1409"/>
      <c r="CE636" s="1409"/>
      <c r="CF636" s="1409"/>
      <c r="CG636" s="1409"/>
      <c r="CH636" s="1409">
        <f t="shared" si="34"/>
        <v>0</v>
      </c>
      <c r="CI636" s="1409"/>
      <c r="CJ636" s="1409"/>
      <c r="CK636" s="1409"/>
      <c r="CL636" s="1409"/>
      <c r="CM636" s="1409">
        <f t="shared" si="35"/>
        <v>0</v>
      </c>
      <c r="CN636" s="1409"/>
      <c r="CO636" s="1409"/>
      <c r="CP636" s="1409"/>
      <c r="CQ636" s="1409"/>
      <c r="CR636" s="6"/>
      <c r="CS636" s="1475">
        <f t="shared" si="36"/>
        <v>0</v>
      </c>
      <c r="CT636" s="1476"/>
      <c r="CU636" s="1476"/>
      <c r="CV636" s="1476"/>
      <c r="CW636" s="1477"/>
      <c r="CX636" s="1475">
        <f t="shared" si="37"/>
        <v>0</v>
      </c>
      <c r="CY636" s="1476"/>
      <c r="CZ636" s="1476"/>
      <c r="DA636" s="1476"/>
      <c r="DB636" s="1477"/>
      <c r="DC636" s="1475">
        <f t="shared" si="38"/>
        <v>0</v>
      </c>
      <c r="DD636" s="1476"/>
      <c r="DE636" s="1476"/>
      <c r="DF636" s="1476"/>
      <c r="DG636" s="1477"/>
      <c r="DH636" s="1475">
        <f t="shared" si="39"/>
        <v>0</v>
      </c>
      <c r="DI636" s="1476"/>
      <c r="DJ636" s="1476"/>
      <c r="DK636" s="1476"/>
      <c r="DL636" s="1477"/>
      <c r="DM636" s="1475">
        <f t="shared" si="40"/>
        <v>0</v>
      </c>
      <c r="DN636" s="1476"/>
      <c r="DO636" s="1476"/>
      <c r="DP636" s="1476"/>
      <c r="DQ636" s="1477"/>
      <c r="DR636" s="1475">
        <f t="shared" si="41"/>
        <v>0</v>
      </c>
      <c r="DS636" s="1476"/>
      <c r="DT636" s="1476"/>
      <c r="DU636" s="1476"/>
      <c r="DV636" s="1477"/>
      <c r="DX636" s="1853" t="e">
        <f t="shared" si="23"/>
        <v>#VALUE!</v>
      </c>
      <c r="DY636" s="1853"/>
      <c r="DZ636" s="1853"/>
      <c r="EA636" s="1853"/>
      <c r="EB636" s="1853"/>
      <c r="EC636" s="1853" t="e">
        <f t="shared" si="24"/>
        <v>#VALUE!</v>
      </c>
      <c r="ED636" s="1853"/>
      <c r="EE636" s="1853"/>
      <c r="EF636" s="1853"/>
      <c r="EG636" s="1853"/>
      <c r="EH636" s="1853" t="e">
        <f t="shared" si="25"/>
        <v>#VALUE!</v>
      </c>
      <c r="EI636" s="1853"/>
      <c r="EJ636" s="1853"/>
      <c r="EK636" s="1853"/>
      <c r="EL636" s="1853"/>
      <c r="EM636" s="1853" t="e">
        <f t="shared" si="26"/>
        <v>#VALUE!</v>
      </c>
      <c r="EN636" s="1853"/>
      <c r="EO636" s="1853"/>
      <c r="EP636" s="1853"/>
      <c r="EQ636" s="1853"/>
      <c r="ER636" s="1853">
        <f t="shared" si="27"/>
        <v>134.4</v>
      </c>
      <c r="ES636" s="1853"/>
      <c r="ET636" s="1853"/>
      <c r="EU636" s="1853"/>
      <c r="EV636" s="1853"/>
      <c r="EW636" s="1853" t="e">
        <f t="shared" si="28"/>
        <v>#VALUE!</v>
      </c>
      <c r="EX636" s="1853"/>
      <c r="EY636" s="1853"/>
      <c r="EZ636" s="1853"/>
      <c r="FA636" s="1853"/>
    </row>
    <row r="637" spans="1:157" ht="12.95" customHeight="1">
      <c r="B637" s="1583" t="s">
        <v>270</v>
      </c>
      <c r="C637" s="1524"/>
      <c r="D637" s="1524"/>
      <c r="E637" s="1524"/>
      <c r="F637" s="1524"/>
      <c r="G637" s="1524"/>
      <c r="H637" s="1524"/>
      <c r="I637" s="1524"/>
      <c r="J637" s="1524"/>
      <c r="K637" s="1524"/>
      <c r="L637" s="1524"/>
      <c r="M637" s="1524"/>
      <c r="N637" s="1524"/>
      <c r="O637" s="1524"/>
      <c r="P637" s="1524"/>
      <c r="Q637" s="1524"/>
      <c r="R637" s="1524"/>
      <c r="S637" s="1524"/>
      <c r="T637" s="1524"/>
      <c r="U637" s="1524"/>
      <c r="V637" s="1524"/>
      <c r="W637" s="1524"/>
      <c r="X637" s="1524"/>
      <c r="Y637" s="1524"/>
      <c r="Z637" s="1524"/>
      <c r="AA637" s="1524"/>
      <c r="AB637" s="1524"/>
      <c r="AC637" s="1524"/>
      <c r="AD637" s="1524"/>
      <c r="AE637" s="1524"/>
      <c r="AF637" s="1524"/>
      <c r="AG637" s="1524"/>
      <c r="AH637" s="1524"/>
      <c r="AI637" s="1524"/>
      <c r="AJ637" s="1524"/>
      <c r="AK637" s="1524"/>
      <c r="AL637" s="1524"/>
      <c r="AM637" s="1524"/>
      <c r="AN637" s="1584"/>
      <c r="AO637" s="1519">
        <f>AO635+AO636</f>
        <v>40170277</v>
      </c>
      <c r="AP637" s="1520"/>
      <c r="AQ637" s="1520"/>
      <c r="AR637" s="1520"/>
      <c r="AS637" s="1521"/>
      <c r="AZ637" s="34"/>
      <c r="BA637" s="34"/>
      <c r="BB637" s="34"/>
      <c r="BC637" s="34"/>
      <c r="BD637" s="34"/>
      <c r="BE637" s="34"/>
      <c r="BF637" s="34"/>
      <c r="BG637" s="34"/>
      <c r="BH637" s="34"/>
      <c r="BI637" s="34"/>
      <c r="BJ637" s="34"/>
      <c r="BK637" s="34"/>
      <c r="BL637" s="34"/>
      <c r="BM637" s="34"/>
      <c r="BN637" s="1475">
        <f t="shared" si="30"/>
        <v>0</v>
      </c>
      <c r="BO637" s="1476"/>
      <c r="BP637" s="1476"/>
      <c r="BQ637" s="1476"/>
      <c r="BR637" s="1477"/>
      <c r="BS637" s="1409">
        <f t="shared" si="31"/>
        <v>0</v>
      </c>
      <c r="BT637" s="1409"/>
      <c r="BU637" s="1409"/>
      <c r="BV637" s="1409"/>
      <c r="BW637" s="1409"/>
      <c r="BX637" s="1409">
        <f t="shared" si="32"/>
        <v>0</v>
      </c>
      <c r="BY637" s="1409"/>
      <c r="BZ637" s="1409"/>
      <c r="CA637" s="1409"/>
      <c r="CB637" s="1409"/>
      <c r="CC637" s="1409">
        <f t="shared" si="33"/>
        <v>0</v>
      </c>
      <c r="CD637" s="1409"/>
      <c r="CE637" s="1409"/>
      <c r="CF637" s="1409"/>
      <c r="CG637" s="1409"/>
      <c r="CH637" s="1409">
        <f t="shared" si="34"/>
        <v>0</v>
      </c>
      <c r="CI637" s="1409"/>
      <c r="CJ637" s="1409"/>
      <c r="CK637" s="1409"/>
      <c r="CL637" s="1409"/>
      <c r="CM637" s="1409">
        <f t="shared" si="35"/>
        <v>0</v>
      </c>
      <c r="CN637" s="1409"/>
      <c r="CO637" s="1409"/>
      <c r="CP637" s="1409"/>
      <c r="CQ637" s="1409"/>
      <c r="CR637" s="6"/>
      <c r="CS637" s="1475">
        <f t="shared" si="36"/>
        <v>0</v>
      </c>
      <c r="CT637" s="1476"/>
      <c r="CU637" s="1476"/>
      <c r="CV637" s="1476"/>
      <c r="CW637" s="1477"/>
      <c r="CX637" s="1475">
        <f t="shared" si="37"/>
        <v>0</v>
      </c>
      <c r="CY637" s="1476"/>
      <c r="CZ637" s="1476"/>
      <c r="DA637" s="1476"/>
      <c r="DB637" s="1477"/>
      <c r="DC637" s="1475">
        <f t="shared" si="38"/>
        <v>0</v>
      </c>
      <c r="DD637" s="1476"/>
      <c r="DE637" s="1476"/>
      <c r="DF637" s="1476"/>
      <c r="DG637" s="1477"/>
      <c r="DH637" s="1475">
        <f t="shared" si="39"/>
        <v>0</v>
      </c>
      <c r="DI637" s="1476"/>
      <c r="DJ637" s="1476"/>
      <c r="DK637" s="1476"/>
      <c r="DL637" s="1477"/>
      <c r="DM637" s="1475">
        <f t="shared" si="40"/>
        <v>0</v>
      </c>
      <c r="DN637" s="1476"/>
      <c r="DO637" s="1476"/>
      <c r="DP637" s="1476"/>
      <c r="DQ637" s="1477"/>
      <c r="DR637" s="1475">
        <f t="shared" si="41"/>
        <v>0</v>
      </c>
      <c r="DS637" s="1476"/>
      <c r="DT637" s="1476"/>
      <c r="DU637" s="1476"/>
      <c r="DV637" s="1477"/>
      <c r="DX637" s="1853" t="e">
        <f t="shared" si="23"/>
        <v>#VALUE!</v>
      </c>
      <c r="DY637" s="1853"/>
      <c r="DZ637" s="1853"/>
      <c r="EA637" s="1853"/>
      <c r="EB637" s="1853"/>
      <c r="EC637" s="1853" t="e">
        <f t="shared" si="24"/>
        <v>#VALUE!</v>
      </c>
      <c r="ED637" s="1853"/>
      <c r="EE637" s="1853"/>
      <c r="EF637" s="1853"/>
      <c r="EG637" s="1853"/>
      <c r="EH637" s="1853" t="e">
        <f t="shared" si="25"/>
        <v>#VALUE!</v>
      </c>
      <c r="EI637" s="1853"/>
      <c r="EJ637" s="1853"/>
      <c r="EK637" s="1853"/>
      <c r="EL637" s="1853"/>
      <c r="EM637" s="1853" t="e">
        <f t="shared" si="26"/>
        <v>#VALUE!</v>
      </c>
      <c r="EN637" s="1853"/>
      <c r="EO637" s="1853"/>
      <c r="EP637" s="1853"/>
      <c r="EQ637" s="1853"/>
      <c r="ER637" s="1853">
        <f t="shared" si="27"/>
        <v>538.79999999999995</v>
      </c>
      <c r="ES637" s="1853"/>
      <c r="ET637" s="1853"/>
      <c r="EU637" s="1853"/>
      <c r="EV637" s="1853"/>
      <c r="EW637" s="1853" t="e">
        <f t="shared" si="28"/>
        <v>#VALUE!</v>
      </c>
      <c r="EX637" s="1853"/>
      <c r="EY637" s="1853"/>
      <c r="EZ637" s="1853"/>
      <c r="FA637" s="1853"/>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75">
        <f t="shared" si="30"/>
        <v>0</v>
      </c>
      <c r="BO638" s="1476"/>
      <c r="BP638" s="1476"/>
      <c r="BQ638" s="1476"/>
      <c r="BR638" s="1477"/>
      <c r="BS638" s="1409">
        <f t="shared" si="31"/>
        <v>0</v>
      </c>
      <c r="BT638" s="1409"/>
      <c r="BU638" s="1409"/>
      <c r="BV638" s="1409"/>
      <c r="BW638" s="1409"/>
      <c r="BX638" s="1409">
        <f t="shared" si="32"/>
        <v>0</v>
      </c>
      <c r="BY638" s="1409"/>
      <c r="BZ638" s="1409"/>
      <c r="CA638" s="1409"/>
      <c r="CB638" s="1409"/>
      <c r="CC638" s="1409">
        <f t="shared" si="33"/>
        <v>0</v>
      </c>
      <c r="CD638" s="1409"/>
      <c r="CE638" s="1409"/>
      <c r="CF638" s="1409"/>
      <c r="CG638" s="1409"/>
      <c r="CH638" s="1409">
        <f t="shared" si="34"/>
        <v>0</v>
      </c>
      <c r="CI638" s="1409"/>
      <c r="CJ638" s="1409"/>
      <c r="CK638" s="1409"/>
      <c r="CL638" s="1409"/>
      <c r="CM638" s="1409">
        <f t="shared" si="35"/>
        <v>0</v>
      </c>
      <c r="CN638" s="1409"/>
      <c r="CO638" s="1409"/>
      <c r="CP638" s="1409"/>
      <c r="CQ638" s="1409"/>
      <c r="CR638" s="6"/>
      <c r="CS638" s="1475">
        <f t="shared" si="36"/>
        <v>0</v>
      </c>
      <c r="CT638" s="1476"/>
      <c r="CU638" s="1476"/>
      <c r="CV638" s="1476"/>
      <c r="CW638" s="1477"/>
      <c r="CX638" s="1475">
        <f t="shared" si="37"/>
        <v>0</v>
      </c>
      <c r="CY638" s="1476"/>
      <c r="CZ638" s="1476"/>
      <c r="DA638" s="1476"/>
      <c r="DB638" s="1477"/>
      <c r="DC638" s="1475">
        <f t="shared" si="38"/>
        <v>0</v>
      </c>
      <c r="DD638" s="1476"/>
      <c r="DE638" s="1476"/>
      <c r="DF638" s="1476"/>
      <c r="DG638" s="1477"/>
      <c r="DH638" s="1475">
        <f t="shared" si="39"/>
        <v>0</v>
      </c>
      <c r="DI638" s="1476"/>
      <c r="DJ638" s="1476"/>
      <c r="DK638" s="1476"/>
      <c r="DL638" s="1477"/>
      <c r="DM638" s="1475">
        <f t="shared" si="40"/>
        <v>0</v>
      </c>
      <c r="DN638" s="1476"/>
      <c r="DO638" s="1476"/>
      <c r="DP638" s="1476"/>
      <c r="DQ638" s="1477"/>
      <c r="DR638" s="1475">
        <f t="shared" si="41"/>
        <v>0</v>
      </c>
      <c r="DS638" s="1476"/>
      <c r="DT638" s="1476"/>
      <c r="DU638" s="1476"/>
      <c r="DV638" s="1477"/>
      <c r="DX638" s="1853" t="e">
        <f t="shared" si="23"/>
        <v>#VALUE!</v>
      </c>
      <c r="DY638" s="1853"/>
      <c r="DZ638" s="1853"/>
      <c r="EA638" s="1853"/>
      <c r="EB638" s="1853"/>
      <c r="EC638" s="1853" t="e">
        <f t="shared" si="24"/>
        <v>#VALUE!</v>
      </c>
      <c r="ED638" s="1853"/>
      <c r="EE638" s="1853"/>
      <c r="EF638" s="1853"/>
      <c r="EG638" s="1853"/>
      <c r="EH638" s="1853" t="e">
        <f t="shared" si="25"/>
        <v>#VALUE!</v>
      </c>
      <c r="EI638" s="1853"/>
      <c r="EJ638" s="1853"/>
      <c r="EK638" s="1853"/>
      <c r="EL638" s="1853"/>
      <c r="EM638" s="1853" t="e">
        <f t="shared" si="26"/>
        <v>#VALUE!</v>
      </c>
      <c r="EN638" s="1853"/>
      <c r="EO638" s="1853"/>
      <c r="EP638" s="1853"/>
      <c r="EQ638" s="1853"/>
      <c r="ER638" s="1853">
        <f t="shared" si="27"/>
        <v>112.4</v>
      </c>
      <c r="ES638" s="1853"/>
      <c r="ET638" s="1853"/>
      <c r="EU638" s="1853"/>
      <c r="EV638" s="1853"/>
      <c r="EW638" s="1853" t="e">
        <f t="shared" si="28"/>
        <v>#VALUE!</v>
      </c>
      <c r="EX638" s="1853"/>
      <c r="EY638" s="1853"/>
      <c r="EZ638" s="1853"/>
      <c r="FA638" s="1853"/>
    </row>
    <row r="639" spans="1:157" ht="12.95" customHeight="1">
      <c r="A639" s="55" t="s">
        <v>113</v>
      </c>
      <c r="B639" t="s">
        <v>473</v>
      </c>
      <c r="G639" s="1514" t="str">
        <f>C623</f>
        <v>Pacific Western Bank Perm Loan</v>
      </c>
      <c r="H639" s="1514"/>
      <c r="I639" s="1514"/>
      <c r="J639" s="1514"/>
      <c r="K639" s="1514"/>
      <c r="L639" s="1514"/>
      <c r="M639" s="1514"/>
      <c r="N639" s="1514"/>
      <c r="O639" s="1514"/>
      <c r="P639" s="1514"/>
      <c r="Q639" s="1514"/>
      <c r="R639" s="1514"/>
      <c r="S639" s="8"/>
      <c r="T639" s="55" t="s">
        <v>114</v>
      </c>
      <c r="U639" t="s">
        <v>473</v>
      </c>
      <c r="Z639" s="1514" t="str">
        <f>C624</f>
        <v>City of Chico - CDBG-DR Funds</v>
      </c>
      <c r="AA639" s="1514"/>
      <c r="AB639" s="1514"/>
      <c r="AC639" s="1514"/>
      <c r="AD639" s="1514"/>
      <c r="AE639" s="1514"/>
      <c r="AF639" s="1514"/>
      <c r="AG639" s="1514"/>
      <c r="AH639" s="1514"/>
      <c r="AI639" s="1514"/>
      <c r="AJ639" s="1514"/>
      <c r="AK639" s="1514"/>
      <c r="AZ639" s="34"/>
      <c r="BA639" s="34"/>
      <c r="BB639" s="34"/>
      <c r="BC639" s="34"/>
      <c r="BD639" s="34"/>
      <c r="BE639" s="34"/>
      <c r="BF639" s="34"/>
      <c r="BG639" s="34"/>
      <c r="BH639" s="34"/>
      <c r="BI639" s="34"/>
      <c r="BJ639" s="34"/>
      <c r="BK639" s="34"/>
      <c r="BL639" s="34"/>
      <c r="BM639" s="34"/>
      <c r="BN639" s="1475">
        <f t="shared" si="30"/>
        <v>0</v>
      </c>
      <c r="BO639" s="1476"/>
      <c r="BP639" s="1476"/>
      <c r="BQ639" s="1476"/>
      <c r="BR639" s="1477"/>
      <c r="BS639" s="1409">
        <f t="shared" si="31"/>
        <v>0</v>
      </c>
      <c r="BT639" s="1409"/>
      <c r="BU639" s="1409"/>
      <c r="BV639" s="1409"/>
      <c r="BW639" s="1409"/>
      <c r="BX639" s="1409">
        <f t="shared" si="32"/>
        <v>0</v>
      </c>
      <c r="BY639" s="1409"/>
      <c r="BZ639" s="1409"/>
      <c r="CA639" s="1409"/>
      <c r="CB639" s="1409"/>
      <c r="CC639" s="1409">
        <f t="shared" si="33"/>
        <v>0</v>
      </c>
      <c r="CD639" s="1409"/>
      <c r="CE639" s="1409"/>
      <c r="CF639" s="1409"/>
      <c r="CG639" s="1409"/>
      <c r="CH639" s="1409">
        <f t="shared" si="34"/>
        <v>0</v>
      </c>
      <c r="CI639" s="1409"/>
      <c r="CJ639" s="1409"/>
      <c r="CK639" s="1409"/>
      <c r="CL639" s="1409"/>
      <c r="CM639" s="1409">
        <f t="shared" si="35"/>
        <v>0</v>
      </c>
      <c r="CN639" s="1409"/>
      <c r="CO639" s="1409"/>
      <c r="CP639" s="1409"/>
      <c r="CQ639" s="1409"/>
      <c r="CR639" s="6"/>
      <c r="CS639" s="1475">
        <f t="shared" si="36"/>
        <v>0</v>
      </c>
      <c r="CT639" s="1476"/>
      <c r="CU639" s="1476"/>
      <c r="CV639" s="1476"/>
      <c r="CW639" s="1477"/>
      <c r="CX639" s="1475">
        <f t="shared" si="37"/>
        <v>0</v>
      </c>
      <c r="CY639" s="1476"/>
      <c r="CZ639" s="1476"/>
      <c r="DA639" s="1476"/>
      <c r="DB639" s="1477"/>
      <c r="DC639" s="1475">
        <f t="shared" si="38"/>
        <v>0</v>
      </c>
      <c r="DD639" s="1476"/>
      <c r="DE639" s="1476"/>
      <c r="DF639" s="1476"/>
      <c r="DG639" s="1477"/>
      <c r="DH639" s="1475">
        <f t="shared" si="39"/>
        <v>0</v>
      </c>
      <c r="DI639" s="1476"/>
      <c r="DJ639" s="1476"/>
      <c r="DK639" s="1476"/>
      <c r="DL639" s="1477"/>
      <c r="DM639" s="1475">
        <f t="shared" si="40"/>
        <v>0</v>
      </c>
      <c r="DN639" s="1476"/>
      <c r="DO639" s="1476"/>
      <c r="DP639" s="1476"/>
      <c r="DQ639" s="1477"/>
      <c r="DR639" s="1475">
        <f t="shared" si="41"/>
        <v>0</v>
      </c>
      <c r="DS639" s="1476"/>
      <c r="DT639" s="1476"/>
      <c r="DU639" s="1476"/>
      <c r="DV639" s="1477"/>
      <c r="DX639" s="1853" t="e">
        <f t="shared" si="23"/>
        <v>#VALUE!</v>
      </c>
      <c r="DY639" s="1853"/>
      <c r="DZ639" s="1853"/>
      <c r="EA639" s="1853"/>
      <c r="EB639" s="1853"/>
      <c r="EC639" s="1853" t="e">
        <f t="shared" si="24"/>
        <v>#VALUE!</v>
      </c>
      <c r="ED639" s="1853"/>
      <c r="EE639" s="1853"/>
      <c r="EF639" s="1853"/>
      <c r="EG639" s="1853"/>
      <c r="EH639" s="1853" t="e">
        <f t="shared" si="25"/>
        <v>#VALUE!</v>
      </c>
      <c r="EI639" s="1853"/>
      <c r="EJ639" s="1853"/>
      <c r="EK639" s="1853"/>
      <c r="EL639" s="1853"/>
      <c r="EM639" s="1853" t="e">
        <f t="shared" si="26"/>
        <v>#VALUE!</v>
      </c>
      <c r="EN639" s="1853"/>
      <c r="EO639" s="1853"/>
      <c r="EP639" s="1853"/>
      <c r="EQ639" s="1853"/>
      <c r="ER639" s="1853">
        <f t="shared" si="27"/>
        <v>135</v>
      </c>
      <c r="ES639" s="1853"/>
      <c r="ET639" s="1853"/>
      <c r="EU639" s="1853"/>
      <c r="EV639" s="1853"/>
      <c r="EW639" s="1853" t="e">
        <f t="shared" si="28"/>
        <v>#VALUE!</v>
      </c>
      <c r="EX639" s="1853"/>
      <c r="EY639" s="1853"/>
      <c r="EZ639" s="1853"/>
      <c r="FA639" s="1853"/>
    </row>
    <row r="640" spans="1:157" ht="12.95" customHeight="1">
      <c r="A640" s="22"/>
      <c r="B640" t="s">
        <v>86</v>
      </c>
      <c r="G640" s="1408" t="s">
        <v>2709</v>
      </c>
      <c r="H640" s="1408"/>
      <c r="I640" s="1408"/>
      <c r="J640" s="1408"/>
      <c r="K640" s="1408"/>
      <c r="L640" s="1408"/>
      <c r="M640" s="1408"/>
      <c r="N640" s="1408"/>
      <c r="O640" s="1408"/>
      <c r="P640" s="1408"/>
      <c r="Q640" s="1408"/>
      <c r="R640" s="1408"/>
      <c r="S640" s="8"/>
      <c r="T640" s="22"/>
      <c r="U640" t="s">
        <v>86</v>
      </c>
      <c r="Z640" s="1408" t="s">
        <v>2714</v>
      </c>
      <c r="AA640" s="1408"/>
      <c r="AB640" s="1408"/>
      <c r="AC640" s="1408"/>
      <c r="AD640" s="1408"/>
      <c r="AE640" s="1408"/>
      <c r="AF640" s="1408"/>
      <c r="AG640" s="1408"/>
      <c r="AH640" s="1408"/>
      <c r="AI640" s="1408"/>
      <c r="AJ640" s="1408"/>
      <c r="AK640" s="1408"/>
      <c r="AZ640" s="34"/>
      <c r="BA640" s="34"/>
      <c r="BB640" s="34"/>
      <c r="BC640" s="34"/>
      <c r="BD640" s="34"/>
      <c r="BE640" s="34"/>
      <c r="BF640" s="34"/>
      <c r="BG640" s="34"/>
      <c r="BH640" s="34"/>
      <c r="BI640" s="34"/>
      <c r="BJ640" s="34"/>
      <c r="BK640" s="34"/>
      <c r="BL640" s="34"/>
      <c r="BM640" s="34"/>
      <c r="BN640" s="1475">
        <f t="shared" si="30"/>
        <v>0</v>
      </c>
      <c r="BO640" s="1476"/>
      <c r="BP640" s="1476"/>
      <c r="BQ640" s="1476"/>
      <c r="BR640" s="1477"/>
      <c r="BS640" s="1409">
        <f t="shared" si="31"/>
        <v>0</v>
      </c>
      <c r="BT640" s="1409"/>
      <c r="BU640" s="1409"/>
      <c r="BV640" s="1409"/>
      <c r="BW640" s="1409"/>
      <c r="BX640" s="1409">
        <f t="shared" si="32"/>
        <v>0</v>
      </c>
      <c r="BY640" s="1409"/>
      <c r="BZ640" s="1409"/>
      <c r="CA640" s="1409"/>
      <c r="CB640" s="1409"/>
      <c r="CC640" s="1409">
        <f t="shared" si="33"/>
        <v>0</v>
      </c>
      <c r="CD640" s="1409"/>
      <c r="CE640" s="1409"/>
      <c r="CF640" s="1409"/>
      <c r="CG640" s="1409"/>
      <c r="CH640" s="1409">
        <f t="shared" si="34"/>
        <v>0</v>
      </c>
      <c r="CI640" s="1409"/>
      <c r="CJ640" s="1409"/>
      <c r="CK640" s="1409"/>
      <c r="CL640" s="1409"/>
      <c r="CM640" s="1409">
        <f t="shared" si="35"/>
        <v>0</v>
      </c>
      <c r="CN640" s="1409"/>
      <c r="CO640" s="1409"/>
      <c r="CP640" s="1409"/>
      <c r="CQ640" s="1409"/>
      <c r="CR640" s="6"/>
      <c r="CS640" s="1475">
        <f t="shared" si="36"/>
        <v>0</v>
      </c>
      <c r="CT640" s="1476"/>
      <c r="CU640" s="1476"/>
      <c r="CV640" s="1476"/>
      <c r="CW640" s="1477"/>
      <c r="CX640" s="1475">
        <f t="shared" si="37"/>
        <v>0</v>
      </c>
      <c r="CY640" s="1476"/>
      <c r="CZ640" s="1476"/>
      <c r="DA640" s="1476"/>
      <c r="DB640" s="1477"/>
      <c r="DC640" s="1475">
        <f t="shared" si="38"/>
        <v>0</v>
      </c>
      <c r="DD640" s="1476"/>
      <c r="DE640" s="1476"/>
      <c r="DF640" s="1476"/>
      <c r="DG640" s="1477"/>
      <c r="DH640" s="1475">
        <f t="shared" si="39"/>
        <v>0</v>
      </c>
      <c r="DI640" s="1476"/>
      <c r="DJ640" s="1476"/>
      <c r="DK640" s="1476"/>
      <c r="DL640" s="1477"/>
      <c r="DM640" s="1475">
        <f t="shared" si="40"/>
        <v>0</v>
      </c>
      <c r="DN640" s="1476"/>
      <c r="DO640" s="1476"/>
      <c r="DP640" s="1476"/>
      <c r="DQ640" s="1477"/>
      <c r="DR640" s="1475">
        <f t="shared" si="41"/>
        <v>0</v>
      </c>
      <c r="DS640" s="1476"/>
      <c r="DT640" s="1476"/>
      <c r="DU640" s="1476"/>
      <c r="DV640" s="1477"/>
      <c r="DX640" s="1853" t="e">
        <f t="shared" si="23"/>
        <v>#VALUE!</v>
      </c>
      <c r="DY640" s="1853"/>
      <c r="DZ640" s="1853"/>
      <c r="EA640" s="1853"/>
      <c r="EB640" s="1853"/>
      <c r="EC640" s="1853" t="e">
        <f t="shared" si="24"/>
        <v>#VALUE!</v>
      </c>
      <c r="ED640" s="1853"/>
      <c r="EE640" s="1853"/>
      <c r="EF640" s="1853"/>
      <c r="EG640" s="1853"/>
      <c r="EH640" s="1853" t="e">
        <f t="shared" si="25"/>
        <v>#VALUE!</v>
      </c>
      <c r="EI640" s="1853"/>
      <c r="EJ640" s="1853"/>
      <c r="EK640" s="1853"/>
      <c r="EL640" s="1853"/>
      <c r="EM640" s="1853" t="e">
        <f t="shared" si="26"/>
        <v>#VALUE!</v>
      </c>
      <c r="EN640" s="1853"/>
      <c r="EO640" s="1853"/>
      <c r="EP640" s="1853"/>
      <c r="EQ640" s="1853"/>
      <c r="ER640" s="1853" t="e">
        <f t="shared" si="27"/>
        <v>#VALUE!</v>
      </c>
      <c r="ES640" s="1853"/>
      <c r="ET640" s="1853"/>
      <c r="EU640" s="1853"/>
      <c r="EV640" s="1853"/>
      <c r="EW640" s="1853" t="e">
        <f t="shared" si="28"/>
        <v>#VALUE!</v>
      </c>
      <c r="EX640" s="1853"/>
      <c r="EY640" s="1853"/>
      <c r="EZ640" s="1853"/>
      <c r="FA640" s="1853"/>
    </row>
    <row r="641" spans="1:157" ht="12.95" customHeight="1">
      <c r="A641" s="22"/>
      <c r="B641" t="s">
        <v>590</v>
      </c>
      <c r="G641" s="1408" t="s">
        <v>2710</v>
      </c>
      <c r="H641" s="1408"/>
      <c r="I641" s="1408"/>
      <c r="J641" s="1408"/>
      <c r="K641" s="1408"/>
      <c r="L641" s="1408"/>
      <c r="M641" s="1408"/>
      <c r="N641" s="1408"/>
      <c r="O641" s="1408"/>
      <c r="P641" s="1408"/>
      <c r="Q641" s="1408"/>
      <c r="R641" s="1408"/>
      <c r="T641" s="22"/>
      <c r="U641" t="s">
        <v>590</v>
      </c>
      <c r="Z641" s="1393" t="s">
        <v>2715</v>
      </c>
      <c r="AA641" s="1393"/>
      <c r="AB641" s="1393"/>
      <c r="AC641" s="1393"/>
      <c r="AD641" s="1393"/>
      <c r="AE641" s="1393"/>
      <c r="AF641" s="1393"/>
      <c r="AG641" s="1393"/>
      <c r="AH641" s="1393"/>
      <c r="AI641" s="1393"/>
      <c r="AJ641" s="1393"/>
      <c r="AK641" s="1393"/>
      <c r="AZ641" s="34"/>
      <c r="BA641" s="34"/>
      <c r="BB641" s="34"/>
      <c r="BC641" s="34"/>
      <c r="BD641" s="34"/>
      <c r="BE641" s="34"/>
      <c r="BF641" s="34"/>
      <c r="BG641" s="34"/>
      <c r="BH641" s="34"/>
      <c r="BI641" s="34"/>
      <c r="BJ641" s="34"/>
      <c r="BK641" s="34"/>
      <c r="BL641" s="34"/>
      <c r="BM641" s="34"/>
      <c r="BN641" s="1475">
        <f t="shared" si="30"/>
        <v>0</v>
      </c>
      <c r="BO641" s="1476"/>
      <c r="BP641" s="1476"/>
      <c r="BQ641" s="1476"/>
      <c r="BR641" s="1477"/>
      <c r="BS641" s="1409">
        <f t="shared" si="31"/>
        <v>0</v>
      </c>
      <c r="BT641" s="1409"/>
      <c r="BU641" s="1409"/>
      <c r="BV641" s="1409"/>
      <c r="BW641" s="1409"/>
      <c r="BX641" s="1409">
        <f t="shared" si="32"/>
        <v>0</v>
      </c>
      <c r="BY641" s="1409"/>
      <c r="BZ641" s="1409"/>
      <c r="CA641" s="1409"/>
      <c r="CB641" s="1409"/>
      <c r="CC641" s="1409">
        <f t="shared" si="33"/>
        <v>0</v>
      </c>
      <c r="CD641" s="1409"/>
      <c r="CE641" s="1409"/>
      <c r="CF641" s="1409"/>
      <c r="CG641" s="1409"/>
      <c r="CH641" s="1409">
        <f t="shared" si="34"/>
        <v>0</v>
      </c>
      <c r="CI641" s="1409"/>
      <c r="CJ641" s="1409"/>
      <c r="CK641" s="1409"/>
      <c r="CL641" s="1409"/>
      <c r="CM641" s="1409">
        <f t="shared" si="35"/>
        <v>0</v>
      </c>
      <c r="CN641" s="1409"/>
      <c r="CO641" s="1409"/>
      <c r="CP641" s="1409"/>
      <c r="CQ641" s="1409"/>
      <c r="CR641" s="6"/>
      <c r="CS641" s="1475">
        <f t="shared" si="36"/>
        <v>0</v>
      </c>
      <c r="CT641" s="1476"/>
      <c r="CU641" s="1476"/>
      <c r="CV641" s="1476"/>
      <c r="CW641" s="1477"/>
      <c r="CX641" s="1475">
        <f t="shared" si="37"/>
        <v>0</v>
      </c>
      <c r="CY641" s="1476"/>
      <c r="CZ641" s="1476"/>
      <c r="DA641" s="1476"/>
      <c r="DB641" s="1477"/>
      <c r="DC641" s="1475">
        <f t="shared" si="38"/>
        <v>0</v>
      </c>
      <c r="DD641" s="1476"/>
      <c r="DE641" s="1476"/>
      <c r="DF641" s="1476"/>
      <c r="DG641" s="1477"/>
      <c r="DH641" s="1475">
        <f t="shared" si="39"/>
        <v>0</v>
      </c>
      <c r="DI641" s="1476"/>
      <c r="DJ641" s="1476"/>
      <c r="DK641" s="1476"/>
      <c r="DL641" s="1477"/>
      <c r="DM641" s="1475">
        <f t="shared" si="40"/>
        <v>0</v>
      </c>
      <c r="DN641" s="1476"/>
      <c r="DO641" s="1476"/>
      <c r="DP641" s="1476"/>
      <c r="DQ641" s="1477"/>
      <c r="DR641" s="1475">
        <f t="shared" si="41"/>
        <v>0</v>
      </c>
      <c r="DS641" s="1476"/>
      <c r="DT641" s="1476"/>
      <c r="DU641" s="1476"/>
      <c r="DV641" s="1477"/>
      <c r="DX641" s="1853" t="e">
        <f t="shared" si="23"/>
        <v>#VALUE!</v>
      </c>
      <c r="DY641" s="1853"/>
      <c r="DZ641" s="1853"/>
      <c r="EA641" s="1853"/>
      <c r="EB641" s="1853"/>
      <c r="EC641" s="1853" t="e">
        <f t="shared" si="24"/>
        <v>#VALUE!</v>
      </c>
      <c r="ED641" s="1853"/>
      <c r="EE641" s="1853"/>
      <c r="EF641" s="1853"/>
      <c r="EG641" s="1853"/>
      <c r="EH641" s="1853" t="e">
        <f t="shared" si="25"/>
        <v>#VALUE!</v>
      </c>
      <c r="EI641" s="1853"/>
      <c r="EJ641" s="1853"/>
      <c r="EK641" s="1853"/>
      <c r="EL641" s="1853"/>
      <c r="EM641" s="1853" t="e">
        <f t="shared" si="26"/>
        <v>#VALUE!</v>
      </c>
      <c r="EN641" s="1853"/>
      <c r="EO641" s="1853"/>
      <c r="EP641" s="1853"/>
      <c r="EQ641" s="1853"/>
      <c r="ER641" s="1853" t="e">
        <f t="shared" si="27"/>
        <v>#VALUE!</v>
      </c>
      <c r="ES641" s="1853"/>
      <c r="ET641" s="1853"/>
      <c r="EU641" s="1853"/>
      <c r="EV641" s="1853"/>
      <c r="EW641" s="1853" t="e">
        <f t="shared" si="28"/>
        <v>#VALUE!</v>
      </c>
      <c r="EX641" s="1853"/>
      <c r="EY641" s="1853"/>
      <c r="EZ641" s="1853"/>
      <c r="FA641" s="1853"/>
    </row>
    <row r="642" spans="1:157" ht="12.95" customHeight="1">
      <c r="A642" s="22"/>
      <c r="B642" t="s">
        <v>17</v>
      </c>
      <c r="G642" s="1408" t="s">
        <v>2711</v>
      </c>
      <c r="H642" s="1408"/>
      <c r="I642" s="1408"/>
      <c r="J642" s="1408"/>
      <c r="K642" s="1408"/>
      <c r="L642" s="1408"/>
      <c r="M642" s="1408"/>
      <c r="N642" s="1408"/>
      <c r="O642" s="1408"/>
      <c r="P642" s="1408"/>
      <c r="Q642" s="1408"/>
      <c r="R642" s="1408"/>
      <c r="S642" s="8"/>
      <c r="T642" s="22"/>
      <c r="U642" t="s">
        <v>17</v>
      </c>
      <c r="Z642" s="1393" t="s">
        <v>2716</v>
      </c>
      <c r="AA642" s="1393"/>
      <c r="AB642" s="1393"/>
      <c r="AC642" s="1393"/>
      <c r="AD642" s="1393"/>
      <c r="AE642" s="1393"/>
      <c r="AF642" s="1393"/>
      <c r="AG642" s="1393"/>
      <c r="AH642" s="1393"/>
      <c r="AI642" s="1393"/>
      <c r="AJ642" s="1393"/>
      <c r="AK642" s="1393"/>
      <c r="AZ642" s="34"/>
      <c r="BA642" s="34"/>
      <c r="BB642" s="34"/>
      <c r="BC642" s="34"/>
      <c r="BD642" s="34"/>
      <c r="BE642" s="34"/>
      <c r="BF642" s="34"/>
      <c r="BG642" s="34"/>
      <c r="BH642" s="34"/>
      <c r="BI642" s="34"/>
      <c r="BJ642" s="34"/>
      <c r="BK642" s="34"/>
      <c r="BL642" s="34"/>
      <c r="BM642" s="34"/>
      <c r="BN642" s="1475">
        <f t="shared" si="30"/>
        <v>0</v>
      </c>
      <c r="BO642" s="1476"/>
      <c r="BP642" s="1476"/>
      <c r="BQ642" s="1476"/>
      <c r="BR642" s="1477"/>
      <c r="BS642" s="1409">
        <f t="shared" si="31"/>
        <v>0</v>
      </c>
      <c r="BT642" s="1409"/>
      <c r="BU642" s="1409"/>
      <c r="BV642" s="1409"/>
      <c r="BW642" s="1409"/>
      <c r="BX642" s="1409">
        <f t="shared" si="32"/>
        <v>0</v>
      </c>
      <c r="BY642" s="1409"/>
      <c r="BZ642" s="1409"/>
      <c r="CA642" s="1409"/>
      <c r="CB642" s="1409"/>
      <c r="CC642" s="1409">
        <f t="shared" si="33"/>
        <v>0</v>
      </c>
      <c r="CD642" s="1409"/>
      <c r="CE642" s="1409"/>
      <c r="CF642" s="1409"/>
      <c r="CG642" s="1409"/>
      <c r="CH642" s="1409">
        <f t="shared" si="34"/>
        <v>0</v>
      </c>
      <c r="CI642" s="1409"/>
      <c r="CJ642" s="1409"/>
      <c r="CK642" s="1409"/>
      <c r="CL642" s="1409"/>
      <c r="CM642" s="1409">
        <f t="shared" si="35"/>
        <v>0</v>
      </c>
      <c r="CN642" s="1409"/>
      <c r="CO642" s="1409"/>
      <c r="CP642" s="1409"/>
      <c r="CQ642" s="1409"/>
      <c r="CR642" s="6"/>
      <c r="CS642" s="1475">
        <f t="shared" si="36"/>
        <v>0</v>
      </c>
      <c r="CT642" s="1476"/>
      <c r="CU642" s="1476"/>
      <c r="CV642" s="1476"/>
      <c r="CW642" s="1477"/>
      <c r="CX642" s="1475">
        <f t="shared" si="37"/>
        <v>0</v>
      </c>
      <c r="CY642" s="1476"/>
      <c r="CZ642" s="1476"/>
      <c r="DA642" s="1476"/>
      <c r="DB642" s="1477"/>
      <c r="DC642" s="1475">
        <f t="shared" si="38"/>
        <v>0</v>
      </c>
      <c r="DD642" s="1476"/>
      <c r="DE642" s="1476"/>
      <c r="DF642" s="1476"/>
      <c r="DG642" s="1477"/>
      <c r="DH642" s="1475">
        <f t="shared" si="39"/>
        <v>0</v>
      </c>
      <c r="DI642" s="1476"/>
      <c r="DJ642" s="1476"/>
      <c r="DK642" s="1476"/>
      <c r="DL642" s="1477"/>
      <c r="DM642" s="1475">
        <f t="shared" si="40"/>
        <v>0</v>
      </c>
      <c r="DN642" s="1476"/>
      <c r="DO642" s="1476"/>
      <c r="DP642" s="1476"/>
      <c r="DQ642" s="1477"/>
      <c r="DR642" s="1475">
        <f t="shared" si="41"/>
        <v>0</v>
      </c>
      <c r="DS642" s="1476"/>
      <c r="DT642" s="1476"/>
      <c r="DU642" s="1476"/>
      <c r="DV642" s="1477"/>
      <c r="DX642" s="1853" t="e">
        <f t="shared" si="23"/>
        <v>#VALUE!</v>
      </c>
      <c r="DY642" s="1853"/>
      <c r="DZ642" s="1853"/>
      <c r="EA642" s="1853"/>
      <c r="EB642" s="1853"/>
      <c r="EC642" s="1853" t="e">
        <f t="shared" si="24"/>
        <v>#VALUE!</v>
      </c>
      <c r="ED642" s="1853"/>
      <c r="EE642" s="1853"/>
      <c r="EF642" s="1853"/>
      <c r="EG642" s="1853"/>
      <c r="EH642" s="1853" t="e">
        <f t="shared" si="25"/>
        <v>#VALUE!</v>
      </c>
      <c r="EI642" s="1853"/>
      <c r="EJ642" s="1853"/>
      <c r="EK642" s="1853"/>
      <c r="EL642" s="1853"/>
      <c r="EM642" s="1853" t="e">
        <f t="shared" si="26"/>
        <v>#VALUE!</v>
      </c>
      <c r="EN642" s="1853"/>
      <c r="EO642" s="1853"/>
      <c r="EP642" s="1853"/>
      <c r="EQ642" s="1853"/>
      <c r="ER642" s="1853" t="e">
        <f t="shared" si="27"/>
        <v>#VALUE!</v>
      </c>
      <c r="ES642" s="1853"/>
      <c r="ET642" s="1853"/>
      <c r="EU642" s="1853"/>
      <c r="EV642" s="1853"/>
      <c r="EW642" s="1853" t="e">
        <f t="shared" si="28"/>
        <v>#VALUE!</v>
      </c>
      <c r="EX642" s="1853"/>
      <c r="EY642" s="1853"/>
      <c r="EZ642" s="1853"/>
      <c r="FA642" s="1853"/>
    </row>
    <row r="643" spans="1:157" ht="12.95" customHeight="1">
      <c r="A643" s="22"/>
      <c r="B643" t="s">
        <v>318</v>
      </c>
      <c r="G643" s="1447" t="s">
        <v>2712</v>
      </c>
      <c r="H643" s="1447"/>
      <c r="I643" s="1447"/>
      <c r="J643" s="1447"/>
      <c r="K643" s="1447"/>
      <c r="L643" s="1447"/>
      <c r="O643" s="33" t="s">
        <v>208</v>
      </c>
      <c r="P643" s="1433"/>
      <c r="Q643" s="1433"/>
      <c r="R643" s="1433"/>
      <c r="S643" s="10"/>
      <c r="T643" s="22"/>
      <c r="U643" t="s">
        <v>318</v>
      </c>
      <c r="Z643" s="1447" t="s">
        <v>2720</v>
      </c>
      <c r="AA643" s="1447"/>
      <c r="AB643" s="1447"/>
      <c r="AC643" s="1447"/>
      <c r="AD643" s="1447"/>
      <c r="AE643" s="1447"/>
      <c r="AH643" s="33" t="s">
        <v>208</v>
      </c>
      <c r="AI643" s="1433"/>
      <c r="AJ643" s="1433"/>
      <c r="AK643" s="1433"/>
      <c r="AZ643" s="34"/>
      <c r="BA643" s="34"/>
      <c r="BB643" s="34"/>
      <c r="BC643" s="34"/>
      <c r="BD643" s="34"/>
      <c r="BE643" s="34"/>
      <c r="BF643" s="34"/>
      <c r="BG643" s="34"/>
      <c r="BH643" s="34"/>
      <c r="BI643" s="34"/>
      <c r="BJ643" s="34"/>
      <c r="BK643" s="34"/>
      <c r="BL643" s="34"/>
      <c r="BM643" s="34"/>
      <c r="BN643" s="1475">
        <f t="shared" si="30"/>
        <v>0</v>
      </c>
      <c r="BO643" s="1476"/>
      <c r="BP643" s="1476"/>
      <c r="BQ643" s="1476"/>
      <c r="BR643" s="1477"/>
      <c r="BS643" s="1409">
        <f t="shared" si="31"/>
        <v>0</v>
      </c>
      <c r="BT643" s="1409"/>
      <c r="BU643" s="1409"/>
      <c r="BV643" s="1409"/>
      <c r="BW643" s="1409"/>
      <c r="BX643" s="1409">
        <f t="shared" si="32"/>
        <v>0</v>
      </c>
      <c r="BY643" s="1409"/>
      <c r="BZ643" s="1409"/>
      <c r="CA643" s="1409"/>
      <c r="CB643" s="1409"/>
      <c r="CC643" s="1409">
        <f t="shared" si="33"/>
        <v>0</v>
      </c>
      <c r="CD643" s="1409"/>
      <c r="CE643" s="1409"/>
      <c r="CF643" s="1409"/>
      <c r="CG643" s="1409"/>
      <c r="CH643" s="1409">
        <f t="shared" si="34"/>
        <v>0</v>
      </c>
      <c r="CI643" s="1409"/>
      <c r="CJ643" s="1409"/>
      <c r="CK643" s="1409"/>
      <c r="CL643" s="1409"/>
      <c r="CM643" s="1409">
        <f t="shared" si="35"/>
        <v>0</v>
      </c>
      <c r="CN643" s="1409"/>
      <c r="CO643" s="1409"/>
      <c r="CP643" s="1409"/>
      <c r="CQ643" s="1409"/>
      <c r="CR643" s="6"/>
      <c r="CS643" s="1475">
        <f t="shared" si="36"/>
        <v>0</v>
      </c>
      <c r="CT643" s="1476"/>
      <c r="CU643" s="1476"/>
      <c r="CV643" s="1476"/>
      <c r="CW643" s="1477"/>
      <c r="CX643" s="1475">
        <f t="shared" si="37"/>
        <v>0</v>
      </c>
      <c r="CY643" s="1476"/>
      <c r="CZ643" s="1476"/>
      <c r="DA643" s="1476"/>
      <c r="DB643" s="1477"/>
      <c r="DC643" s="1475">
        <f t="shared" si="38"/>
        <v>0</v>
      </c>
      <c r="DD643" s="1476"/>
      <c r="DE643" s="1476"/>
      <c r="DF643" s="1476"/>
      <c r="DG643" s="1477"/>
      <c r="DH643" s="1475">
        <f t="shared" si="39"/>
        <v>0</v>
      </c>
      <c r="DI643" s="1476"/>
      <c r="DJ643" s="1476"/>
      <c r="DK643" s="1476"/>
      <c r="DL643" s="1477"/>
      <c r="DM643" s="1475">
        <f t="shared" si="40"/>
        <v>0</v>
      </c>
      <c r="DN643" s="1476"/>
      <c r="DO643" s="1476"/>
      <c r="DP643" s="1476"/>
      <c r="DQ643" s="1477"/>
      <c r="DR643" s="1475">
        <f t="shared" si="41"/>
        <v>0</v>
      </c>
      <c r="DS643" s="1476"/>
      <c r="DT643" s="1476"/>
      <c r="DU643" s="1476"/>
      <c r="DV643" s="1477"/>
      <c r="DX643" s="1853" t="e">
        <f t="shared" si="23"/>
        <v>#VALUE!</v>
      </c>
      <c r="DY643" s="1853"/>
      <c r="DZ643" s="1853"/>
      <c r="EA643" s="1853"/>
      <c r="EB643" s="1853"/>
      <c r="EC643" s="1853" t="e">
        <f t="shared" si="24"/>
        <v>#VALUE!</v>
      </c>
      <c r="ED643" s="1853"/>
      <c r="EE643" s="1853"/>
      <c r="EF643" s="1853"/>
      <c r="EG643" s="1853"/>
      <c r="EH643" s="1853" t="e">
        <f t="shared" si="25"/>
        <v>#VALUE!</v>
      </c>
      <c r="EI643" s="1853"/>
      <c r="EJ643" s="1853"/>
      <c r="EK643" s="1853"/>
      <c r="EL643" s="1853"/>
      <c r="EM643" s="1853" t="e">
        <f t="shared" si="26"/>
        <v>#VALUE!</v>
      </c>
      <c r="EN643" s="1853"/>
      <c r="EO643" s="1853"/>
      <c r="EP643" s="1853"/>
      <c r="EQ643" s="1853"/>
      <c r="ER643" s="1853" t="e">
        <f t="shared" si="27"/>
        <v>#VALUE!</v>
      </c>
      <c r="ES643" s="1853"/>
      <c r="ET643" s="1853"/>
      <c r="EU643" s="1853"/>
      <c r="EV643" s="1853"/>
      <c r="EW643" s="1853" t="e">
        <f t="shared" si="28"/>
        <v>#VALUE!</v>
      </c>
      <c r="EX643" s="1853"/>
      <c r="EY643" s="1853"/>
      <c r="EZ643" s="1853"/>
      <c r="FA643" s="1853"/>
    </row>
    <row r="644" spans="1:157" ht="12.95" customHeight="1">
      <c r="A644" s="22"/>
      <c r="B644" t="s">
        <v>18</v>
      </c>
      <c r="H644" s="1408" t="s">
        <v>2713</v>
      </c>
      <c r="I644" s="1408"/>
      <c r="J644" s="1408"/>
      <c r="K644" s="1408"/>
      <c r="L644" s="1408"/>
      <c r="M644" s="1408"/>
      <c r="N644" s="1408"/>
      <c r="O644" s="1408"/>
      <c r="P644" s="1408"/>
      <c r="Q644" s="1408"/>
      <c r="R644" s="1408"/>
      <c r="S644" s="8"/>
      <c r="T644" s="22"/>
      <c r="U644" t="s">
        <v>18</v>
      </c>
      <c r="AA644" s="1515" t="s">
        <v>2541</v>
      </c>
      <c r="AB644" s="1408"/>
      <c r="AC644" s="1408"/>
      <c r="AD644" s="1408"/>
      <c r="AE644" s="1408"/>
      <c r="AF644" s="1408"/>
      <c r="AG644" s="1408"/>
      <c r="AH644" s="1408"/>
      <c r="AI644" s="1408"/>
      <c r="AJ644" s="1408"/>
      <c r="AK644" s="1408"/>
      <c r="AZ644" s="34"/>
      <c r="BA644" s="34"/>
      <c r="BB644" s="34"/>
      <c r="BC644" s="34"/>
      <c r="BD644" s="34"/>
      <c r="BE644" s="34"/>
      <c r="BF644" s="34"/>
      <c r="BG644" s="34"/>
      <c r="BH644" s="34"/>
      <c r="BI644" s="34"/>
      <c r="BJ644" s="34"/>
      <c r="BK644" s="34"/>
      <c r="BL644" s="34"/>
      <c r="BM644" s="34"/>
      <c r="BN644" s="1473">
        <f>SUM(BN634:BR643)</f>
        <v>0</v>
      </c>
      <c r="BO644" s="1512"/>
      <c r="BP644" s="1512"/>
      <c r="BQ644" s="1512"/>
      <c r="BR644" s="1474"/>
      <c r="BS644" s="1701">
        <f>SUM(BS634:BW643)</f>
        <v>0</v>
      </c>
      <c r="BT644" s="1702"/>
      <c r="BU644" s="1702"/>
      <c r="BV644" s="1702"/>
      <c r="BW644" s="1703"/>
      <c r="BX644" s="1701">
        <f>SUM(BX634:CB643)</f>
        <v>0</v>
      </c>
      <c r="BY644" s="1702"/>
      <c r="BZ644" s="1702"/>
      <c r="CA644" s="1702"/>
      <c r="CB644" s="1703"/>
      <c r="CC644" s="1701">
        <f>SUM(CC634:CG643)</f>
        <v>0</v>
      </c>
      <c r="CD644" s="1702"/>
      <c r="CE644" s="1702"/>
      <c r="CF644" s="1702"/>
      <c r="CG644" s="1703"/>
      <c r="CH644" s="1701">
        <f>SUM(CH634:CL643)</f>
        <v>0</v>
      </c>
      <c r="CI644" s="1702"/>
      <c r="CJ644" s="1702"/>
      <c r="CK644" s="1702"/>
      <c r="CL644" s="1703"/>
      <c r="CM644" s="1701">
        <f>SUM(CM634:CQ643)</f>
        <v>0</v>
      </c>
      <c r="CN644" s="1702"/>
      <c r="CO644" s="1702"/>
      <c r="CP644" s="1702"/>
      <c r="CQ644" s="1703"/>
      <c r="CR644" s="1049"/>
      <c r="CS644" s="1599">
        <f>SUM(CS634:CW643)</f>
        <v>0</v>
      </c>
      <c r="CT644" s="1599"/>
      <c r="CU644" s="1599"/>
      <c r="CV644" s="1599"/>
      <c r="CW644" s="1599"/>
      <c r="CX644" s="1599">
        <f>SUM(CX634:DB643)</f>
        <v>0</v>
      </c>
      <c r="CY644" s="1599"/>
      <c r="CZ644" s="1599"/>
      <c r="DA644" s="1599"/>
      <c r="DB644" s="1599"/>
      <c r="DC644" s="1599">
        <f>SUM(DC634:DG643)</f>
        <v>0</v>
      </c>
      <c r="DD644" s="1599"/>
      <c r="DE644" s="1599"/>
      <c r="DF644" s="1599"/>
      <c r="DG644" s="1599"/>
      <c r="DH644" s="1599">
        <f>SUM(DH634:DL643)</f>
        <v>0</v>
      </c>
      <c r="DI644" s="1599"/>
      <c r="DJ644" s="1599"/>
      <c r="DK644" s="1599"/>
      <c r="DL644" s="1599"/>
      <c r="DM644" s="1599">
        <f>SUM(DM634:DQ643)</f>
        <v>0</v>
      </c>
      <c r="DN644" s="1599"/>
      <c r="DO644" s="1599"/>
      <c r="DP644" s="1599"/>
      <c r="DQ644" s="1599"/>
      <c r="DR644" s="1599">
        <f>SUM(DR634:DV643)</f>
        <v>0</v>
      </c>
      <c r="DS644" s="1599"/>
      <c r="DT644" s="1599"/>
      <c r="DU644" s="1599"/>
      <c r="DV644" s="1599"/>
      <c r="DX644" s="1853" t="e">
        <f t="shared" si="23"/>
        <v>#VALUE!</v>
      </c>
      <c r="DY644" s="1853"/>
      <c r="DZ644" s="1853"/>
      <c r="EA644" s="1853"/>
      <c r="EB644" s="1853"/>
      <c r="EC644" s="1853" t="e">
        <f t="shared" si="24"/>
        <v>#VALUE!</v>
      </c>
      <c r="ED644" s="1853"/>
      <c r="EE644" s="1853"/>
      <c r="EF644" s="1853"/>
      <c r="EG644" s="1853"/>
      <c r="EH644" s="1853" t="e">
        <f t="shared" si="25"/>
        <v>#VALUE!</v>
      </c>
      <c r="EI644" s="1853"/>
      <c r="EJ644" s="1853"/>
      <c r="EK644" s="1853"/>
      <c r="EL644" s="1853"/>
      <c r="EM644" s="1853" t="e">
        <f t="shared" si="26"/>
        <v>#VALUE!</v>
      </c>
      <c r="EN644" s="1853"/>
      <c r="EO644" s="1853"/>
      <c r="EP644" s="1853"/>
      <c r="EQ644" s="1853"/>
      <c r="ER644" s="1853" t="e">
        <f t="shared" si="27"/>
        <v>#VALUE!</v>
      </c>
      <c r="ES644" s="1853"/>
      <c r="ET644" s="1853"/>
      <c r="EU644" s="1853"/>
      <c r="EV644" s="1853"/>
      <c r="EW644" s="1853" t="e">
        <f t="shared" si="28"/>
        <v>#VALUE!</v>
      </c>
      <c r="EX644" s="1853"/>
      <c r="EY644" s="1853"/>
      <c r="EZ644" s="1853"/>
      <c r="FA644" s="1853"/>
    </row>
    <row r="645" spans="1:157" ht="12.95" customHeight="1">
      <c r="A645" s="22"/>
      <c r="B645" t="s">
        <v>20</v>
      </c>
      <c r="N645" s="1397" t="s">
        <v>555</v>
      </c>
      <c r="O645" s="1397"/>
      <c r="T645" s="22"/>
      <c r="U645" t="s">
        <v>20</v>
      </c>
      <c r="AG645" s="1397" t="s">
        <v>555</v>
      </c>
      <c r="AH645" s="1397"/>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3" t="e">
        <f t="shared" si="23"/>
        <v>#VALUE!</v>
      </c>
      <c r="DY645" s="1853"/>
      <c r="DZ645" s="1853"/>
      <c r="EA645" s="1853"/>
      <c r="EB645" s="1853"/>
      <c r="EC645" s="1853" t="e">
        <f t="shared" si="24"/>
        <v>#VALUE!</v>
      </c>
      <c r="ED645" s="1853"/>
      <c r="EE645" s="1853"/>
      <c r="EF645" s="1853"/>
      <c r="EG645" s="1853"/>
      <c r="EH645" s="1853" t="e">
        <f t="shared" si="25"/>
        <v>#VALUE!</v>
      </c>
      <c r="EI645" s="1853"/>
      <c r="EJ645" s="1853"/>
      <c r="EK645" s="1853"/>
      <c r="EL645" s="1853"/>
      <c r="EM645" s="1853" t="e">
        <f t="shared" si="26"/>
        <v>#VALUE!</v>
      </c>
      <c r="EN645" s="1853"/>
      <c r="EO645" s="1853"/>
      <c r="EP645" s="1853"/>
      <c r="EQ645" s="1853"/>
      <c r="ER645" s="1853" t="e">
        <f t="shared" si="27"/>
        <v>#VALUE!</v>
      </c>
      <c r="ES645" s="1853"/>
      <c r="ET645" s="1853"/>
      <c r="EU645" s="1853"/>
      <c r="EV645" s="1853"/>
      <c r="EW645" s="1853" t="e">
        <f t="shared" si="28"/>
        <v>#VALUE!</v>
      </c>
      <c r="EX645" s="1853"/>
      <c r="EY645" s="1853"/>
      <c r="EZ645" s="1853"/>
      <c r="FA645" s="1853"/>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3">
        <f>SUM(CS644:DV644)</f>
        <v>0</v>
      </c>
      <c r="DS646" s="1853"/>
      <c r="DT646" s="1853"/>
      <c r="DU646" s="1853"/>
      <c r="DV646" s="1853"/>
      <c r="DX646" s="1853" t="e">
        <f t="shared" si="23"/>
        <v>#VALUE!</v>
      </c>
      <c r="DY646" s="1853"/>
      <c r="DZ646" s="1853"/>
      <c r="EA646" s="1853"/>
      <c r="EB646" s="1853"/>
      <c r="EC646" s="1853" t="e">
        <f t="shared" si="24"/>
        <v>#VALUE!</v>
      </c>
      <c r="ED646" s="1853"/>
      <c r="EE646" s="1853"/>
      <c r="EF646" s="1853"/>
      <c r="EG646" s="1853"/>
      <c r="EH646" s="1853" t="e">
        <f t="shared" si="25"/>
        <v>#VALUE!</v>
      </c>
      <c r="EI646" s="1853"/>
      <c r="EJ646" s="1853"/>
      <c r="EK646" s="1853"/>
      <c r="EL646" s="1853"/>
      <c r="EM646" s="1853" t="e">
        <f t="shared" si="26"/>
        <v>#VALUE!</v>
      </c>
      <c r="EN646" s="1853"/>
      <c r="EO646" s="1853"/>
      <c r="EP646" s="1853"/>
      <c r="EQ646" s="1853"/>
      <c r="ER646" s="1853" t="e">
        <f t="shared" si="27"/>
        <v>#VALUE!</v>
      </c>
      <c r="ES646" s="1853"/>
      <c r="ET646" s="1853"/>
      <c r="EU646" s="1853"/>
      <c r="EV646" s="1853"/>
      <c r="EW646" s="1853" t="e">
        <f t="shared" si="28"/>
        <v>#VALUE!</v>
      </c>
      <c r="EX646" s="1853"/>
      <c r="EY646" s="1853"/>
      <c r="EZ646" s="1853"/>
      <c r="FA646" s="1853"/>
    </row>
    <row r="647" spans="1:157" ht="12.95" customHeight="1">
      <c r="A647" s="55" t="s">
        <v>120</v>
      </c>
      <c r="B647" t="s">
        <v>473</v>
      </c>
      <c r="G647" s="1514" t="str">
        <f>C625</f>
        <v>Boston Financial Solar Tax Credit Equity</v>
      </c>
      <c r="H647" s="1514"/>
      <c r="I647" s="1514"/>
      <c r="J647" s="1514"/>
      <c r="K647" s="1514"/>
      <c r="L647" s="1514"/>
      <c r="M647" s="1514"/>
      <c r="N647" s="1514"/>
      <c r="O647" s="1514"/>
      <c r="P647" s="1514"/>
      <c r="Q647" s="1514"/>
      <c r="R647" s="1514"/>
      <c r="T647" s="55" t="s">
        <v>591</v>
      </c>
      <c r="U647" t="s">
        <v>473</v>
      </c>
      <c r="Z647" s="1514" t="str">
        <f>C626</f>
        <v>Developer Note</v>
      </c>
      <c r="AA647" s="1514"/>
      <c r="AB647" s="1514"/>
      <c r="AC647" s="1514"/>
      <c r="AD647" s="1514"/>
      <c r="AE647" s="1514"/>
      <c r="AF647" s="1514"/>
      <c r="AG647" s="1514"/>
      <c r="AH647" s="1514"/>
      <c r="AI647" s="1514"/>
      <c r="AJ647" s="1514"/>
      <c r="AK647" s="1514"/>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3" t="e">
        <f t="shared" si="23"/>
        <v>#VALUE!</v>
      </c>
      <c r="DY647" s="1853"/>
      <c r="DZ647" s="1853"/>
      <c r="EA647" s="1853"/>
      <c r="EB647" s="1853"/>
      <c r="EC647" s="1853" t="e">
        <f t="shared" si="24"/>
        <v>#VALUE!</v>
      </c>
      <c r="ED647" s="1853"/>
      <c r="EE647" s="1853"/>
      <c r="EF647" s="1853"/>
      <c r="EG647" s="1853"/>
      <c r="EH647" s="1853" t="e">
        <f t="shared" si="25"/>
        <v>#VALUE!</v>
      </c>
      <c r="EI647" s="1853"/>
      <c r="EJ647" s="1853"/>
      <c r="EK647" s="1853"/>
      <c r="EL647" s="1853"/>
      <c r="EM647" s="1853" t="e">
        <f t="shared" si="26"/>
        <v>#VALUE!</v>
      </c>
      <c r="EN647" s="1853"/>
      <c r="EO647" s="1853"/>
      <c r="EP647" s="1853"/>
      <c r="EQ647" s="1853"/>
      <c r="ER647" s="1853" t="e">
        <f t="shared" si="27"/>
        <v>#VALUE!</v>
      </c>
      <c r="ES647" s="1853"/>
      <c r="ET647" s="1853"/>
      <c r="EU647" s="1853"/>
      <c r="EV647" s="1853"/>
      <c r="EW647" s="1853" t="e">
        <f t="shared" si="28"/>
        <v>#VALUE!</v>
      </c>
      <c r="EX647" s="1853"/>
      <c r="EY647" s="1853"/>
      <c r="EZ647" s="1853"/>
      <c r="FA647" s="1853"/>
    </row>
    <row r="648" spans="1:157" ht="12.95" customHeight="1">
      <c r="A648" s="22"/>
      <c r="B648" t="s">
        <v>86</v>
      </c>
      <c r="G648" s="1408" t="s">
        <v>2730</v>
      </c>
      <c r="H648" s="1408"/>
      <c r="I648" s="1408"/>
      <c r="J648" s="1408"/>
      <c r="K648" s="1408"/>
      <c r="L648" s="1408"/>
      <c r="M648" s="1408"/>
      <c r="N648" s="1408"/>
      <c r="O648" s="1408"/>
      <c r="P648" s="1408"/>
      <c r="Q648" s="1408"/>
      <c r="R648" s="1408"/>
      <c r="T648" s="22"/>
      <c r="U648" t="s">
        <v>86</v>
      </c>
      <c r="Z648" s="1408" t="s">
        <v>2647</v>
      </c>
      <c r="AA648" s="1408"/>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3" t="e">
        <f t="shared" si="23"/>
        <v>#VALUE!</v>
      </c>
      <c r="DY648" s="1853"/>
      <c r="DZ648" s="1853"/>
      <c r="EA648" s="1853"/>
      <c r="EB648" s="1853"/>
      <c r="EC648" s="1853" t="e">
        <f t="shared" si="24"/>
        <v>#VALUE!</v>
      </c>
      <c r="ED648" s="1853"/>
      <c r="EE648" s="1853"/>
      <c r="EF648" s="1853"/>
      <c r="EG648" s="1853"/>
      <c r="EH648" s="1853" t="e">
        <f t="shared" si="25"/>
        <v>#VALUE!</v>
      </c>
      <c r="EI648" s="1853"/>
      <c r="EJ648" s="1853"/>
      <c r="EK648" s="1853"/>
      <c r="EL648" s="1853"/>
      <c r="EM648" s="1853" t="e">
        <f t="shared" si="26"/>
        <v>#VALUE!</v>
      </c>
      <c r="EN648" s="1853"/>
      <c r="EO648" s="1853"/>
      <c r="EP648" s="1853"/>
      <c r="EQ648" s="1853"/>
      <c r="ER648" s="1853" t="e">
        <f t="shared" si="27"/>
        <v>#VALUE!</v>
      </c>
      <c r="ES648" s="1853"/>
      <c r="ET648" s="1853"/>
      <c r="EU648" s="1853"/>
      <c r="EV648" s="1853"/>
      <c r="EW648" s="1853" t="e">
        <f t="shared" si="28"/>
        <v>#VALUE!</v>
      </c>
      <c r="EX648" s="1853"/>
      <c r="EY648" s="1853"/>
      <c r="EZ648" s="1853"/>
      <c r="FA648" s="1853"/>
    </row>
    <row r="649" spans="1:157" ht="12.95" customHeight="1">
      <c r="A649" s="22"/>
      <c r="B649" t="s">
        <v>590</v>
      </c>
      <c r="G649" s="1393" t="s">
        <v>2731</v>
      </c>
      <c r="H649" s="1393"/>
      <c r="I649" s="1393"/>
      <c r="J649" s="1393"/>
      <c r="K649" s="1393"/>
      <c r="L649" s="1393"/>
      <c r="M649" s="1393"/>
      <c r="N649" s="1393"/>
      <c r="O649" s="1393"/>
      <c r="P649" s="1393"/>
      <c r="Q649" s="1393"/>
      <c r="R649" s="1393"/>
      <c r="T649" s="22"/>
      <c r="U649" t="s">
        <v>590</v>
      </c>
      <c r="Z649" s="1393" t="s">
        <v>2656</v>
      </c>
      <c r="AA649" s="1393"/>
      <c r="AB649" s="1393"/>
      <c r="AC649" s="1393"/>
      <c r="AD649" s="1393"/>
      <c r="AE649" s="1393"/>
      <c r="AF649" s="1393"/>
      <c r="AG649" s="1393"/>
      <c r="AH649" s="1393"/>
      <c r="AI649" s="1393"/>
      <c r="AJ649" s="1393"/>
      <c r="AK649" s="1393"/>
      <c r="AZ649" s="34"/>
      <c r="BA649" s="34"/>
      <c r="BB649" s="34"/>
      <c r="BC649" s="34"/>
      <c r="BD649" s="34"/>
      <c r="BE649" s="34"/>
      <c r="BF649" s="34"/>
      <c r="BG649" s="34"/>
      <c r="BH649" s="34"/>
      <c r="BI649" s="34"/>
      <c r="BJ649" s="34"/>
      <c r="BK649" s="34"/>
      <c r="BL649" s="34"/>
      <c r="BM649" s="34"/>
      <c r="BN649" s="1701">
        <f>BN621+BN630+BN644</f>
        <v>0</v>
      </c>
      <c r="BO649" s="1702"/>
      <c r="BP649" s="1702"/>
      <c r="BQ649" s="1702"/>
      <c r="BR649" s="1703"/>
      <c r="BS649" s="1701">
        <f>BS621+BS630+BS644</f>
        <v>8</v>
      </c>
      <c r="BT649" s="1702"/>
      <c r="BU649" s="1702"/>
      <c r="BV649" s="1702"/>
      <c r="BW649" s="1703"/>
      <c r="BX649" s="1701">
        <f>BX621+BX630+BX644</f>
        <v>24</v>
      </c>
      <c r="BY649" s="1702"/>
      <c r="BZ649" s="1702"/>
      <c r="CA649" s="1702"/>
      <c r="CB649" s="1703"/>
      <c r="CC649" s="1701">
        <f>CC621+CC630+CC644</f>
        <v>33</v>
      </c>
      <c r="CD649" s="1702"/>
      <c r="CE649" s="1702"/>
      <c r="CF649" s="1702"/>
      <c r="CG649" s="1703"/>
      <c r="CH649" s="1701">
        <f>CH621+CH630+CH644</f>
        <v>10</v>
      </c>
      <c r="CI649" s="1702"/>
      <c r="CJ649" s="1702"/>
      <c r="CK649" s="1702"/>
      <c r="CL649" s="1703"/>
      <c r="CM649" s="1427">
        <f>CM644+CM630+CM621</f>
        <v>0</v>
      </c>
      <c r="CN649" s="1852"/>
      <c r="CO649" s="1852"/>
      <c r="CP649" s="1852"/>
      <c r="CQ649" s="1428"/>
      <c r="CR649" s="3"/>
      <c r="CS649" s="897">
        <f>CS623+CS647</f>
        <v>192</v>
      </c>
      <c r="CT649" s="57" t="s">
        <v>2127</v>
      </c>
      <c r="CU649" s="3"/>
      <c r="CV649" s="3"/>
      <c r="CW649" s="3"/>
      <c r="CX649" s="3"/>
      <c r="CY649" s="3"/>
      <c r="CZ649" s="3"/>
      <c r="DA649" s="3"/>
      <c r="DB649" s="3"/>
      <c r="DC649" s="3"/>
      <c r="DD649" s="3"/>
      <c r="DE649" s="3"/>
      <c r="DF649" s="3"/>
      <c r="DX649" s="1853">
        <f>SUMIF(DX624:EB648,"&gt;0")</f>
        <v>0</v>
      </c>
      <c r="DY649" s="1853"/>
      <c r="DZ649" s="1853"/>
      <c r="EA649" s="1853"/>
      <c r="EB649" s="1853"/>
      <c r="EC649" s="1853">
        <f>SUMIF(EC624:EG648,"&gt;0")</f>
        <v>578.625</v>
      </c>
      <c r="ED649" s="1853"/>
      <c r="EE649" s="1853"/>
      <c r="EF649" s="1853"/>
      <c r="EG649" s="1853"/>
      <c r="EH649" s="1853">
        <f>SUMIF(EH624:EL648,"&gt;0")</f>
        <v>673.79166666666663</v>
      </c>
      <c r="EI649" s="1853"/>
      <c r="EJ649" s="1853"/>
      <c r="EK649" s="1853"/>
      <c r="EL649" s="1853"/>
      <c r="EM649" s="1853">
        <f>SUMIF(EM624:EQ648,"&gt;0")</f>
        <v>823</v>
      </c>
      <c r="EN649" s="1853"/>
      <c r="EO649" s="1853"/>
      <c r="EP649" s="1853"/>
      <c r="EQ649" s="1853"/>
      <c r="ER649" s="1853">
        <f>SUMIF(ER624:EV648,"&gt;0")</f>
        <v>920.59999999999991</v>
      </c>
      <c r="ES649" s="1853"/>
      <c r="ET649" s="1853"/>
      <c r="EU649" s="1853"/>
      <c r="EV649" s="1853"/>
      <c r="EW649" s="1853">
        <f>SUMIF(EW624:FA648,"&gt;0")</f>
        <v>0</v>
      </c>
      <c r="EX649" s="1853"/>
      <c r="EY649" s="1853"/>
      <c r="EZ649" s="1853"/>
      <c r="FA649" s="1853"/>
    </row>
    <row r="650" spans="1:157" ht="12.95" customHeight="1">
      <c r="A650" s="22"/>
      <c r="B650" t="s">
        <v>17</v>
      </c>
      <c r="G650" s="1393" t="s">
        <v>2732</v>
      </c>
      <c r="H650" s="1393"/>
      <c r="I650" s="1393"/>
      <c r="J650" s="1393"/>
      <c r="K650" s="1393"/>
      <c r="L650" s="1393"/>
      <c r="M650" s="1393"/>
      <c r="N650" s="1393"/>
      <c r="O650" s="1393"/>
      <c r="P650" s="1393"/>
      <c r="Q650" s="1393"/>
      <c r="R650" s="1393"/>
      <c r="T650" s="22"/>
      <c r="U650" t="s">
        <v>17</v>
      </c>
      <c r="Z650" s="1393" t="s">
        <v>2649</v>
      </c>
      <c r="AA650" s="1393"/>
      <c r="AB650" s="1393"/>
      <c r="AC650" s="1393"/>
      <c r="AD650" s="1393"/>
      <c r="AE650" s="1393"/>
      <c r="AF650" s="1393"/>
      <c r="AG650" s="1393"/>
      <c r="AH650" s="1393"/>
      <c r="AI650" s="1393"/>
      <c r="AJ650" s="1393"/>
      <c r="AK650" s="139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47">
        <v>3108604550</v>
      </c>
      <c r="H651" s="1447"/>
      <c r="I651" s="1447"/>
      <c r="J651" s="1447"/>
      <c r="K651" s="1447"/>
      <c r="L651" s="1447"/>
      <c r="O651" s="33" t="s">
        <v>208</v>
      </c>
      <c r="P651" s="1433"/>
      <c r="Q651" s="1433"/>
      <c r="R651" s="1433"/>
      <c r="T651" s="22"/>
      <c r="U651" t="s">
        <v>318</v>
      </c>
      <c r="Z651" s="1447">
        <v>7078229000</v>
      </c>
      <c r="AA651" s="1447"/>
      <c r="AB651" s="1447"/>
      <c r="AC651" s="1447"/>
      <c r="AD651" s="1447"/>
      <c r="AE651" s="1447"/>
      <c r="AH651" s="33" t="s">
        <v>208</v>
      </c>
      <c r="AI651" s="1433"/>
      <c r="AJ651" s="1433"/>
      <c r="AK651" s="143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408" t="s">
        <v>2717</v>
      </c>
      <c r="I652" s="1408"/>
      <c r="J652" s="1408"/>
      <c r="K652" s="1408"/>
      <c r="L652" s="1408"/>
      <c r="M652" s="1408"/>
      <c r="N652" s="1408"/>
      <c r="O652" s="1408"/>
      <c r="P652" s="1408"/>
      <c r="Q652" s="1408"/>
      <c r="R652" s="1408"/>
      <c r="T652" s="22"/>
      <c r="U652" t="s">
        <v>18</v>
      </c>
      <c r="AA652" s="1408" t="s">
        <v>2719</v>
      </c>
      <c r="AB652" s="1408"/>
      <c r="AC652" s="1408"/>
      <c r="AD652" s="1408"/>
      <c r="AE652" s="1408"/>
      <c r="AF652" s="1408"/>
      <c r="AG652" s="1408"/>
      <c r="AH652" s="1408"/>
      <c r="AI652" s="1408"/>
      <c r="AJ652" s="1408"/>
      <c r="AK652" s="1408"/>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97" t="s">
        <v>555</v>
      </c>
      <c r="O653" s="1397"/>
      <c r="T653" s="22"/>
      <c r="U653" t="s">
        <v>20</v>
      </c>
      <c r="AG653" s="1397" t="s">
        <v>555</v>
      </c>
      <c r="AH653" s="1397"/>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4" t="str">
        <f>C627</f>
        <v>Butte County - CDBG-DR Funds</v>
      </c>
      <c r="H655" s="1514"/>
      <c r="I655" s="1514"/>
      <c r="J655" s="1514"/>
      <c r="K655" s="1514"/>
      <c r="L655" s="1514"/>
      <c r="M655" s="1514"/>
      <c r="N655" s="1514"/>
      <c r="O655" s="1514"/>
      <c r="P655" s="1514"/>
      <c r="Q655" s="1514"/>
      <c r="R655" s="1514"/>
      <c r="T655" s="55" t="s">
        <v>594</v>
      </c>
      <c r="U655" t="s">
        <v>473</v>
      </c>
      <c r="Z655" s="1514">
        <f>C628</f>
        <v>0</v>
      </c>
      <c r="AA655" s="1514"/>
      <c r="AB655" s="1514"/>
      <c r="AC655" s="1514"/>
      <c r="AD655" s="1514"/>
      <c r="AE655" s="1514"/>
      <c r="AF655" s="1514"/>
      <c r="AG655" s="1514"/>
      <c r="AH655" s="1514"/>
      <c r="AI655" s="1514"/>
      <c r="AJ655" s="1514"/>
      <c r="AK655" s="1514"/>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408" t="s">
        <v>2714</v>
      </c>
      <c r="H656" s="1408"/>
      <c r="I656" s="1408"/>
      <c r="J656" s="1408"/>
      <c r="K656" s="1408"/>
      <c r="L656" s="1408"/>
      <c r="M656" s="1408"/>
      <c r="N656" s="1408"/>
      <c r="O656" s="1408"/>
      <c r="P656" s="1408"/>
      <c r="Q656" s="1408"/>
      <c r="R656" s="1408"/>
      <c r="T656" s="22"/>
      <c r="U656" t="s">
        <v>86</v>
      </c>
      <c r="Z656" s="1408"/>
      <c r="AA656" s="1408"/>
      <c r="AB656" s="1408"/>
      <c r="AC656" s="1408"/>
      <c r="AD656" s="1408"/>
      <c r="AE656" s="1408"/>
      <c r="AF656" s="1408"/>
      <c r="AG656" s="1408"/>
      <c r="AH656" s="1408"/>
      <c r="AI656" s="1408"/>
      <c r="AJ656" s="1408"/>
      <c r="AK656" s="1408"/>
      <c r="AZ656" s="3"/>
      <c r="BA656" s="118">
        <f t="shared" ref="BA656:BA680" si="42">IF($G714=0,"N/A",VLOOKUP($T$189,TC_Rent,(MATCH($B714,bedrooms,FALSE))))</f>
        <v>1462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408" t="s">
        <v>2715</v>
      </c>
      <c r="H657" s="1408"/>
      <c r="I657" s="1408"/>
      <c r="J657" s="1408"/>
      <c r="K657" s="1408"/>
      <c r="L657" s="1408"/>
      <c r="M657" s="1408"/>
      <c r="N657" s="1408"/>
      <c r="O657" s="1408"/>
      <c r="P657" s="1408"/>
      <c r="Q657" s="1408"/>
      <c r="R657" s="1408"/>
      <c r="T657" s="22"/>
      <c r="U657" t="s">
        <v>590</v>
      </c>
      <c r="Z657" s="1393"/>
      <c r="AA657" s="1393"/>
      <c r="AB657" s="1393"/>
      <c r="AC657" s="1393"/>
      <c r="AD657" s="1393"/>
      <c r="AE657" s="1393"/>
      <c r="AF657" s="1393"/>
      <c r="AG657" s="1393"/>
      <c r="AH657" s="1393"/>
      <c r="AI657" s="1393"/>
      <c r="AJ657" s="1393"/>
      <c r="AK657" s="1393"/>
      <c r="AZ657" s="3"/>
      <c r="BA657" s="118">
        <f t="shared" si="42"/>
        <v>1462</v>
      </c>
      <c r="BB657" s="3"/>
      <c r="BC657" s="3"/>
      <c r="BD657" s="3"/>
      <c r="BE657" s="3"/>
      <c r="BF657" s="218"/>
      <c r="BG657" s="315">
        <f t="shared" ref="BG657:BG681" si="43">G714</f>
        <v>3</v>
      </c>
      <c r="BH657" s="319">
        <f>BG657/$BG$682</f>
        <v>4.0540540540540543E-2</v>
      </c>
      <c r="BI657" s="320">
        <f t="shared" ref="BI657:BI681" si="44">IF(BH657=0," ",BH657*AC714)</f>
        <v>1.2162162162162163E-2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408" t="s">
        <v>2716</v>
      </c>
      <c r="H658" s="1408"/>
      <c r="I658" s="1408"/>
      <c r="J658" s="1408"/>
      <c r="K658" s="1408"/>
      <c r="L658" s="1408"/>
      <c r="M658" s="1408"/>
      <c r="N658" s="1408"/>
      <c r="O658" s="1408"/>
      <c r="P658" s="1408"/>
      <c r="Q658" s="1408"/>
      <c r="R658" s="1408"/>
      <c r="T658" s="22"/>
      <c r="U658" t="s">
        <v>17</v>
      </c>
      <c r="Z658" s="1393"/>
      <c r="AA658" s="1393"/>
      <c r="AB658" s="1393"/>
      <c r="AC658" s="1393"/>
      <c r="AD658" s="1393"/>
      <c r="AE658" s="1393"/>
      <c r="AF658" s="1393"/>
      <c r="AG658" s="1393"/>
      <c r="AH658" s="1393"/>
      <c r="AI658" s="1393"/>
      <c r="AJ658" s="1393"/>
      <c r="AK658" s="1393"/>
      <c r="AZ658" s="3"/>
      <c r="BA658" s="118">
        <f t="shared" si="42"/>
        <v>1462</v>
      </c>
      <c r="BB658" s="3"/>
      <c r="BC658" s="3"/>
      <c r="BD658" s="3"/>
      <c r="BE658" s="3"/>
      <c r="BF658" s="218"/>
      <c r="BG658" s="316">
        <f t="shared" si="43"/>
        <v>3</v>
      </c>
      <c r="BH658" s="319">
        <f t="shared" ref="BH658:BH681" si="45">BG658/$BG$682</f>
        <v>4.0540540540540543E-2</v>
      </c>
      <c r="BI658" s="320">
        <f t="shared" si="44"/>
        <v>1.6216216216216217E-2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47" t="s">
        <v>2720</v>
      </c>
      <c r="H659" s="1447"/>
      <c r="I659" s="1447"/>
      <c r="J659" s="1447"/>
      <c r="K659" s="1447"/>
      <c r="L659" s="1447"/>
      <c r="O659" s="33" t="s">
        <v>208</v>
      </c>
      <c r="P659" s="1433"/>
      <c r="Q659" s="1433"/>
      <c r="R659" s="1433"/>
      <c r="T659" s="22"/>
      <c r="U659" t="s">
        <v>318</v>
      </c>
      <c r="Z659" s="1447"/>
      <c r="AA659" s="1447"/>
      <c r="AB659" s="1447"/>
      <c r="AC659" s="1447"/>
      <c r="AD659" s="1447"/>
      <c r="AE659" s="1447"/>
      <c r="AH659" s="33" t="s">
        <v>208</v>
      </c>
      <c r="AI659" s="1433"/>
      <c r="AJ659" s="1433"/>
      <c r="AK659" s="1433"/>
      <c r="AZ659" s="3"/>
      <c r="BA659" s="118">
        <f t="shared" si="42"/>
        <v>1462</v>
      </c>
      <c r="BB659" s="3"/>
      <c r="BC659" s="3"/>
      <c r="BD659" s="3"/>
      <c r="BE659" s="3"/>
      <c r="BF659" s="218"/>
      <c r="BG659" s="316">
        <f t="shared" si="43"/>
        <v>1</v>
      </c>
      <c r="BH659" s="319">
        <f t="shared" si="45"/>
        <v>1.3513513513513514E-2</v>
      </c>
      <c r="BI659" s="320">
        <f t="shared" si="44"/>
        <v>6.7567567567567571E-3</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515" t="s">
        <v>2541</v>
      </c>
      <c r="I660" s="1408"/>
      <c r="J660" s="1408"/>
      <c r="K660" s="1408"/>
      <c r="L660" s="1408"/>
      <c r="M660" s="1408"/>
      <c r="N660" s="1408"/>
      <c r="O660" s="1408"/>
      <c r="P660" s="1408"/>
      <c r="Q660" s="1408"/>
      <c r="R660" s="1408"/>
      <c r="T660" s="22"/>
      <c r="U660" t="s">
        <v>18</v>
      </c>
      <c r="AA660" s="1408"/>
      <c r="AB660" s="1408"/>
      <c r="AC660" s="1408"/>
      <c r="AD660" s="1408"/>
      <c r="AE660" s="1408"/>
      <c r="AF660" s="1408"/>
      <c r="AG660" s="1408"/>
      <c r="AH660" s="1408"/>
      <c r="AI660" s="1408"/>
      <c r="AJ660" s="1408"/>
      <c r="AK660" s="1408"/>
      <c r="AZ660" s="3"/>
      <c r="BA660" s="118">
        <f t="shared" si="42"/>
        <v>1754</v>
      </c>
      <c r="BB660" s="3"/>
      <c r="BC660" s="3"/>
      <c r="BD660" s="3"/>
      <c r="BE660" s="3"/>
      <c r="BF660" s="218"/>
      <c r="BG660" s="316">
        <f t="shared" si="43"/>
        <v>1</v>
      </c>
      <c r="BH660" s="319">
        <f t="shared" si="45"/>
        <v>1.3513513513513514E-2</v>
      </c>
      <c r="BI660" s="320">
        <f t="shared" si="44"/>
        <v>8.1081081081081086E-3</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97" t="s">
        <v>555</v>
      </c>
      <c r="O661" s="1397"/>
      <c r="T661" s="22"/>
      <c r="U661" t="s">
        <v>20</v>
      </c>
      <c r="AG661" s="1397" t="s">
        <v>679</v>
      </c>
      <c r="AH661" s="1397"/>
      <c r="AZ661" s="3"/>
      <c r="BA661" s="118">
        <f t="shared" si="42"/>
        <v>1754</v>
      </c>
      <c r="BB661" s="3"/>
      <c r="BC661" s="3"/>
      <c r="BD661" s="3"/>
      <c r="BE661" s="3"/>
      <c r="BF661" s="218"/>
      <c r="BG661" s="316">
        <f t="shared" si="43"/>
        <v>9</v>
      </c>
      <c r="BH661" s="319">
        <f t="shared" si="45"/>
        <v>0.12162162162162163</v>
      </c>
      <c r="BI661" s="320">
        <f t="shared" si="44"/>
        <v>3.6486486486486489E-2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1754</v>
      </c>
      <c r="BB662" s="3"/>
      <c r="BC662" s="3"/>
      <c r="BD662" s="3"/>
      <c r="BE662" s="3"/>
      <c r="BF662" s="218"/>
      <c r="BG662" s="316">
        <f t="shared" si="43"/>
        <v>10</v>
      </c>
      <c r="BH662" s="319">
        <f t="shared" si="45"/>
        <v>0.13513513513513514</v>
      </c>
      <c r="BI662" s="320">
        <f t="shared" si="44"/>
        <v>5.4054054054054057E-2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4">
        <f>C629</f>
        <v>0</v>
      </c>
      <c r="H663" s="1514"/>
      <c r="I663" s="1514"/>
      <c r="J663" s="1514"/>
      <c r="K663" s="1514"/>
      <c r="L663" s="1514"/>
      <c r="M663" s="1514"/>
      <c r="N663" s="1514"/>
      <c r="O663" s="1514"/>
      <c r="P663" s="1514"/>
      <c r="Q663" s="1514"/>
      <c r="R663" s="1514"/>
      <c r="T663" s="55" t="s">
        <v>466</v>
      </c>
      <c r="U663" t="s">
        <v>473</v>
      </c>
      <c r="Z663" s="1514">
        <f>C630</f>
        <v>0</v>
      </c>
      <c r="AA663" s="1514"/>
      <c r="AB663" s="1514"/>
      <c r="AC663" s="1514"/>
      <c r="AD663" s="1514"/>
      <c r="AE663" s="1514"/>
      <c r="AF663" s="1514"/>
      <c r="AG663" s="1514"/>
      <c r="AH663" s="1514"/>
      <c r="AI663" s="1514"/>
      <c r="AJ663" s="1514"/>
      <c r="AK663" s="1514"/>
      <c r="AZ663" s="3"/>
      <c r="BA663" s="118">
        <f t="shared" si="42"/>
        <v>1754</v>
      </c>
      <c r="BB663" s="3"/>
      <c r="BC663" s="3"/>
      <c r="BD663" s="3"/>
      <c r="BE663" s="3"/>
      <c r="BF663" s="218"/>
      <c r="BG663" s="316">
        <f t="shared" si="43"/>
        <v>4</v>
      </c>
      <c r="BH663" s="319">
        <f t="shared" si="45"/>
        <v>5.4054054054054057E-2</v>
      </c>
      <c r="BI663" s="320">
        <f t="shared" si="44"/>
        <v>2.7027027027027029E-2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408"/>
      <c r="H664" s="1408"/>
      <c r="I664" s="1408"/>
      <c r="J664" s="1408"/>
      <c r="K664" s="1408"/>
      <c r="L664" s="1408"/>
      <c r="M664" s="1408"/>
      <c r="N664" s="1408"/>
      <c r="O664" s="1408"/>
      <c r="P664" s="1408"/>
      <c r="Q664" s="1408"/>
      <c r="R664" s="1408"/>
      <c r="T664" s="22"/>
      <c r="U664" t="s">
        <v>86</v>
      </c>
      <c r="Z664" s="1408"/>
      <c r="AA664" s="1408"/>
      <c r="AB664" s="1408"/>
      <c r="AC664" s="1408"/>
      <c r="AD664" s="1408"/>
      <c r="AE664" s="1408"/>
      <c r="AF664" s="1408"/>
      <c r="AG664" s="1408"/>
      <c r="AH664" s="1408"/>
      <c r="AI664" s="1408"/>
      <c r="AJ664" s="1408"/>
      <c r="AK664" s="1408"/>
      <c r="AZ664" s="3"/>
      <c r="BA664" s="118">
        <f t="shared" si="42"/>
        <v>2026</v>
      </c>
      <c r="BB664" s="3"/>
      <c r="BC664" s="3"/>
      <c r="BD664" s="3"/>
      <c r="BE664" s="3"/>
      <c r="BF664" s="218"/>
      <c r="BG664" s="316">
        <f t="shared" si="43"/>
        <v>1</v>
      </c>
      <c r="BH664" s="319">
        <f t="shared" si="45"/>
        <v>1.3513513513513514E-2</v>
      </c>
      <c r="BI664" s="320">
        <f t="shared" si="44"/>
        <v>8.1081081081081086E-3</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408"/>
      <c r="H665" s="1408"/>
      <c r="I665" s="1408"/>
      <c r="J665" s="1408"/>
      <c r="K665" s="1408"/>
      <c r="L665" s="1408"/>
      <c r="M665" s="1408"/>
      <c r="N665" s="1408"/>
      <c r="O665" s="1408"/>
      <c r="P665" s="1408"/>
      <c r="Q665" s="1408"/>
      <c r="R665" s="1408"/>
      <c r="T665" s="22"/>
      <c r="U665" t="s">
        <v>590</v>
      </c>
      <c r="Z665" s="1393"/>
      <c r="AA665" s="1393"/>
      <c r="AB665" s="1393"/>
      <c r="AC665" s="1393"/>
      <c r="AD665" s="1393"/>
      <c r="AE665" s="1393"/>
      <c r="AF665" s="1393"/>
      <c r="AG665" s="1393"/>
      <c r="AH665" s="1393"/>
      <c r="AI665" s="1393"/>
      <c r="AJ665" s="1393"/>
      <c r="AK665" s="1393"/>
      <c r="AZ665" s="3"/>
      <c r="BA665" s="118">
        <f t="shared" si="42"/>
        <v>2026</v>
      </c>
      <c r="BB665" s="3"/>
      <c r="BC665" s="3"/>
      <c r="BD665" s="3"/>
      <c r="BE665" s="3"/>
      <c r="BF665" s="218"/>
      <c r="BG665" s="316">
        <f t="shared" si="43"/>
        <v>7</v>
      </c>
      <c r="BH665" s="319">
        <f t="shared" si="45"/>
        <v>9.45945945945946E-2</v>
      </c>
      <c r="BI665" s="320">
        <f t="shared" si="44"/>
        <v>2.837837837837838E-2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408"/>
      <c r="H666" s="1408"/>
      <c r="I666" s="1408"/>
      <c r="J666" s="1408"/>
      <c r="K666" s="1408"/>
      <c r="L666" s="1408"/>
      <c r="M666" s="1408"/>
      <c r="N666" s="1408"/>
      <c r="O666" s="1408"/>
      <c r="P666" s="1408"/>
      <c r="Q666" s="1408"/>
      <c r="R666" s="1408"/>
      <c r="T666" s="22"/>
      <c r="U666" t="s">
        <v>17</v>
      </c>
      <c r="Z666" s="1393"/>
      <c r="AA666" s="1393"/>
      <c r="AB666" s="1393"/>
      <c r="AC666" s="1393"/>
      <c r="AD666" s="1393"/>
      <c r="AE666" s="1393"/>
      <c r="AF666" s="1393"/>
      <c r="AG666" s="1393"/>
      <c r="AH666" s="1393"/>
      <c r="AI666" s="1393"/>
      <c r="AJ666" s="1393"/>
      <c r="AK666" s="1393"/>
      <c r="AZ666" s="3"/>
      <c r="BA666" s="118">
        <f t="shared" si="42"/>
        <v>2026</v>
      </c>
      <c r="BB666" s="3"/>
      <c r="BC666" s="3"/>
      <c r="BD666" s="3"/>
      <c r="BE666" s="3"/>
      <c r="BF666" s="218"/>
      <c r="BG666" s="316">
        <f t="shared" si="43"/>
        <v>16</v>
      </c>
      <c r="BH666" s="319">
        <f t="shared" si="45"/>
        <v>0.21621621621621623</v>
      </c>
      <c r="BI666" s="320">
        <f t="shared" si="44"/>
        <v>8.6486486486486491E-2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47"/>
      <c r="H667" s="1447"/>
      <c r="I667" s="1447"/>
      <c r="J667" s="1447"/>
      <c r="K667" s="1447"/>
      <c r="L667" s="1447"/>
      <c r="O667" s="33" t="s">
        <v>208</v>
      </c>
      <c r="P667" s="1433"/>
      <c r="Q667" s="1433"/>
      <c r="R667" s="1433"/>
      <c r="T667" s="22"/>
      <c r="U667" t="s">
        <v>318</v>
      </c>
      <c r="Z667" s="1447"/>
      <c r="AA667" s="1447"/>
      <c r="AB667" s="1447"/>
      <c r="AC667" s="1447"/>
      <c r="AD667" s="1447"/>
      <c r="AE667" s="1447"/>
      <c r="AH667" s="33" t="s">
        <v>208</v>
      </c>
      <c r="AI667" s="1433"/>
      <c r="AJ667" s="1433"/>
      <c r="AK667" s="1433"/>
      <c r="AZ667" s="3"/>
      <c r="BA667" s="118">
        <f t="shared" si="42"/>
        <v>2026</v>
      </c>
      <c r="BB667" s="3"/>
      <c r="BC667" s="3"/>
      <c r="BD667" s="3"/>
      <c r="BE667" s="3"/>
      <c r="BF667" s="218"/>
      <c r="BG667" s="316">
        <f t="shared" si="43"/>
        <v>8</v>
      </c>
      <c r="BH667" s="319">
        <f t="shared" si="45"/>
        <v>0.10810810810810811</v>
      </c>
      <c r="BI667" s="320">
        <f t="shared" si="44"/>
        <v>5.4054054054054057E-2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408"/>
      <c r="I668" s="1408"/>
      <c r="J668" s="1408"/>
      <c r="K668" s="1408"/>
      <c r="L668" s="1408"/>
      <c r="M668" s="1408"/>
      <c r="N668" s="1408"/>
      <c r="O668" s="1408"/>
      <c r="P668" s="1408"/>
      <c r="Q668" s="1408"/>
      <c r="R668" s="1408"/>
      <c r="T668" s="22"/>
      <c r="U668" t="s">
        <v>18</v>
      </c>
      <c r="AA668" s="1408"/>
      <c r="AB668" s="1408"/>
      <c r="AC668" s="1408"/>
      <c r="AD668" s="1408"/>
      <c r="AE668" s="1408"/>
      <c r="AF668" s="1408"/>
      <c r="AG668" s="1408"/>
      <c r="AH668" s="1408"/>
      <c r="AI668" s="1408"/>
      <c r="AJ668" s="1408"/>
      <c r="AK668" s="1408"/>
      <c r="AZ668" s="3"/>
      <c r="BA668" s="118">
        <f t="shared" si="42"/>
        <v>2260</v>
      </c>
      <c r="BB668" s="3"/>
      <c r="BC668" s="3"/>
      <c r="BD668" s="3"/>
      <c r="BE668" s="3"/>
      <c r="BF668" s="218"/>
      <c r="BG668" s="316">
        <f t="shared" si="43"/>
        <v>1</v>
      </c>
      <c r="BH668" s="319">
        <f t="shared" si="45"/>
        <v>1.3513513513513514E-2</v>
      </c>
      <c r="BI668" s="320">
        <f t="shared" si="44"/>
        <v>8.1081081081081086E-3</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97" t="s">
        <v>679</v>
      </c>
      <c r="O669" s="1397"/>
      <c r="T669" s="22"/>
      <c r="U669" t="s">
        <v>20</v>
      </c>
      <c r="AG669" s="1397" t="s">
        <v>679</v>
      </c>
      <c r="AH669" s="1397"/>
      <c r="AZ669" s="3"/>
      <c r="BA669" s="118">
        <f t="shared" si="42"/>
        <v>2260</v>
      </c>
      <c r="BB669" s="3"/>
      <c r="BC669" s="3"/>
      <c r="BD669" s="3"/>
      <c r="BE669" s="3"/>
      <c r="BF669" s="218"/>
      <c r="BG669" s="316">
        <f t="shared" si="43"/>
        <v>2</v>
      </c>
      <c r="BH669" s="319">
        <f t="shared" si="45"/>
        <v>2.7027027027027029E-2</v>
      </c>
      <c r="BI669" s="320">
        <f t="shared" si="44"/>
        <v>8.1081081081081086E-3</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2260</v>
      </c>
      <c r="BB670" s="3"/>
      <c r="BC670" s="3"/>
      <c r="BD670" s="3"/>
      <c r="BE670" s="3"/>
      <c r="BF670" s="218"/>
      <c r="BG670" s="316">
        <f t="shared" si="43"/>
        <v>6</v>
      </c>
      <c r="BH670" s="319">
        <f t="shared" si="45"/>
        <v>8.1081081081081086E-2</v>
      </c>
      <c r="BI670" s="320">
        <f t="shared" si="44"/>
        <v>3.2432432432432434E-2</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4">
        <f>C631</f>
        <v>0</v>
      </c>
      <c r="H671" s="1514"/>
      <c r="I671" s="1514"/>
      <c r="J671" s="1514"/>
      <c r="K671" s="1514"/>
      <c r="L671" s="1514"/>
      <c r="M671" s="1514"/>
      <c r="N671" s="1514"/>
      <c r="O671" s="1514"/>
      <c r="P671" s="1514"/>
      <c r="Q671" s="1514"/>
      <c r="R671" s="1514"/>
      <c r="T671" s="55" t="s">
        <v>656</v>
      </c>
      <c r="U671" t="s">
        <v>473</v>
      </c>
      <c r="Z671" s="1514">
        <f>C632</f>
        <v>0</v>
      </c>
      <c r="AA671" s="1514"/>
      <c r="AB671" s="1514"/>
      <c r="AC671" s="1514"/>
      <c r="AD671" s="1514"/>
      <c r="AE671" s="1514"/>
      <c r="AF671" s="1514"/>
      <c r="AG671" s="1514"/>
      <c r="AH671" s="1514"/>
      <c r="AI671" s="1514"/>
      <c r="AJ671" s="1514"/>
      <c r="AK671" s="1514"/>
      <c r="AZ671" s="3"/>
      <c r="BA671" s="118">
        <f t="shared" si="42"/>
        <v>2260</v>
      </c>
      <c r="BB671" s="3"/>
      <c r="BC671" s="3"/>
      <c r="BD671" s="3"/>
      <c r="BE671" s="3"/>
      <c r="BF671" s="218"/>
      <c r="BG671" s="316">
        <f t="shared" si="43"/>
        <v>1</v>
      </c>
      <c r="BH671" s="319">
        <f t="shared" si="45"/>
        <v>1.3513513513513514E-2</v>
      </c>
      <c r="BI671" s="320">
        <f t="shared" si="44"/>
        <v>6.7567567567567571E-3</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408"/>
      <c r="H672" s="1408"/>
      <c r="I672" s="1408"/>
      <c r="J672" s="1408"/>
      <c r="K672" s="1408"/>
      <c r="L672" s="1408"/>
      <c r="M672" s="1408"/>
      <c r="N672" s="1408"/>
      <c r="O672" s="1408"/>
      <c r="P672" s="1408"/>
      <c r="Q672" s="1408"/>
      <c r="R672" s="1408"/>
      <c r="T672" s="22"/>
      <c r="U672" t="s">
        <v>86</v>
      </c>
      <c r="Z672" s="1408"/>
      <c r="AA672" s="1408"/>
      <c r="AB672" s="1408"/>
      <c r="AC672" s="1408"/>
      <c r="AD672" s="1408"/>
      <c r="AE672" s="1408"/>
      <c r="AF672" s="1408"/>
      <c r="AG672" s="1408"/>
      <c r="AH672" s="1408"/>
      <c r="AI672" s="1408"/>
      <c r="AJ672" s="1408"/>
      <c r="AK672" s="1408"/>
      <c r="AZ672" s="3"/>
      <c r="BA672" s="118" t="str">
        <f t="shared" si="42"/>
        <v>N/A</v>
      </c>
      <c r="BB672" s="3"/>
      <c r="BC672" s="3"/>
      <c r="BD672" s="3"/>
      <c r="BE672" s="3"/>
      <c r="BF672" s="218"/>
      <c r="BG672" s="316">
        <f t="shared" si="43"/>
        <v>1</v>
      </c>
      <c r="BH672" s="319">
        <f t="shared" si="45"/>
        <v>1.3513513513513514E-2</v>
      </c>
      <c r="BI672" s="320">
        <f t="shared" si="44"/>
        <v>8.1081081081081086E-3</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408"/>
      <c r="H673" s="1408"/>
      <c r="I673" s="1408"/>
      <c r="J673" s="1408"/>
      <c r="K673" s="1408"/>
      <c r="L673" s="1408"/>
      <c r="M673" s="1408"/>
      <c r="N673" s="1408"/>
      <c r="O673" s="1408"/>
      <c r="P673" s="1408"/>
      <c r="Q673" s="1408"/>
      <c r="R673" s="1408"/>
      <c r="T673" s="22"/>
      <c r="U673" t="s">
        <v>590</v>
      </c>
      <c r="Z673" s="1393"/>
      <c r="AA673" s="1393"/>
      <c r="AB673" s="1393"/>
      <c r="AC673" s="1393"/>
      <c r="AD673" s="1393"/>
      <c r="AE673" s="1393"/>
      <c r="AF673" s="1393"/>
      <c r="AG673" s="1393"/>
      <c r="AH673" s="1393"/>
      <c r="AI673" s="1393"/>
      <c r="AJ673" s="1393"/>
      <c r="AK673" s="1393"/>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408"/>
      <c r="H674" s="1408"/>
      <c r="I674" s="1408"/>
      <c r="J674" s="1408"/>
      <c r="K674" s="1408"/>
      <c r="L674" s="1408"/>
      <c r="M674" s="1408"/>
      <c r="N674" s="1408"/>
      <c r="O674" s="1408"/>
      <c r="P674" s="1408"/>
      <c r="Q674" s="1408"/>
      <c r="R674" s="1408"/>
      <c r="T674" s="22"/>
      <c r="U674" t="s">
        <v>17</v>
      </c>
      <c r="Z674" s="1393"/>
      <c r="AA674" s="1393"/>
      <c r="AB674" s="1393"/>
      <c r="AC674" s="1393"/>
      <c r="AD674" s="1393"/>
      <c r="AE674" s="1393"/>
      <c r="AF674" s="1393"/>
      <c r="AG674" s="1393"/>
      <c r="AH674" s="1393"/>
      <c r="AI674" s="1393"/>
      <c r="AJ674" s="1393"/>
      <c r="AK674" s="1393"/>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47"/>
      <c r="H675" s="1447"/>
      <c r="I675" s="1447"/>
      <c r="J675" s="1447"/>
      <c r="K675" s="1447"/>
      <c r="L675" s="1447"/>
      <c r="O675" s="33" t="s">
        <v>208</v>
      </c>
      <c r="P675" s="1433"/>
      <c r="Q675" s="1433"/>
      <c r="R675" s="1433"/>
      <c r="T675" s="22"/>
      <c r="U675" t="s">
        <v>318</v>
      </c>
      <c r="Z675" s="1447"/>
      <c r="AA675" s="1447"/>
      <c r="AB675" s="1447"/>
      <c r="AC675" s="1447"/>
      <c r="AD675" s="1447"/>
      <c r="AE675" s="1447"/>
      <c r="AH675" s="33" t="s">
        <v>208</v>
      </c>
      <c r="AI675" s="1433"/>
      <c r="AJ675" s="1433"/>
      <c r="AK675" s="143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408"/>
      <c r="I676" s="1408"/>
      <c r="J676" s="1408"/>
      <c r="K676" s="1408"/>
      <c r="L676" s="1408"/>
      <c r="M676" s="1408"/>
      <c r="N676" s="1408"/>
      <c r="O676" s="1408"/>
      <c r="P676" s="1408"/>
      <c r="Q676" s="1408"/>
      <c r="R676" s="1408"/>
      <c r="T676" s="22"/>
      <c r="U676" t="s">
        <v>18</v>
      </c>
      <c r="AA676" s="1408"/>
      <c r="AB676" s="1408"/>
      <c r="AC676" s="1408"/>
      <c r="AD676" s="1408"/>
      <c r="AE676" s="1408"/>
      <c r="AF676" s="1408"/>
      <c r="AG676" s="1408"/>
      <c r="AH676" s="1408"/>
      <c r="AI676" s="1408"/>
      <c r="AJ676" s="1408"/>
      <c r="AK676" s="1408"/>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97" t="s">
        <v>679</v>
      </c>
      <c r="O677" s="1397"/>
      <c r="T677" s="22"/>
      <c r="U677" t="s">
        <v>20</v>
      </c>
      <c r="AG677" s="1397" t="s">
        <v>679</v>
      </c>
      <c r="AH677" s="1397"/>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4">
        <f>C633</f>
        <v>0</v>
      </c>
      <c r="H679" s="1514"/>
      <c r="I679" s="1514"/>
      <c r="J679" s="1514"/>
      <c r="K679" s="1514"/>
      <c r="L679" s="1514"/>
      <c r="M679" s="1514"/>
      <c r="N679" s="1514"/>
      <c r="O679" s="1514"/>
      <c r="P679" s="1514"/>
      <c r="Q679" s="1514"/>
      <c r="R679" s="1514"/>
      <c r="T679" s="55" t="s">
        <v>365</v>
      </c>
      <c r="U679" t="s">
        <v>473</v>
      </c>
      <c r="Z679" s="1514">
        <f>C634</f>
        <v>0</v>
      </c>
      <c r="AA679" s="1514"/>
      <c r="AB679" s="1514"/>
      <c r="AC679" s="1514"/>
      <c r="AD679" s="1514"/>
      <c r="AE679" s="1514"/>
      <c r="AF679" s="1514"/>
      <c r="AG679" s="1514"/>
      <c r="AH679" s="1514"/>
      <c r="AI679" s="1514"/>
      <c r="AJ679" s="1514"/>
      <c r="AK679" s="1514"/>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408"/>
      <c r="H680" s="1408"/>
      <c r="I680" s="1408"/>
      <c r="J680" s="1408"/>
      <c r="K680" s="1408"/>
      <c r="L680" s="1408"/>
      <c r="M680" s="1408"/>
      <c r="N680" s="1408"/>
      <c r="O680" s="1408"/>
      <c r="P680" s="1408"/>
      <c r="Q680" s="1408"/>
      <c r="R680" s="1408"/>
      <c r="T680" s="22"/>
      <c r="U680" t="s">
        <v>86</v>
      </c>
      <c r="Z680" s="1408"/>
      <c r="AA680" s="1408"/>
      <c r="AB680" s="1408"/>
      <c r="AC680" s="1408"/>
      <c r="AD680" s="1408"/>
      <c r="AE680" s="1408"/>
      <c r="AF680" s="1408"/>
      <c r="AG680" s="1408"/>
      <c r="AH680" s="1408"/>
      <c r="AI680" s="1408"/>
      <c r="AJ680" s="1408"/>
      <c r="AK680" s="1408"/>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408"/>
      <c r="H681" s="1408"/>
      <c r="I681" s="1408"/>
      <c r="J681" s="1408"/>
      <c r="K681" s="1408"/>
      <c r="L681" s="1408"/>
      <c r="M681" s="1408"/>
      <c r="N681" s="1408"/>
      <c r="O681" s="1408"/>
      <c r="P681" s="1408"/>
      <c r="Q681" s="1408"/>
      <c r="R681" s="1408"/>
      <c r="U681" t="s">
        <v>590</v>
      </c>
      <c r="Z681" s="1393"/>
      <c r="AA681" s="1393"/>
      <c r="AB681" s="1393"/>
      <c r="AC681" s="1393"/>
      <c r="AD681" s="1393"/>
      <c r="AE681" s="1393"/>
      <c r="AF681" s="1393"/>
      <c r="AG681" s="1393"/>
      <c r="AH681" s="1393"/>
      <c r="AI681" s="1393"/>
      <c r="AJ681" s="1393"/>
      <c r="AK681" s="1393"/>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408"/>
      <c r="H682" s="1408"/>
      <c r="I682" s="1408"/>
      <c r="J682" s="1408"/>
      <c r="K682" s="1408"/>
      <c r="L682" s="1408"/>
      <c r="M682" s="1408"/>
      <c r="N682" s="1408"/>
      <c r="O682" s="1408"/>
      <c r="P682" s="1408"/>
      <c r="Q682" s="1408"/>
      <c r="R682" s="1408"/>
      <c r="U682" t="s">
        <v>17</v>
      </c>
      <c r="Z682" s="1393"/>
      <c r="AA682" s="1393"/>
      <c r="AB682" s="1393"/>
      <c r="AC682" s="1393"/>
      <c r="AD682" s="1393"/>
      <c r="AE682" s="1393"/>
      <c r="AF682" s="1393"/>
      <c r="AG682" s="1393"/>
      <c r="AH682" s="1393"/>
      <c r="AI682" s="1393"/>
      <c r="AJ682" s="1393"/>
      <c r="AK682" s="1393"/>
      <c r="AZ682" s="3"/>
      <c r="BA682" s="3"/>
      <c r="BB682" s="3"/>
      <c r="BC682" s="3"/>
      <c r="BD682" s="3"/>
      <c r="BF682" s="312" t="s">
        <v>933</v>
      </c>
      <c r="BG682" s="321">
        <f>SUM(BG657:BG681)</f>
        <v>74</v>
      </c>
      <c r="BH682" s="322">
        <f>SUM(BH657:BH681)</f>
        <v>1</v>
      </c>
      <c r="BI682" s="322">
        <f>SUM(BI657:BI681)</f>
        <v>0.40135135135135136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47"/>
      <c r="H683" s="1447"/>
      <c r="I683" s="1447"/>
      <c r="J683" s="1447"/>
      <c r="K683" s="1447"/>
      <c r="L683" s="1447"/>
      <c r="O683" s="33" t="s">
        <v>208</v>
      </c>
      <c r="P683" s="1433"/>
      <c r="Q683" s="1433"/>
      <c r="R683" s="1433"/>
      <c r="U683" t="s">
        <v>318</v>
      </c>
      <c r="Z683" s="1447"/>
      <c r="AA683" s="1447"/>
      <c r="AB683" s="1447"/>
      <c r="AC683" s="1447"/>
      <c r="AD683" s="1447"/>
      <c r="AE683" s="1447"/>
      <c r="AH683" s="33" t="s">
        <v>208</v>
      </c>
      <c r="AI683" s="1433"/>
      <c r="AJ683" s="1433"/>
      <c r="AK683" s="143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408"/>
      <c r="I684" s="1408"/>
      <c r="J684" s="1408"/>
      <c r="K684" s="1408"/>
      <c r="L684" s="1408"/>
      <c r="M684" s="1408"/>
      <c r="N684" s="1408"/>
      <c r="O684" s="1408"/>
      <c r="P684" s="1408"/>
      <c r="Q684" s="1408"/>
      <c r="R684" s="1408"/>
      <c r="U684" t="s">
        <v>18</v>
      </c>
      <c r="AA684" s="1408"/>
      <c r="AB684" s="1408"/>
      <c r="AC684" s="1408"/>
      <c r="AD684" s="1408"/>
      <c r="AE684" s="1408"/>
      <c r="AF684" s="1408"/>
      <c r="AG684" s="1408"/>
      <c r="AH684" s="1408"/>
      <c r="AI684" s="1408"/>
      <c r="AJ684" s="1408"/>
      <c r="AK684" s="1408"/>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97" t="s">
        <v>679</v>
      </c>
      <c r="O685" s="1397"/>
      <c r="U685" t="s">
        <v>20</v>
      </c>
      <c r="AG685" s="1397" t="s">
        <v>679</v>
      </c>
      <c r="AH685" s="1397"/>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97" t="s">
        <v>555</v>
      </c>
      <c r="AF689" s="1397"/>
      <c r="AZ689" s="34"/>
      <c r="BA689" s="34"/>
      <c r="BB689" s="34"/>
      <c r="BC689" s="34"/>
      <c r="BD689" s="34"/>
      <c r="BE689" s="34"/>
      <c r="BF689" s="34"/>
      <c r="BG689" s="315">
        <f t="shared" ref="BG689:BG713" si="46">G714</f>
        <v>3</v>
      </c>
      <c r="BH689" s="319">
        <f>BG689/$BG$714</f>
        <v>4.0540540540540543E-2</v>
      </c>
      <c r="BI689" s="320">
        <f t="shared" ref="BI689:BI713" si="47">IF(BH689=0," ",BH689*AH714)</f>
        <v>1.2145524457425963E-2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97" t="s">
        <v>555</v>
      </c>
      <c r="AF690" s="1397"/>
      <c r="AZ690" s="34"/>
      <c r="BA690" s="34"/>
      <c r="BB690" s="34"/>
      <c r="BC690" s="34"/>
      <c r="BD690" s="34"/>
      <c r="BE690" s="34"/>
      <c r="BF690" s="34"/>
      <c r="BG690" s="316">
        <f t="shared" si="46"/>
        <v>3</v>
      </c>
      <c r="BH690" s="319">
        <f t="shared" ref="BH690:BH713" si="48">BG690/$BG$714</f>
        <v>4.0540540540540543E-2</v>
      </c>
      <c r="BI690" s="320">
        <f t="shared" si="47"/>
        <v>1.6221762117794952E-2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52">
        <v>44964</v>
      </c>
      <c r="AF691" s="1552"/>
      <c r="AG691" s="1552"/>
      <c r="AH691" s="1552"/>
      <c r="AI691" s="1552"/>
      <c r="AZ691" s="34"/>
      <c r="BA691" s="34"/>
      <c r="BB691" s="34"/>
      <c r="BC691" s="34"/>
      <c r="BD691" s="34"/>
      <c r="BE691" s="3"/>
      <c r="BF691" s="3"/>
      <c r="BG691" s="316">
        <f t="shared" si="46"/>
        <v>1</v>
      </c>
      <c r="BH691" s="319">
        <f t="shared" si="48"/>
        <v>1.3513513513513514E-2</v>
      </c>
      <c r="BI691" s="320">
        <f t="shared" si="47"/>
        <v>6.7567567567567571E-3</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5">
        <v>45056</v>
      </c>
      <c r="AF692" s="1725"/>
      <c r="AG692" s="1725"/>
      <c r="AH692" s="1725"/>
      <c r="AI692" s="1725"/>
      <c r="AZ692" s="34"/>
      <c r="BA692" s="34"/>
      <c r="BB692" s="34"/>
      <c r="BC692" s="34"/>
      <c r="BD692" s="34"/>
      <c r="BE692" s="3"/>
      <c r="BF692" s="2"/>
      <c r="BG692" s="316">
        <f t="shared" si="46"/>
        <v>1</v>
      </c>
      <c r="BH692" s="319">
        <f t="shared" si="48"/>
        <v>1.3513513513513514E-2</v>
      </c>
      <c r="BI692" s="320">
        <f t="shared" si="47"/>
        <v>8.1062594742485321E-3</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9</v>
      </c>
      <c r="BH693" s="319">
        <f t="shared" si="48"/>
        <v>0.12162162162162163</v>
      </c>
      <c r="BI693" s="320">
        <f t="shared" si="47"/>
        <v>3.6472618570680147E-2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52">
        <v>45231</v>
      </c>
      <c r="AF694" s="1552"/>
      <c r="AG694" s="1552"/>
      <c r="AH694" s="1552"/>
      <c r="AI694" s="1552"/>
      <c r="AZ694" s="3"/>
      <c r="BA694" s="3"/>
      <c r="BB694" s="3"/>
      <c r="BC694" s="3"/>
      <c r="BD694" s="3"/>
      <c r="BE694" s="3"/>
      <c r="BF694" s="3"/>
      <c r="BG694" s="316">
        <f t="shared" si="46"/>
        <v>10</v>
      </c>
      <c r="BH694" s="319">
        <f t="shared" si="48"/>
        <v>0.13513513513513514</v>
      </c>
      <c r="BI694" s="320">
        <f t="shared" si="47"/>
        <v>5.4084871644734821E-2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0">
        <v>0.54</v>
      </c>
      <c r="AF695" s="1700"/>
      <c r="AG695" s="1700"/>
      <c r="AH695" s="1700"/>
      <c r="AI695" s="1700"/>
      <c r="AZ695" s="3"/>
      <c r="BA695" s="3"/>
      <c r="BB695" s="3"/>
      <c r="BC695" s="3"/>
      <c r="BD695" s="3"/>
      <c r="BE695" s="3"/>
      <c r="BF695" s="3"/>
      <c r="BG695" s="316">
        <f t="shared" si="46"/>
        <v>4</v>
      </c>
      <c r="BH695" s="319">
        <f t="shared" si="48"/>
        <v>5.4054054054054057E-2</v>
      </c>
      <c r="BI695" s="320">
        <f t="shared" si="47"/>
        <v>2.7027027027027029E-2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4" t="str">
        <f>H334</f>
        <v>CMFA</v>
      </c>
      <c r="X696" s="1514"/>
      <c r="Y696" s="1514"/>
      <c r="Z696" s="1514"/>
      <c r="AA696" s="1514"/>
      <c r="AB696" s="1514"/>
      <c r="AC696" s="1514"/>
      <c r="AD696" s="1514"/>
      <c r="AE696" s="1514"/>
      <c r="AF696" s="1514"/>
      <c r="AG696" s="1514"/>
      <c r="AH696" s="1514"/>
      <c r="AI696" s="1514"/>
      <c r="AJ696" s="1514"/>
      <c r="AK696" s="1514"/>
      <c r="AZ696" s="3"/>
      <c r="BA696" s="3"/>
      <c r="BB696" s="3"/>
      <c r="BC696" s="3"/>
      <c r="BD696" s="3"/>
      <c r="BE696" s="3"/>
      <c r="BF696" s="3"/>
      <c r="BG696" s="316">
        <f t="shared" si="46"/>
        <v>1</v>
      </c>
      <c r="BH696" s="319">
        <f t="shared" si="48"/>
        <v>1.3513513513513514E-2</v>
      </c>
      <c r="BI696" s="320">
        <f t="shared" si="47"/>
        <v>8.1127307467102235E-3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7</v>
      </c>
      <c r="BH697" s="319">
        <f t="shared" si="48"/>
        <v>9.45945945945946E-2</v>
      </c>
      <c r="BI697" s="320">
        <f t="shared" si="47"/>
        <v>2.8341026119900751E-2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97" t="s">
        <v>679</v>
      </c>
      <c r="AF698" s="1397"/>
      <c r="AZ698" s="3"/>
      <c r="BA698" s="3"/>
      <c r="BB698" s="3"/>
      <c r="BC698" s="3"/>
      <c r="BD698" s="3"/>
      <c r="BE698" s="3"/>
      <c r="BF698" s="3"/>
      <c r="BG698" s="316">
        <f t="shared" si="46"/>
        <v>16</v>
      </c>
      <c r="BH698" s="319">
        <f t="shared" si="48"/>
        <v>0.21621621621621623</v>
      </c>
      <c r="BI698" s="320">
        <f t="shared" si="47"/>
        <v>8.6443798191083485E-2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408"/>
      <c r="X699" s="1408"/>
      <c r="Y699" s="1408"/>
      <c r="Z699" s="1408"/>
      <c r="AA699" s="1408"/>
      <c r="AB699" s="1408"/>
      <c r="AC699" s="1408"/>
      <c r="AD699" s="1408"/>
      <c r="AE699" s="1408"/>
      <c r="AF699" s="1408"/>
      <c r="AG699" s="1408"/>
      <c r="AH699" s="1408"/>
      <c r="AI699" s="1408"/>
      <c r="AJ699" s="1408"/>
      <c r="AK699" s="1408"/>
      <c r="AZ699" s="3"/>
      <c r="BA699" s="3"/>
      <c r="BB699" s="3"/>
      <c r="BC699" s="3"/>
      <c r="BD699" s="3"/>
      <c r="BE699" s="3"/>
      <c r="BF699" s="3"/>
      <c r="BG699" s="316">
        <f t="shared" si="46"/>
        <v>8</v>
      </c>
      <c r="BH699" s="319">
        <f t="shared" si="48"/>
        <v>0.10810810810810811</v>
      </c>
      <c r="BI699" s="320">
        <f t="shared" si="47"/>
        <v>5.4054054054054057E-2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408"/>
      <c r="K700" s="1408"/>
      <c r="L700" s="1408"/>
      <c r="M700" s="1408"/>
      <c r="N700" s="1408"/>
      <c r="O700" s="1408"/>
      <c r="P700" s="1408"/>
      <c r="Q700" s="1408"/>
      <c r="R700" s="1408"/>
      <c r="S700" s="1408"/>
      <c r="T700" s="1408"/>
      <c r="U700" s="1408"/>
      <c r="V700" s="1408"/>
      <c r="W700" s="1408"/>
      <c r="X700" s="1408"/>
      <c r="AZ700" s="3"/>
      <c r="BA700" s="3"/>
      <c r="BB700" s="3"/>
      <c r="BC700" s="3"/>
      <c r="BD700" s="3"/>
      <c r="BE700" s="3"/>
      <c r="BF700" s="3"/>
      <c r="BG700" s="316">
        <f t="shared" si="46"/>
        <v>1</v>
      </c>
      <c r="BH700" s="319">
        <f t="shared" si="48"/>
        <v>1.3513513513513514E-2</v>
      </c>
      <c r="BI700" s="320">
        <f t="shared" si="47"/>
        <v>8.1041060804140762E-3</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47"/>
      <c r="K701" s="1447"/>
      <c r="L701" s="1447"/>
      <c r="M701" s="1447"/>
      <c r="N701" s="1447"/>
      <c r="O701" s="1447"/>
      <c r="P701" s="4" t="s">
        <v>208</v>
      </c>
      <c r="Q701" s="4"/>
      <c r="R701" s="1433"/>
      <c r="S701" s="1433"/>
      <c r="T701" s="1433"/>
      <c r="AZ701" s="3"/>
      <c r="BA701" s="3"/>
      <c r="BB701" s="3"/>
      <c r="BC701" s="3"/>
      <c r="BD701" s="3"/>
      <c r="BE701" s="3"/>
      <c r="BF701" s="3"/>
      <c r="BG701" s="316">
        <f t="shared" si="46"/>
        <v>2</v>
      </c>
      <c r="BH701" s="319">
        <f t="shared" si="48"/>
        <v>2.7027027027027029E-2</v>
      </c>
      <c r="BI701" s="320">
        <f t="shared" si="47"/>
        <v>8.1081081081081086E-3</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408" t="s">
        <v>309</v>
      </c>
      <c r="X702" s="1408"/>
      <c r="Y702" s="1408"/>
      <c r="Z702" s="1408"/>
      <c r="AA702" s="1408"/>
      <c r="AB702" s="1408"/>
      <c r="AC702" s="1408"/>
      <c r="AD702" s="1408"/>
      <c r="AE702" s="1408"/>
      <c r="AF702" s="1408"/>
      <c r="AG702" s="1408"/>
      <c r="AH702" s="1408"/>
      <c r="AI702" s="1408"/>
      <c r="AJ702" s="1408"/>
      <c r="AK702" s="1408"/>
      <c r="AZ702" s="3"/>
      <c r="BA702" s="3"/>
      <c r="BB702" s="3"/>
      <c r="BC702" s="3"/>
      <c r="BD702" s="3"/>
      <c r="BE702" s="3"/>
      <c r="BF702" s="3"/>
      <c r="BG702" s="316">
        <f t="shared" si="46"/>
        <v>6</v>
      </c>
      <c r="BH702" s="319">
        <f t="shared" si="48"/>
        <v>8.1081081081081086E-2</v>
      </c>
      <c r="BI702" s="320">
        <f t="shared" si="47"/>
        <v>3.2432432432432434E-2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408" t="s">
        <v>336</v>
      </c>
      <c r="F703" s="1408"/>
      <c r="G703" s="1408"/>
      <c r="H703" s="1408"/>
      <c r="I703" s="1408"/>
      <c r="J703" s="1408"/>
      <c r="K703" s="1408"/>
      <c r="L703" s="1408"/>
      <c r="M703" s="1408"/>
      <c r="N703" s="1408"/>
      <c r="O703" s="1408"/>
      <c r="P703" s="1408"/>
      <c r="Q703" s="1408"/>
      <c r="R703" s="1408"/>
      <c r="S703" s="1408"/>
      <c r="T703" s="1408"/>
      <c r="U703" s="1408"/>
      <c r="V703" s="1408"/>
      <c r="W703" s="1408"/>
      <c r="X703" s="1408"/>
      <c r="Y703" s="1408"/>
      <c r="Z703" s="1408"/>
      <c r="AA703" s="1408"/>
      <c r="AB703" s="1408"/>
      <c r="AC703" s="1408"/>
      <c r="AD703" s="1408"/>
      <c r="AE703" s="1408"/>
      <c r="AF703" s="1408"/>
      <c r="AG703" s="1408"/>
      <c r="AH703" s="1408"/>
      <c r="AI703" s="1408"/>
      <c r="AJ703" s="1408"/>
      <c r="AK703" s="1408"/>
      <c r="AZ703" s="3"/>
      <c r="BA703" s="3"/>
      <c r="BB703" s="3"/>
      <c r="BC703" s="3"/>
      <c r="BD703" s="3"/>
      <c r="BE703" s="3"/>
      <c r="BF703" s="3"/>
      <c r="BG703" s="316">
        <f t="shared" si="46"/>
        <v>1</v>
      </c>
      <c r="BH703" s="319">
        <f t="shared" si="48"/>
        <v>1.3513513513513514E-2</v>
      </c>
      <c r="BI703" s="320">
        <f t="shared" si="47"/>
        <v>6.7567567567567571E-3</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1</v>
      </c>
      <c r="BH704" s="319">
        <f t="shared" si="48"/>
        <v>1.3513513513513514E-2</v>
      </c>
      <c r="BI704" s="320">
        <f t="shared" si="47"/>
        <v>8.1081081081081086E-3</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90" t="s">
        <v>391</v>
      </c>
      <c r="C710" s="1491"/>
      <c r="D710" s="1491"/>
      <c r="E710" s="1491"/>
      <c r="F710" s="1492"/>
      <c r="G710" s="1490" t="s">
        <v>287</v>
      </c>
      <c r="H710" s="1491"/>
      <c r="I710" s="1491"/>
      <c r="J710" s="1492"/>
      <c r="K710" s="1503" t="s">
        <v>1939</v>
      </c>
      <c r="L710" s="1504"/>
      <c r="M710" s="1504"/>
      <c r="N710" s="1505"/>
      <c r="O710" s="1490" t="s">
        <v>457</v>
      </c>
      <c r="P710" s="1491"/>
      <c r="Q710" s="1491"/>
      <c r="R710" s="1491"/>
      <c r="S710" s="1492"/>
      <c r="T710" s="1687" t="s">
        <v>2336</v>
      </c>
      <c r="U710" s="1491"/>
      <c r="V710" s="1491"/>
      <c r="W710" s="1492"/>
      <c r="X710" s="1687" t="s">
        <v>2338</v>
      </c>
      <c r="Y710" s="1491"/>
      <c r="Z710" s="1491"/>
      <c r="AA710" s="1491"/>
      <c r="AB710" s="1492"/>
      <c r="AC710" s="1687" t="s">
        <v>2337</v>
      </c>
      <c r="AD710" s="1491"/>
      <c r="AE710" s="1491"/>
      <c r="AF710" s="1491"/>
      <c r="AG710" s="1492"/>
      <c r="AH710" s="1687" t="s">
        <v>2339</v>
      </c>
      <c r="AI710" s="1491"/>
      <c r="AJ710" s="1492"/>
      <c r="AK710" s="1687" t="s">
        <v>2373</v>
      </c>
      <c r="AL710" s="1491"/>
      <c r="AM710" s="1491"/>
      <c r="AN710" s="1491"/>
      <c r="AO710" s="1492"/>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3"/>
      <c r="C711" s="1494"/>
      <c r="D711" s="1494"/>
      <c r="E711" s="1494"/>
      <c r="F711" s="1495"/>
      <c r="G711" s="1493"/>
      <c r="H711" s="1494"/>
      <c r="I711" s="1494"/>
      <c r="J711" s="1495"/>
      <c r="K711" s="1506"/>
      <c r="L711" s="1507"/>
      <c r="M711" s="1507"/>
      <c r="N711" s="1508"/>
      <c r="O711" s="1493"/>
      <c r="P711" s="1494"/>
      <c r="Q711" s="1494"/>
      <c r="R711" s="1494"/>
      <c r="S711" s="1495"/>
      <c r="T711" s="1493"/>
      <c r="U711" s="1494"/>
      <c r="V711" s="1494"/>
      <c r="W711" s="1495"/>
      <c r="X711" s="1493"/>
      <c r="Y711" s="1494"/>
      <c r="Z711" s="1494"/>
      <c r="AA711" s="1494"/>
      <c r="AB711" s="1495"/>
      <c r="AC711" s="1493"/>
      <c r="AD711" s="1494"/>
      <c r="AE711" s="1494"/>
      <c r="AF711" s="1494"/>
      <c r="AG711" s="1495"/>
      <c r="AH711" s="1493"/>
      <c r="AI711" s="1494"/>
      <c r="AJ711" s="1495"/>
      <c r="AK711" s="1493"/>
      <c r="AL711" s="1494"/>
      <c r="AM711" s="1494"/>
      <c r="AN711" s="1494"/>
      <c r="AO711" s="1495"/>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3"/>
      <c r="C712" s="1494"/>
      <c r="D712" s="1494"/>
      <c r="E712" s="1494"/>
      <c r="F712" s="1495"/>
      <c r="G712" s="1493"/>
      <c r="H712" s="1494"/>
      <c r="I712" s="1494"/>
      <c r="J712" s="1495"/>
      <c r="K712" s="1506"/>
      <c r="L712" s="1507"/>
      <c r="M712" s="1507"/>
      <c r="N712" s="1508"/>
      <c r="O712" s="1493"/>
      <c r="P712" s="1494"/>
      <c r="Q712" s="1494"/>
      <c r="R712" s="1494"/>
      <c r="S712" s="1495"/>
      <c r="T712" s="1493"/>
      <c r="U712" s="1494"/>
      <c r="V712" s="1494"/>
      <c r="W712" s="1495"/>
      <c r="X712" s="1493"/>
      <c r="Y712" s="1494"/>
      <c r="Z712" s="1494"/>
      <c r="AA712" s="1494"/>
      <c r="AB712" s="1495"/>
      <c r="AC712" s="1493"/>
      <c r="AD712" s="1494"/>
      <c r="AE712" s="1494"/>
      <c r="AF712" s="1494"/>
      <c r="AG712" s="1495"/>
      <c r="AH712" s="1493"/>
      <c r="AI712" s="1494"/>
      <c r="AJ712" s="1495"/>
      <c r="AK712" s="1493"/>
      <c r="AL712" s="1494"/>
      <c r="AM712" s="1494"/>
      <c r="AN712" s="1494"/>
      <c r="AO712" s="1495"/>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6"/>
      <c r="C713" s="1497"/>
      <c r="D713" s="1497"/>
      <c r="E713" s="1497"/>
      <c r="F713" s="1498"/>
      <c r="G713" s="1496"/>
      <c r="H713" s="1497"/>
      <c r="I713" s="1497"/>
      <c r="J713" s="1498"/>
      <c r="K713" s="1506"/>
      <c r="L713" s="1507"/>
      <c r="M713" s="1507"/>
      <c r="N713" s="1508"/>
      <c r="O713" s="1496"/>
      <c r="P713" s="1497"/>
      <c r="Q713" s="1497"/>
      <c r="R713" s="1497"/>
      <c r="S713" s="1498"/>
      <c r="T713" s="1496"/>
      <c r="U713" s="1497"/>
      <c r="V713" s="1497"/>
      <c r="W713" s="1498"/>
      <c r="X713" s="1496"/>
      <c r="Y713" s="1497"/>
      <c r="Z713" s="1497"/>
      <c r="AA713" s="1497"/>
      <c r="AB713" s="1498"/>
      <c r="AC713" s="1496"/>
      <c r="AD713" s="1497"/>
      <c r="AE713" s="1497"/>
      <c r="AF713" s="1497"/>
      <c r="AG713" s="1498"/>
      <c r="AH713" s="1496"/>
      <c r="AI713" s="1497"/>
      <c r="AJ713" s="1498"/>
      <c r="AK713" s="1496"/>
      <c r="AL713" s="1497"/>
      <c r="AM713" s="1497"/>
      <c r="AN713" s="1497"/>
      <c r="AO713" s="1498"/>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00" t="s">
        <v>327</v>
      </c>
      <c r="C714" s="1401"/>
      <c r="D714" s="1401"/>
      <c r="E714" s="1401"/>
      <c r="F714" s="1402"/>
      <c r="G714" s="1487">
        <v>3</v>
      </c>
      <c r="H714" s="1488"/>
      <c r="I714" s="1488"/>
      <c r="J714" s="1489"/>
      <c r="K714" s="1484">
        <v>652</v>
      </c>
      <c r="L714" s="1485"/>
      <c r="M714" s="1485"/>
      <c r="N714" s="1486"/>
      <c r="O714" s="1478">
        <f>438-6</f>
        <v>432</v>
      </c>
      <c r="P714" s="1479"/>
      <c r="Q714" s="1479"/>
      <c r="R714" s="1479"/>
      <c r="S714" s="1480"/>
      <c r="T714" s="1478">
        <v>6</v>
      </c>
      <c r="U714" s="1479"/>
      <c r="V714" s="1479"/>
      <c r="W714" s="1480"/>
      <c r="X714" s="1499">
        <f t="shared" ref="X714:X738" si="49">O714+T714</f>
        <v>438</v>
      </c>
      <c r="Y714" s="1500"/>
      <c r="Z714" s="1500"/>
      <c r="AA714" s="1500"/>
      <c r="AB714" s="1501"/>
      <c r="AC714" s="1481">
        <v>0.3</v>
      </c>
      <c r="AD714" s="1482"/>
      <c r="AE714" s="1482"/>
      <c r="AF714" s="1482"/>
      <c r="AG714" s="1483"/>
      <c r="AH714" s="1684">
        <f t="shared" ref="AH714:AH738" si="50">IF($AC714&gt;0,($X714/$BA656), " ")</f>
        <v>0.29958960328317374</v>
      </c>
      <c r="AI714" s="1685"/>
      <c r="AJ714" s="1686"/>
      <c r="AK714" s="1400" t="s">
        <v>601</v>
      </c>
      <c r="AL714" s="1401"/>
      <c r="AM714" s="1401"/>
      <c r="AN714" s="1401"/>
      <c r="AO714" s="1402"/>
      <c r="AP714" s="3"/>
      <c r="AQ714" s="3"/>
      <c r="AR714" s="3"/>
      <c r="AS714" s="3"/>
      <c r="AY714" s="1134"/>
      <c r="AZ714" s="1134"/>
      <c r="BA714" s="1134"/>
      <c r="BB714" s="1134"/>
      <c r="BC714" s="1134"/>
      <c r="BD714" s="3"/>
      <c r="BE714" s="3"/>
      <c r="BF714" s="3"/>
      <c r="BG714" s="895">
        <f>SUM(BG689:BG713)</f>
        <v>74</v>
      </c>
      <c r="BH714" s="322">
        <f>SUM(BH689:BH713)</f>
        <v>1</v>
      </c>
      <c r="BI714" s="322">
        <f>SUM(BI689:BI713)</f>
        <v>0.40127594064623617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00" t="s">
        <v>327</v>
      </c>
      <c r="C715" s="1401"/>
      <c r="D715" s="1401"/>
      <c r="E715" s="1401"/>
      <c r="F715" s="1402"/>
      <c r="G715" s="1487">
        <v>3</v>
      </c>
      <c r="H715" s="1488"/>
      <c r="I715" s="1488"/>
      <c r="J715" s="1489"/>
      <c r="K715" s="1484">
        <v>652</v>
      </c>
      <c r="L715" s="1485"/>
      <c r="M715" s="1485"/>
      <c r="N715" s="1486"/>
      <c r="O715" s="1478">
        <f>585-6</f>
        <v>579</v>
      </c>
      <c r="P715" s="1479"/>
      <c r="Q715" s="1479"/>
      <c r="R715" s="1479"/>
      <c r="S715" s="1480"/>
      <c r="T715" s="1478">
        <v>6</v>
      </c>
      <c r="U715" s="1479"/>
      <c r="V715" s="1479"/>
      <c r="W715" s="1480"/>
      <c r="X715" s="1499">
        <f t="shared" si="49"/>
        <v>585</v>
      </c>
      <c r="Y715" s="1500"/>
      <c r="Z715" s="1500"/>
      <c r="AA715" s="1500"/>
      <c r="AB715" s="1501"/>
      <c r="AC715" s="1481">
        <v>0.4</v>
      </c>
      <c r="AD715" s="1482"/>
      <c r="AE715" s="1482"/>
      <c r="AF715" s="1482"/>
      <c r="AG715" s="1483"/>
      <c r="AH715" s="1684">
        <f t="shared" si="50"/>
        <v>0.40013679890560877</v>
      </c>
      <c r="AI715" s="1685"/>
      <c r="AJ715" s="1686"/>
      <c r="AK715" s="1400" t="s">
        <v>601</v>
      </c>
      <c r="AL715" s="1401"/>
      <c r="AM715" s="1401"/>
      <c r="AN715" s="1401"/>
      <c r="AO715" s="140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00" t="s">
        <v>327</v>
      </c>
      <c r="C716" s="1401"/>
      <c r="D716" s="1401"/>
      <c r="E716" s="1401"/>
      <c r="F716" s="1402"/>
      <c r="G716" s="1487">
        <v>1</v>
      </c>
      <c r="H716" s="1488"/>
      <c r="I716" s="1488"/>
      <c r="J716" s="1489"/>
      <c r="K716" s="1484">
        <v>652</v>
      </c>
      <c r="L716" s="1485"/>
      <c r="M716" s="1485"/>
      <c r="N716" s="1486"/>
      <c r="O716" s="1478">
        <f>731-6</f>
        <v>725</v>
      </c>
      <c r="P716" s="1479"/>
      <c r="Q716" s="1479"/>
      <c r="R716" s="1479"/>
      <c r="S716" s="1480"/>
      <c r="T716" s="1478">
        <v>6</v>
      </c>
      <c r="U716" s="1479"/>
      <c r="V716" s="1479"/>
      <c r="W716" s="1480"/>
      <c r="X716" s="1499">
        <f t="shared" si="49"/>
        <v>731</v>
      </c>
      <c r="Y716" s="1500"/>
      <c r="Z716" s="1500"/>
      <c r="AA716" s="1500"/>
      <c r="AB716" s="1501"/>
      <c r="AC716" s="1481">
        <v>0.5</v>
      </c>
      <c r="AD716" s="1482"/>
      <c r="AE716" s="1482"/>
      <c r="AF716" s="1482"/>
      <c r="AG716" s="1483"/>
      <c r="AH716" s="1684">
        <f t="shared" si="50"/>
        <v>0.5</v>
      </c>
      <c r="AI716" s="1685"/>
      <c r="AJ716" s="1686"/>
      <c r="AK716" s="1400" t="s">
        <v>601</v>
      </c>
      <c r="AL716" s="1401"/>
      <c r="AM716" s="1401"/>
      <c r="AN716" s="1401"/>
      <c r="AO716" s="140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00" t="s">
        <v>327</v>
      </c>
      <c r="C717" s="1401"/>
      <c r="D717" s="1401"/>
      <c r="E717" s="1401"/>
      <c r="F717" s="1402"/>
      <c r="G717" s="1487">
        <v>1</v>
      </c>
      <c r="H717" s="1488"/>
      <c r="I717" s="1488"/>
      <c r="J717" s="1489"/>
      <c r="K717" s="1484">
        <v>652</v>
      </c>
      <c r="L717" s="1485"/>
      <c r="M717" s="1485"/>
      <c r="N717" s="1486"/>
      <c r="O717" s="1478">
        <f>877-6</f>
        <v>871</v>
      </c>
      <c r="P717" s="1479"/>
      <c r="Q717" s="1479"/>
      <c r="R717" s="1479"/>
      <c r="S717" s="1480"/>
      <c r="T717" s="1478">
        <v>6</v>
      </c>
      <c r="U717" s="1479"/>
      <c r="V717" s="1479"/>
      <c r="W717" s="1480"/>
      <c r="X717" s="1499">
        <f t="shared" si="49"/>
        <v>877</v>
      </c>
      <c r="Y717" s="1500"/>
      <c r="Z717" s="1500"/>
      <c r="AA717" s="1500"/>
      <c r="AB717" s="1501"/>
      <c r="AC717" s="1481">
        <v>0.6</v>
      </c>
      <c r="AD717" s="1482"/>
      <c r="AE717" s="1482"/>
      <c r="AF717" s="1482"/>
      <c r="AG717" s="1483"/>
      <c r="AH717" s="1684">
        <f t="shared" si="50"/>
        <v>0.59986320109439129</v>
      </c>
      <c r="AI717" s="1685"/>
      <c r="AJ717" s="1686"/>
      <c r="AK717" s="1400" t="s">
        <v>601</v>
      </c>
      <c r="AL717" s="1401"/>
      <c r="AM717" s="1401"/>
      <c r="AN717" s="1401"/>
      <c r="AO717" s="140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00" t="s">
        <v>164</v>
      </c>
      <c r="C718" s="1401"/>
      <c r="D718" s="1401"/>
      <c r="E718" s="1401"/>
      <c r="F718" s="1402"/>
      <c r="G718" s="1487">
        <v>9</v>
      </c>
      <c r="H718" s="1488"/>
      <c r="I718" s="1488"/>
      <c r="J718" s="1489"/>
      <c r="K718" s="1484">
        <v>724</v>
      </c>
      <c r="L718" s="1485"/>
      <c r="M718" s="1485"/>
      <c r="N718" s="1486"/>
      <c r="O718" s="1478">
        <f>526-6</f>
        <v>520</v>
      </c>
      <c r="P718" s="1479"/>
      <c r="Q718" s="1479"/>
      <c r="R718" s="1479"/>
      <c r="S718" s="1480"/>
      <c r="T718" s="1478">
        <v>6</v>
      </c>
      <c r="U718" s="1479"/>
      <c r="V718" s="1479"/>
      <c r="W718" s="1480"/>
      <c r="X718" s="1499">
        <f t="shared" si="49"/>
        <v>526</v>
      </c>
      <c r="Y718" s="1500"/>
      <c r="Z718" s="1500"/>
      <c r="AA718" s="1500"/>
      <c r="AB718" s="1501"/>
      <c r="AC718" s="1481">
        <v>0.3</v>
      </c>
      <c r="AD718" s="1482"/>
      <c r="AE718" s="1482"/>
      <c r="AF718" s="1482"/>
      <c r="AG718" s="1483"/>
      <c r="AH718" s="1684">
        <f t="shared" si="50"/>
        <v>0.29988597491448121</v>
      </c>
      <c r="AI718" s="1685"/>
      <c r="AJ718" s="1686"/>
      <c r="AK718" s="1400" t="s">
        <v>601</v>
      </c>
      <c r="AL718" s="1401"/>
      <c r="AM718" s="1401"/>
      <c r="AN718" s="1401"/>
      <c r="AO718" s="140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00" t="s">
        <v>164</v>
      </c>
      <c r="C719" s="1401"/>
      <c r="D719" s="1401"/>
      <c r="E719" s="1401"/>
      <c r="F719" s="1402"/>
      <c r="G719" s="1487">
        <v>10</v>
      </c>
      <c r="H719" s="1488"/>
      <c r="I719" s="1488"/>
      <c r="J719" s="1489"/>
      <c r="K719" s="1484">
        <v>724</v>
      </c>
      <c r="L719" s="1485"/>
      <c r="M719" s="1485"/>
      <c r="N719" s="1486"/>
      <c r="O719" s="1478">
        <f>702-6</f>
        <v>696</v>
      </c>
      <c r="P719" s="1479"/>
      <c r="Q719" s="1479"/>
      <c r="R719" s="1479"/>
      <c r="S719" s="1480"/>
      <c r="T719" s="1478">
        <v>6</v>
      </c>
      <c r="U719" s="1479"/>
      <c r="V719" s="1479"/>
      <c r="W719" s="1480"/>
      <c r="X719" s="1499">
        <f t="shared" si="49"/>
        <v>702</v>
      </c>
      <c r="Y719" s="1500"/>
      <c r="Z719" s="1500"/>
      <c r="AA719" s="1500"/>
      <c r="AB719" s="1501"/>
      <c r="AC719" s="1481">
        <v>0.4</v>
      </c>
      <c r="AD719" s="1482"/>
      <c r="AE719" s="1482"/>
      <c r="AF719" s="1482"/>
      <c r="AG719" s="1483"/>
      <c r="AH719" s="1684">
        <f t="shared" si="50"/>
        <v>0.40022805017103763</v>
      </c>
      <c r="AI719" s="1685"/>
      <c r="AJ719" s="1686"/>
      <c r="AK719" s="1400" t="s">
        <v>601</v>
      </c>
      <c r="AL719" s="1401"/>
      <c r="AM719" s="1401"/>
      <c r="AN719" s="1401"/>
      <c r="AO719" s="140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00" t="s">
        <v>164</v>
      </c>
      <c r="C720" s="1401"/>
      <c r="D720" s="1401"/>
      <c r="E720" s="1401"/>
      <c r="F720" s="1402"/>
      <c r="G720" s="1487">
        <v>4</v>
      </c>
      <c r="H720" s="1488"/>
      <c r="I720" s="1488"/>
      <c r="J720" s="1489"/>
      <c r="K720" s="1484">
        <v>724</v>
      </c>
      <c r="L720" s="1485"/>
      <c r="M720" s="1485"/>
      <c r="N720" s="1486"/>
      <c r="O720" s="1478">
        <f>877-6</f>
        <v>871</v>
      </c>
      <c r="P720" s="1479"/>
      <c r="Q720" s="1479"/>
      <c r="R720" s="1479"/>
      <c r="S720" s="1480"/>
      <c r="T720" s="1478">
        <v>6</v>
      </c>
      <c r="U720" s="1479"/>
      <c r="V720" s="1479"/>
      <c r="W720" s="1480"/>
      <c r="X720" s="1499">
        <f t="shared" si="49"/>
        <v>877</v>
      </c>
      <c r="Y720" s="1500"/>
      <c r="Z720" s="1500"/>
      <c r="AA720" s="1500"/>
      <c r="AB720" s="1501"/>
      <c r="AC720" s="1481">
        <v>0.5</v>
      </c>
      <c r="AD720" s="1482"/>
      <c r="AE720" s="1482"/>
      <c r="AF720" s="1482"/>
      <c r="AG720" s="1483"/>
      <c r="AH720" s="1684">
        <f t="shared" si="50"/>
        <v>0.5</v>
      </c>
      <c r="AI720" s="1685"/>
      <c r="AJ720" s="1686"/>
      <c r="AK720" s="1400" t="s">
        <v>601</v>
      </c>
      <c r="AL720" s="1401"/>
      <c r="AM720" s="1401"/>
      <c r="AN720" s="1401"/>
      <c r="AO720" s="140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00" t="s">
        <v>164</v>
      </c>
      <c r="C721" s="1401"/>
      <c r="D721" s="1401"/>
      <c r="E721" s="1401"/>
      <c r="F721" s="1402"/>
      <c r="G721" s="1487">
        <v>1</v>
      </c>
      <c r="H721" s="1488"/>
      <c r="I721" s="1488"/>
      <c r="J721" s="1489"/>
      <c r="K721" s="1484">
        <v>724</v>
      </c>
      <c r="L721" s="1485"/>
      <c r="M721" s="1485"/>
      <c r="N721" s="1486"/>
      <c r="O721" s="1688">
        <f>1053-6</f>
        <v>1047</v>
      </c>
      <c r="P721" s="1479"/>
      <c r="Q721" s="1479"/>
      <c r="R721" s="1479"/>
      <c r="S721" s="1480"/>
      <c r="T721" s="1478">
        <v>6</v>
      </c>
      <c r="U721" s="1479"/>
      <c r="V721" s="1479"/>
      <c r="W721" s="1480"/>
      <c r="X721" s="1499">
        <f t="shared" si="49"/>
        <v>1053</v>
      </c>
      <c r="Y721" s="1500"/>
      <c r="Z721" s="1500"/>
      <c r="AA721" s="1500"/>
      <c r="AB721" s="1501"/>
      <c r="AC721" s="1481">
        <v>0.6</v>
      </c>
      <c r="AD721" s="1482"/>
      <c r="AE721" s="1482"/>
      <c r="AF721" s="1482"/>
      <c r="AG721" s="1483"/>
      <c r="AH721" s="1684">
        <f t="shared" si="50"/>
        <v>0.60034207525655647</v>
      </c>
      <c r="AI721" s="1685"/>
      <c r="AJ721" s="1686"/>
      <c r="AK721" s="1400" t="s">
        <v>601</v>
      </c>
      <c r="AL721" s="1401"/>
      <c r="AM721" s="1401"/>
      <c r="AN721" s="1401"/>
      <c r="AO721" s="140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00" t="s">
        <v>165</v>
      </c>
      <c r="C722" s="1401"/>
      <c r="D722" s="1401"/>
      <c r="E722" s="1401"/>
      <c r="F722" s="1402"/>
      <c r="G722" s="1487">
        <v>7</v>
      </c>
      <c r="H722" s="1488"/>
      <c r="I722" s="1488"/>
      <c r="J722" s="1489"/>
      <c r="K722" s="1484">
        <v>1274</v>
      </c>
      <c r="L722" s="1485"/>
      <c r="M722" s="1485"/>
      <c r="N722" s="1486"/>
      <c r="O722" s="1478">
        <f>607-6</f>
        <v>601</v>
      </c>
      <c r="P722" s="1479"/>
      <c r="Q722" s="1479"/>
      <c r="R722" s="1479"/>
      <c r="S722" s="1480"/>
      <c r="T722" s="1478">
        <v>6</v>
      </c>
      <c r="U722" s="1479"/>
      <c r="V722" s="1479"/>
      <c r="W722" s="1480"/>
      <c r="X722" s="1499">
        <f t="shared" si="49"/>
        <v>607</v>
      </c>
      <c r="Y722" s="1500"/>
      <c r="Z722" s="1500"/>
      <c r="AA722" s="1500"/>
      <c r="AB722" s="1501"/>
      <c r="AC722" s="1481">
        <v>0.3</v>
      </c>
      <c r="AD722" s="1482"/>
      <c r="AE722" s="1482"/>
      <c r="AF722" s="1482"/>
      <c r="AG722" s="1483"/>
      <c r="AH722" s="1684">
        <f t="shared" si="50"/>
        <v>0.29960513326752219</v>
      </c>
      <c r="AI722" s="1685"/>
      <c r="AJ722" s="1686"/>
      <c r="AK722" s="1400" t="s">
        <v>601</v>
      </c>
      <c r="AL722" s="1401"/>
      <c r="AM722" s="1401"/>
      <c r="AN722" s="1401"/>
      <c r="AO722" s="140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00" t="s">
        <v>165</v>
      </c>
      <c r="C723" s="1401"/>
      <c r="D723" s="1401"/>
      <c r="E723" s="1401"/>
      <c r="F723" s="1402"/>
      <c r="G723" s="1487">
        <v>16</v>
      </c>
      <c r="H723" s="1488"/>
      <c r="I723" s="1488"/>
      <c r="J723" s="1489"/>
      <c r="K723" s="1484">
        <v>1274</v>
      </c>
      <c r="L723" s="1485"/>
      <c r="M723" s="1485"/>
      <c r="N723" s="1486"/>
      <c r="O723" s="1478">
        <f>810-6</f>
        <v>804</v>
      </c>
      <c r="P723" s="1479"/>
      <c r="Q723" s="1479"/>
      <c r="R723" s="1479"/>
      <c r="S723" s="1480"/>
      <c r="T723" s="1478">
        <v>6</v>
      </c>
      <c r="U723" s="1479"/>
      <c r="V723" s="1479"/>
      <c r="W723" s="1480"/>
      <c r="X723" s="1499">
        <f t="shared" si="49"/>
        <v>810</v>
      </c>
      <c r="Y723" s="1500"/>
      <c r="Z723" s="1500"/>
      <c r="AA723" s="1500"/>
      <c r="AB723" s="1501"/>
      <c r="AC723" s="1481">
        <v>0.4</v>
      </c>
      <c r="AD723" s="1482"/>
      <c r="AE723" s="1482"/>
      <c r="AF723" s="1482"/>
      <c r="AG723" s="1483"/>
      <c r="AH723" s="1684">
        <f t="shared" si="50"/>
        <v>0.39980256663376113</v>
      </c>
      <c r="AI723" s="1685"/>
      <c r="AJ723" s="1686"/>
      <c r="AK723" s="1400" t="s">
        <v>601</v>
      </c>
      <c r="AL723" s="1401"/>
      <c r="AM723" s="1401"/>
      <c r="AN723" s="1401"/>
      <c r="AO723" s="140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00" t="s">
        <v>165</v>
      </c>
      <c r="C724" s="1401"/>
      <c r="D724" s="1401"/>
      <c r="E724" s="1401"/>
      <c r="F724" s="1402"/>
      <c r="G724" s="1487">
        <v>8</v>
      </c>
      <c r="H724" s="1488"/>
      <c r="I724" s="1488"/>
      <c r="J724" s="1489"/>
      <c r="K724" s="1484">
        <v>1274</v>
      </c>
      <c r="L724" s="1485"/>
      <c r="M724" s="1485"/>
      <c r="N724" s="1486"/>
      <c r="O724" s="1478">
        <f>1013-6</f>
        <v>1007</v>
      </c>
      <c r="P724" s="1479"/>
      <c r="Q724" s="1479"/>
      <c r="R724" s="1479"/>
      <c r="S724" s="1480"/>
      <c r="T724" s="1478">
        <v>6</v>
      </c>
      <c r="U724" s="1479"/>
      <c r="V724" s="1479"/>
      <c r="W724" s="1480"/>
      <c r="X724" s="1499">
        <f t="shared" si="49"/>
        <v>1013</v>
      </c>
      <c r="Y724" s="1500"/>
      <c r="Z724" s="1500"/>
      <c r="AA724" s="1500"/>
      <c r="AB724" s="1501"/>
      <c r="AC724" s="1481">
        <v>0.5</v>
      </c>
      <c r="AD724" s="1482"/>
      <c r="AE724" s="1482"/>
      <c r="AF724" s="1482"/>
      <c r="AG724" s="1483"/>
      <c r="AH724" s="1684">
        <f t="shared" si="50"/>
        <v>0.5</v>
      </c>
      <c r="AI724" s="1685"/>
      <c r="AJ724" s="1686"/>
      <c r="AK724" s="1400" t="s">
        <v>601</v>
      </c>
      <c r="AL724" s="1401"/>
      <c r="AM724" s="1401"/>
      <c r="AN724" s="1401"/>
      <c r="AO724" s="140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00" t="s">
        <v>165</v>
      </c>
      <c r="C725" s="1401"/>
      <c r="D725" s="1401"/>
      <c r="E725" s="1401"/>
      <c r="F725" s="1402"/>
      <c r="G725" s="1487">
        <v>1</v>
      </c>
      <c r="H725" s="1488"/>
      <c r="I725" s="1488"/>
      <c r="J725" s="1489"/>
      <c r="K725" s="1484">
        <v>1274</v>
      </c>
      <c r="L725" s="1485"/>
      <c r="M725" s="1485"/>
      <c r="N725" s="1486"/>
      <c r="O725" s="1478">
        <f>1215-6</f>
        <v>1209</v>
      </c>
      <c r="P725" s="1479"/>
      <c r="Q725" s="1479"/>
      <c r="R725" s="1479"/>
      <c r="S725" s="1480"/>
      <c r="T725" s="1478">
        <v>6</v>
      </c>
      <c r="U725" s="1479"/>
      <c r="V725" s="1479"/>
      <c r="W725" s="1480"/>
      <c r="X725" s="1499">
        <f t="shared" si="49"/>
        <v>1215</v>
      </c>
      <c r="Y725" s="1500"/>
      <c r="Z725" s="1500"/>
      <c r="AA725" s="1500"/>
      <c r="AB725" s="1501"/>
      <c r="AC725" s="1481">
        <v>0.6</v>
      </c>
      <c r="AD725" s="1482"/>
      <c r="AE725" s="1482"/>
      <c r="AF725" s="1482"/>
      <c r="AG725" s="1483"/>
      <c r="AH725" s="1684">
        <f t="shared" si="50"/>
        <v>0.59970384995064163</v>
      </c>
      <c r="AI725" s="1685"/>
      <c r="AJ725" s="1686"/>
      <c r="AK725" s="1400" t="s">
        <v>601</v>
      </c>
      <c r="AL725" s="1401"/>
      <c r="AM725" s="1401"/>
      <c r="AN725" s="1401"/>
      <c r="AO725" s="140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00" t="s">
        <v>166</v>
      </c>
      <c r="C726" s="1401"/>
      <c r="D726" s="1401"/>
      <c r="E726" s="1401"/>
      <c r="F726" s="1402"/>
      <c r="G726" s="1487">
        <v>2</v>
      </c>
      <c r="H726" s="1488"/>
      <c r="I726" s="1488"/>
      <c r="J726" s="1489"/>
      <c r="K726" s="1484">
        <v>1486</v>
      </c>
      <c r="L726" s="1485"/>
      <c r="M726" s="1485"/>
      <c r="N726" s="1486"/>
      <c r="O726" s="1478">
        <f>678-6</f>
        <v>672</v>
      </c>
      <c r="P726" s="1479"/>
      <c r="Q726" s="1479"/>
      <c r="R726" s="1479"/>
      <c r="S726" s="1480"/>
      <c r="T726" s="1478">
        <v>6</v>
      </c>
      <c r="U726" s="1479"/>
      <c r="V726" s="1479"/>
      <c r="W726" s="1480"/>
      <c r="X726" s="1499">
        <f t="shared" si="49"/>
        <v>678</v>
      </c>
      <c r="Y726" s="1500"/>
      <c r="Z726" s="1500"/>
      <c r="AA726" s="1500"/>
      <c r="AB726" s="1501"/>
      <c r="AC726" s="1481">
        <v>0.3</v>
      </c>
      <c r="AD726" s="1482"/>
      <c r="AE726" s="1482"/>
      <c r="AF726" s="1482"/>
      <c r="AG726" s="1483"/>
      <c r="AH726" s="1684">
        <f t="shared" si="50"/>
        <v>0.3</v>
      </c>
      <c r="AI726" s="1685"/>
      <c r="AJ726" s="1686"/>
      <c r="AK726" s="1400" t="s">
        <v>601</v>
      </c>
      <c r="AL726" s="1401"/>
      <c r="AM726" s="1401"/>
      <c r="AN726" s="1401"/>
      <c r="AO726" s="140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400" t="s">
        <v>166</v>
      </c>
      <c r="C727" s="1401"/>
      <c r="D727" s="1401"/>
      <c r="E727" s="1401"/>
      <c r="F727" s="1402"/>
      <c r="G727" s="1487">
        <v>6</v>
      </c>
      <c r="H727" s="1488"/>
      <c r="I727" s="1488"/>
      <c r="J727" s="1489"/>
      <c r="K727" s="1484">
        <v>1486</v>
      </c>
      <c r="L727" s="1485"/>
      <c r="M727" s="1485"/>
      <c r="N727" s="1486"/>
      <c r="O727" s="1478">
        <f>904-6</f>
        <v>898</v>
      </c>
      <c r="P727" s="1479"/>
      <c r="Q727" s="1479"/>
      <c r="R727" s="1479"/>
      <c r="S727" s="1480"/>
      <c r="T727" s="1478">
        <v>6</v>
      </c>
      <c r="U727" s="1479"/>
      <c r="V727" s="1479"/>
      <c r="W727" s="1480"/>
      <c r="X727" s="1499">
        <f t="shared" si="49"/>
        <v>904</v>
      </c>
      <c r="Y727" s="1500"/>
      <c r="Z727" s="1500"/>
      <c r="AA727" s="1500"/>
      <c r="AB727" s="1501"/>
      <c r="AC727" s="1481">
        <v>0.4</v>
      </c>
      <c r="AD727" s="1482"/>
      <c r="AE727" s="1482"/>
      <c r="AF727" s="1482"/>
      <c r="AG727" s="1483"/>
      <c r="AH727" s="1684">
        <f t="shared" si="50"/>
        <v>0.4</v>
      </c>
      <c r="AI727" s="1685"/>
      <c r="AJ727" s="1686"/>
      <c r="AK727" s="1400" t="s">
        <v>601</v>
      </c>
      <c r="AL727" s="1401"/>
      <c r="AM727" s="1401"/>
      <c r="AN727" s="1401"/>
      <c r="AO727" s="140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00" t="s">
        <v>166</v>
      </c>
      <c r="C728" s="1401"/>
      <c r="D728" s="1401"/>
      <c r="E728" s="1401"/>
      <c r="F728" s="1402"/>
      <c r="G728" s="1487">
        <v>1</v>
      </c>
      <c r="H728" s="1488"/>
      <c r="I728" s="1488"/>
      <c r="J728" s="1489"/>
      <c r="K728" s="1484">
        <v>1486</v>
      </c>
      <c r="L728" s="1485"/>
      <c r="M728" s="1485"/>
      <c r="N728" s="1486"/>
      <c r="O728" s="1478">
        <f>1130-6</f>
        <v>1124</v>
      </c>
      <c r="P728" s="1479"/>
      <c r="Q728" s="1479"/>
      <c r="R728" s="1479"/>
      <c r="S728" s="1480"/>
      <c r="T728" s="1478">
        <v>6</v>
      </c>
      <c r="U728" s="1479"/>
      <c r="V728" s="1479"/>
      <c r="W728" s="1480"/>
      <c r="X728" s="1499">
        <f t="shared" si="49"/>
        <v>1130</v>
      </c>
      <c r="Y728" s="1500"/>
      <c r="Z728" s="1500"/>
      <c r="AA728" s="1500"/>
      <c r="AB728" s="1501"/>
      <c r="AC728" s="1481">
        <v>0.5</v>
      </c>
      <c r="AD728" s="1482"/>
      <c r="AE728" s="1482"/>
      <c r="AF728" s="1482"/>
      <c r="AG728" s="1483"/>
      <c r="AH728" s="1684">
        <f t="shared" si="50"/>
        <v>0.5</v>
      </c>
      <c r="AI728" s="1685"/>
      <c r="AJ728" s="1686"/>
      <c r="AK728" s="1400" t="s">
        <v>601</v>
      </c>
      <c r="AL728" s="1401"/>
      <c r="AM728" s="1401"/>
      <c r="AN728" s="1401"/>
      <c r="AO728" s="140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400" t="s">
        <v>166</v>
      </c>
      <c r="C729" s="1401"/>
      <c r="D729" s="1401"/>
      <c r="E729" s="1401"/>
      <c r="F729" s="1402"/>
      <c r="G729" s="1487">
        <v>1</v>
      </c>
      <c r="H729" s="1488"/>
      <c r="I729" s="1488"/>
      <c r="J729" s="1489"/>
      <c r="K729" s="1484">
        <v>1486</v>
      </c>
      <c r="L729" s="1485"/>
      <c r="M729" s="1485"/>
      <c r="N729" s="1486"/>
      <c r="O729" s="1478">
        <f>1356-6</f>
        <v>1350</v>
      </c>
      <c r="P729" s="1479"/>
      <c r="Q729" s="1479"/>
      <c r="R729" s="1479"/>
      <c r="S729" s="1480"/>
      <c r="T729" s="1478">
        <v>6</v>
      </c>
      <c r="U729" s="1479"/>
      <c r="V729" s="1479"/>
      <c r="W729" s="1480"/>
      <c r="X729" s="1499">
        <f t="shared" si="49"/>
        <v>1356</v>
      </c>
      <c r="Y729" s="1500"/>
      <c r="Z729" s="1500"/>
      <c r="AA729" s="1500"/>
      <c r="AB729" s="1501"/>
      <c r="AC729" s="1481">
        <v>0.6</v>
      </c>
      <c r="AD729" s="1482"/>
      <c r="AE729" s="1482"/>
      <c r="AF729" s="1482"/>
      <c r="AG729" s="1483"/>
      <c r="AH729" s="1684">
        <f t="shared" si="50"/>
        <v>0.6</v>
      </c>
      <c r="AI729" s="1685"/>
      <c r="AJ729" s="1686"/>
      <c r="AK729" s="1400" t="s">
        <v>601</v>
      </c>
      <c r="AL729" s="1401"/>
      <c r="AM729" s="1401"/>
      <c r="AN729" s="1401"/>
      <c r="AO729" s="140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00"/>
      <c r="C730" s="1401"/>
      <c r="D730" s="1401"/>
      <c r="E730" s="1401"/>
      <c r="F730" s="1402"/>
      <c r="G730" s="1487"/>
      <c r="H730" s="1488"/>
      <c r="I730" s="1488"/>
      <c r="J730" s="1489"/>
      <c r="K730" s="1484"/>
      <c r="L730" s="1485"/>
      <c r="M730" s="1485"/>
      <c r="N730" s="1486"/>
      <c r="O730" s="1478"/>
      <c r="P730" s="1479"/>
      <c r="Q730" s="1479"/>
      <c r="R730" s="1479"/>
      <c r="S730" s="1480"/>
      <c r="T730" s="1478"/>
      <c r="U730" s="1479"/>
      <c r="V730" s="1479"/>
      <c r="W730" s="1480"/>
      <c r="X730" s="1499">
        <f t="shared" si="49"/>
        <v>0</v>
      </c>
      <c r="Y730" s="1500"/>
      <c r="Z730" s="1500"/>
      <c r="AA730" s="1500"/>
      <c r="AB730" s="1501"/>
      <c r="AC730" s="1481">
        <v>0</v>
      </c>
      <c r="AD730" s="1482"/>
      <c r="AE730" s="1482"/>
      <c r="AF730" s="1482"/>
      <c r="AG730" s="1483"/>
      <c r="AH730" s="1684" t="str">
        <f t="shared" si="50"/>
        <v xml:space="preserve"> </v>
      </c>
      <c r="AI730" s="1685"/>
      <c r="AJ730" s="1686"/>
      <c r="AK730" s="1400" t="s">
        <v>601</v>
      </c>
      <c r="AL730" s="1401"/>
      <c r="AM730" s="1401"/>
      <c r="AN730" s="1401"/>
      <c r="AO730" s="140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00"/>
      <c r="C731" s="1401"/>
      <c r="D731" s="1401"/>
      <c r="E731" s="1401"/>
      <c r="F731" s="1402"/>
      <c r="G731" s="1487"/>
      <c r="H731" s="1488"/>
      <c r="I731" s="1488"/>
      <c r="J731" s="1489"/>
      <c r="K731" s="1484"/>
      <c r="L731" s="1485"/>
      <c r="M731" s="1485"/>
      <c r="N731" s="1486"/>
      <c r="O731" s="1478"/>
      <c r="P731" s="1479"/>
      <c r="Q731" s="1479"/>
      <c r="R731" s="1479"/>
      <c r="S731" s="1480"/>
      <c r="T731" s="1478"/>
      <c r="U731" s="1479"/>
      <c r="V731" s="1479"/>
      <c r="W731" s="1480"/>
      <c r="X731" s="1499">
        <f t="shared" si="49"/>
        <v>0</v>
      </c>
      <c r="Y731" s="1500"/>
      <c r="Z731" s="1500"/>
      <c r="AA731" s="1500"/>
      <c r="AB731" s="1501"/>
      <c r="AC731" s="1481">
        <v>0</v>
      </c>
      <c r="AD731" s="1482"/>
      <c r="AE731" s="1482"/>
      <c r="AF731" s="1482"/>
      <c r="AG731" s="1483"/>
      <c r="AH731" s="1684" t="str">
        <f t="shared" si="50"/>
        <v xml:space="preserve"> </v>
      </c>
      <c r="AI731" s="1685"/>
      <c r="AJ731" s="1686"/>
      <c r="AK731" s="1400" t="s">
        <v>601</v>
      </c>
      <c r="AL731" s="1401"/>
      <c r="AM731" s="1401"/>
      <c r="AN731" s="1401"/>
      <c r="AO731" s="140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400"/>
      <c r="C732" s="1401"/>
      <c r="D732" s="1401"/>
      <c r="E732" s="1401"/>
      <c r="F732" s="1402"/>
      <c r="G732" s="1487"/>
      <c r="H732" s="1488"/>
      <c r="I732" s="1488"/>
      <c r="J732" s="1489"/>
      <c r="K732" s="1484"/>
      <c r="L732" s="1485"/>
      <c r="M732" s="1485"/>
      <c r="N732" s="1486"/>
      <c r="O732" s="1478"/>
      <c r="P732" s="1479"/>
      <c r="Q732" s="1479"/>
      <c r="R732" s="1479"/>
      <c r="S732" s="1480"/>
      <c r="T732" s="1478"/>
      <c r="U732" s="1479"/>
      <c r="V732" s="1479"/>
      <c r="W732" s="1480"/>
      <c r="X732" s="1499">
        <f t="shared" si="49"/>
        <v>0</v>
      </c>
      <c r="Y732" s="1500"/>
      <c r="Z732" s="1500"/>
      <c r="AA732" s="1500"/>
      <c r="AB732" s="1501"/>
      <c r="AC732" s="1481">
        <v>0</v>
      </c>
      <c r="AD732" s="1482"/>
      <c r="AE732" s="1482"/>
      <c r="AF732" s="1482"/>
      <c r="AG732" s="1483"/>
      <c r="AH732" s="1684" t="str">
        <f t="shared" si="50"/>
        <v xml:space="preserve"> </v>
      </c>
      <c r="AI732" s="1685"/>
      <c r="AJ732" s="1686"/>
      <c r="AK732" s="1400" t="s">
        <v>601</v>
      </c>
      <c r="AL732" s="1401"/>
      <c r="AM732" s="1401"/>
      <c r="AN732" s="1401"/>
      <c r="AO732" s="140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400"/>
      <c r="C733" s="1401"/>
      <c r="D733" s="1401"/>
      <c r="E733" s="1401"/>
      <c r="F733" s="1402"/>
      <c r="G733" s="1487"/>
      <c r="H733" s="1488"/>
      <c r="I733" s="1488"/>
      <c r="J733" s="1489"/>
      <c r="K733" s="1484"/>
      <c r="L733" s="1485"/>
      <c r="M733" s="1485"/>
      <c r="N733" s="1486"/>
      <c r="O733" s="1478"/>
      <c r="P733" s="1479"/>
      <c r="Q733" s="1479"/>
      <c r="R733" s="1479"/>
      <c r="S733" s="1480"/>
      <c r="T733" s="1478"/>
      <c r="U733" s="1479"/>
      <c r="V733" s="1479"/>
      <c r="W733" s="1480"/>
      <c r="X733" s="1499">
        <f t="shared" si="49"/>
        <v>0</v>
      </c>
      <c r="Y733" s="1500"/>
      <c r="Z733" s="1500"/>
      <c r="AA733" s="1500"/>
      <c r="AB733" s="1501"/>
      <c r="AC733" s="1481">
        <v>0</v>
      </c>
      <c r="AD733" s="1482"/>
      <c r="AE733" s="1482"/>
      <c r="AF733" s="1482"/>
      <c r="AG733" s="1483"/>
      <c r="AH733" s="1684" t="str">
        <f t="shared" si="50"/>
        <v xml:space="preserve"> </v>
      </c>
      <c r="AI733" s="1685"/>
      <c r="AJ733" s="1686"/>
      <c r="AK733" s="1400" t="s">
        <v>601</v>
      </c>
      <c r="AL733" s="1401"/>
      <c r="AM733" s="1401"/>
      <c r="AN733" s="1401"/>
      <c r="AO733" s="140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400"/>
      <c r="C734" s="1401"/>
      <c r="D734" s="1401"/>
      <c r="E734" s="1401"/>
      <c r="F734" s="1402"/>
      <c r="G734" s="1487"/>
      <c r="H734" s="1488"/>
      <c r="I734" s="1488"/>
      <c r="J734" s="1489"/>
      <c r="K734" s="1484"/>
      <c r="L734" s="1485"/>
      <c r="M734" s="1485"/>
      <c r="N734" s="1486"/>
      <c r="O734" s="1478"/>
      <c r="P734" s="1479"/>
      <c r="Q734" s="1479"/>
      <c r="R734" s="1479"/>
      <c r="S734" s="1480"/>
      <c r="T734" s="1478"/>
      <c r="U734" s="1479"/>
      <c r="V734" s="1479"/>
      <c r="W734" s="1480"/>
      <c r="X734" s="1499">
        <f t="shared" si="49"/>
        <v>0</v>
      </c>
      <c r="Y734" s="1500"/>
      <c r="Z734" s="1500"/>
      <c r="AA734" s="1500"/>
      <c r="AB734" s="1501"/>
      <c r="AC734" s="1481">
        <v>0</v>
      </c>
      <c r="AD734" s="1482"/>
      <c r="AE734" s="1482"/>
      <c r="AF734" s="1482"/>
      <c r="AG734" s="1483"/>
      <c r="AH734" s="1684" t="str">
        <f t="shared" si="50"/>
        <v xml:space="preserve"> </v>
      </c>
      <c r="AI734" s="1685"/>
      <c r="AJ734" s="1686"/>
      <c r="AK734" s="1400" t="s">
        <v>601</v>
      </c>
      <c r="AL734" s="1401"/>
      <c r="AM734" s="1401"/>
      <c r="AN734" s="1401"/>
      <c r="AO734" s="140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400"/>
      <c r="C735" s="1401"/>
      <c r="D735" s="1401"/>
      <c r="E735" s="1401"/>
      <c r="F735" s="1402"/>
      <c r="G735" s="1487"/>
      <c r="H735" s="1488"/>
      <c r="I735" s="1488"/>
      <c r="J735" s="1489"/>
      <c r="K735" s="1484"/>
      <c r="L735" s="1485"/>
      <c r="M735" s="1485"/>
      <c r="N735" s="1486"/>
      <c r="O735" s="1478"/>
      <c r="P735" s="1479"/>
      <c r="Q735" s="1479"/>
      <c r="R735" s="1479"/>
      <c r="S735" s="1480"/>
      <c r="T735" s="1478"/>
      <c r="U735" s="1479"/>
      <c r="V735" s="1479"/>
      <c r="W735" s="1480"/>
      <c r="X735" s="1499">
        <f t="shared" si="49"/>
        <v>0</v>
      </c>
      <c r="Y735" s="1500"/>
      <c r="Z735" s="1500"/>
      <c r="AA735" s="1500"/>
      <c r="AB735" s="1501"/>
      <c r="AC735" s="1481">
        <v>0</v>
      </c>
      <c r="AD735" s="1482"/>
      <c r="AE735" s="1482"/>
      <c r="AF735" s="1482"/>
      <c r="AG735" s="1483"/>
      <c r="AH735" s="1684" t="str">
        <f t="shared" si="50"/>
        <v xml:space="preserve"> </v>
      </c>
      <c r="AI735" s="1685"/>
      <c r="AJ735" s="1686"/>
      <c r="AK735" s="1400" t="s">
        <v>601</v>
      </c>
      <c r="AL735" s="1401"/>
      <c r="AM735" s="1401"/>
      <c r="AN735" s="1401"/>
      <c r="AO735" s="140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400"/>
      <c r="C736" s="1401"/>
      <c r="D736" s="1401"/>
      <c r="E736" s="1401"/>
      <c r="F736" s="1402"/>
      <c r="G736" s="1487"/>
      <c r="H736" s="1488"/>
      <c r="I736" s="1488"/>
      <c r="J736" s="1489"/>
      <c r="K736" s="1484"/>
      <c r="L736" s="1485"/>
      <c r="M736" s="1485"/>
      <c r="N736" s="1486"/>
      <c r="O736" s="1478"/>
      <c r="P736" s="1479"/>
      <c r="Q736" s="1479"/>
      <c r="R736" s="1479"/>
      <c r="S736" s="1480"/>
      <c r="T736" s="1478"/>
      <c r="U736" s="1479"/>
      <c r="V736" s="1479"/>
      <c r="W736" s="1480"/>
      <c r="X736" s="1499">
        <f t="shared" si="49"/>
        <v>0</v>
      </c>
      <c r="Y736" s="1500"/>
      <c r="Z736" s="1500"/>
      <c r="AA736" s="1500"/>
      <c r="AB736" s="1501"/>
      <c r="AC736" s="1481">
        <v>0</v>
      </c>
      <c r="AD736" s="1482"/>
      <c r="AE736" s="1482"/>
      <c r="AF736" s="1482"/>
      <c r="AG736" s="1483"/>
      <c r="AH736" s="1684" t="str">
        <f t="shared" si="50"/>
        <v xml:space="preserve"> </v>
      </c>
      <c r="AI736" s="1685"/>
      <c r="AJ736" s="1686"/>
      <c r="AK736" s="1400" t="s">
        <v>601</v>
      </c>
      <c r="AL736" s="1401"/>
      <c r="AM736" s="1401"/>
      <c r="AN736" s="1401"/>
      <c r="AO736" s="140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00"/>
      <c r="C737" s="1401"/>
      <c r="D737" s="1401"/>
      <c r="E737" s="1401"/>
      <c r="F737" s="1402"/>
      <c r="G737" s="1487"/>
      <c r="H737" s="1488"/>
      <c r="I737" s="1488"/>
      <c r="J737" s="1489"/>
      <c r="K737" s="1484"/>
      <c r="L737" s="1485"/>
      <c r="M737" s="1485"/>
      <c r="N737" s="1486"/>
      <c r="O737" s="1478"/>
      <c r="P737" s="1479"/>
      <c r="Q737" s="1479"/>
      <c r="R737" s="1479"/>
      <c r="S737" s="1480"/>
      <c r="T737" s="1478"/>
      <c r="U737" s="1479"/>
      <c r="V737" s="1479"/>
      <c r="W737" s="1480"/>
      <c r="X737" s="1499">
        <f t="shared" si="49"/>
        <v>0</v>
      </c>
      <c r="Y737" s="1500"/>
      <c r="Z737" s="1500"/>
      <c r="AA737" s="1500"/>
      <c r="AB737" s="1501"/>
      <c r="AC737" s="1481">
        <v>0</v>
      </c>
      <c r="AD737" s="1482"/>
      <c r="AE737" s="1482"/>
      <c r="AF737" s="1482"/>
      <c r="AG737" s="1483"/>
      <c r="AH737" s="1684" t="str">
        <f t="shared" si="50"/>
        <v xml:space="preserve"> </v>
      </c>
      <c r="AI737" s="1685"/>
      <c r="AJ737" s="1686"/>
      <c r="AK737" s="1400" t="s">
        <v>601</v>
      </c>
      <c r="AL737" s="1401"/>
      <c r="AM737" s="1401"/>
      <c r="AN737" s="1401"/>
      <c r="AO737" s="140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00"/>
      <c r="C738" s="1401"/>
      <c r="D738" s="1401"/>
      <c r="E738" s="1401"/>
      <c r="F738" s="1402"/>
      <c r="G738" s="1487"/>
      <c r="H738" s="1488"/>
      <c r="I738" s="1488"/>
      <c r="J738" s="1489"/>
      <c r="K738" s="1484"/>
      <c r="L738" s="1485"/>
      <c r="M738" s="1485"/>
      <c r="N738" s="1486"/>
      <c r="O738" s="1478"/>
      <c r="P738" s="1479"/>
      <c r="Q738" s="1479"/>
      <c r="R738" s="1479"/>
      <c r="S738" s="1480"/>
      <c r="T738" s="1478"/>
      <c r="U738" s="1479"/>
      <c r="V738" s="1479"/>
      <c r="W738" s="1480"/>
      <c r="X738" s="1499">
        <f t="shared" si="49"/>
        <v>0</v>
      </c>
      <c r="Y738" s="1500"/>
      <c r="Z738" s="1500"/>
      <c r="AA738" s="1500"/>
      <c r="AB738" s="1501"/>
      <c r="AC738" s="1481">
        <v>0</v>
      </c>
      <c r="AD738" s="1482"/>
      <c r="AE738" s="1482"/>
      <c r="AF738" s="1482"/>
      <c r="AG738" s="1483"/>
      <c r="AH738" s="1684" t="str">
        <f t="shared" si="50"/>
        <v xml:space="preserve"> </v>
      </c>
      <c r="AI738" s="1685"/>
      <c r="AJ738" s="1686"/>
      <c r="AK738" s="1400" t="s">
        <v>601</v>
      </c>
      <c r="AL738" s="1401"/>
      <c r="AM738" s="1401"/>
      <c r="AN738" s="1401"/>
      <c r="AO738" s="140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2" t="s">
        <v>126</v>
      </c>
      <c r="C739" s="1523"/>
      <c r="D739" s="1523"/>
      <c r="E739" s="1523"/>
      <c r="F739" s="1525"/>
      <c r="G739" s="1762">
        <f>SUM(G714:J738)</f>
        <v>74</v>
      </c>
      <c r="H739" s="1763"/>
      <c r="I739" s="1763"/>
      <c r="J739" s="1764"/>
      <c r="K739" s="939" t="s">
        <v>125</v>
      </c>
      <c r="L739" s="5"/>
      <c r="M739" s="5"/>
      <c r="N739" s="46"/>
      <c r="O739" s="1499">
        <f>SUMPRODUCT(G714:G738,O714:O738)</f>
        <v>56342</v>
      </c>
      <c r="P739" s="1500"/>
      <c r="Q739" s="1500"/>
      <c r="R739" s="1500"/>
      <c r="S739" s="1501"/>
      <c r="X739" s="941" t="s">
        <v>934</v>
      </c>
      <c r="Y739" s="940"/>
      <c r="Z739" s="940"/>
      <c r="AA739" s="940"/>
      <c r="AB739" s="942"/>
      <c r="AC739" s="1695">
        <f>BI682</f>
        <v>0.40135135135135136</v>
      </c>
      <c r="AD739" s="1696"/>
      <c r="AE739" s="1696"/>
      <c r="AF739" s="1696"/>
      <c r="AG739" s="1697"/>
      <c r="AH739" s="1695">
        <f>BI714</f>
        <v>0.40127594064623617</v>
      </c>
      <c r="AI739" s="1696"/>
      <c r="AJ739" s="169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2" t="s">
        <v>2258</v>
      </c>
      <c r="C740" s="1502"/>
      <c r="D740" s="1502"/>
      <c r="E740" s="1502"/>
      <c r="F740" s="1502"/>
      <c r="G740" s="1502"/>
      <c r="H740" s="1502"/>
      <c r="I740" s="1502"/>
      <c r="J740" s="1502"/>
      <c r="K740" s="1502"/>
      <c r="L740" s="1502"/>
      <c r="M740" s="1502"/>
      <c r="N740" s="1502"/>
      <c r="O740" s="1502"/>
      <c r="P740" s="1502"/>
      <c r="Q740" s="1502"/>
      <c r="R740" s="1502"/>
      <c r="S740" s="1502"/>
      <c r="T740" s="1502"/>
      <c r="U740" s="1502"/>
      <c r="V740" s="1502"/>
      <c r="W740" s="1502"/>
      <c r="X740" s="1502"/>
      <c r="Y740" s="1502"/>
      <c r="Z740" s="1502"/>
      <c r="AA740" s="1502"/>
      <c r="AB740" s="1502"/>
      <c r="AC740" s="1502"/>
      <c r="AD740" s="1502"/>
      <c r="AE740" s="1502"/>
      <c r="AF740" s="1502"/>
      <c r="AG740" s="1502"/>
      <c r="AH740" s="150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2"/>
      <c r="C741" s="1502"/>
      <c r="D741" s="1502"/>
      <c r="E741" s="1502"/>
      <c r="F741" s="1502"/>
      <c r="G741" s="1502"/>
      <c r="H741" s="1502"/>
      <c r="I741" s="1502"/>
      <c r="J741" s="1502"/>
      <c r="K741" s="1502"/>
      <c r="L741" s="1502"/>
      <c r="M741" s="1502"/>
      <c r="N741" s="1502"/>
      <c r="O741" s="1502"/>
      <c r="P741" s="1502"/>
      <c r="Q741" s="1502"/>
      <c r="R741" s="1502"/>
      <c r="S741" s="1502"/>
      <c r="T741" s="1502"/>
      <c r="U741" s="1502"/>
      <c r="V741" s="1502"/>
      <c r="W741" s="1502"/>
      <c r="X741" s="1502"/>
      <c r="Y741" s="1502"/>
      <c r="Z741" s="1502"/>
      <c r="AA741" s="1502"/>
      <c r="AB741" s="1502"/>
      <c r="AC741" s="1502"/>
      <c r="AD741" s="1502"/>
      <c r="AE741" s="1502"/>
      <c r="AF741" s="1502"/>
      <c r="AG741" s="1502"/>
      <c r="AH741" s="150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98">
        <f>CS623</f>
        <v>192</v>
      </c>
      <c r="P742" s="1698"/>
      <c r="Q742" s="1698"/>
      <c r="R742" s="1698"/>
      <c r="S742" s="1006"/>
      <c r="T742" s="1006"/>
      <c r="U742" s="118" t="s">
        <v>2257</v>
      </c>
      <c r="V742" s="1076"/>
      <c r="W742" s="1076"/>
      <c r="X742" s="1076"/>
      <c r="Y742" s="1077"/>
      <c r="Z742" s="1077"/>
      <c r="AA742" s="1077"/>
      <c r="AB742" s="1077"/>
      <c r="AC742" s="1076"/>
      <c r="AD742" s="1076"/>
      <c r="AE742" s="1076"/>
      <c r="AF742" s="1076"/>
      <c r="AG742" s="1699"/>
      <c r="AH742" s="1699"/>
      <c r="AI742" s="1699"/>
      <c r="AJ742" s="1699"/>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61" t="s">
        <v>601</v>
      </c>
      <c r="AE744" s="1761"/>
      <c r="AF744" s="176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90" t="s">
        <v>391</v>
      </c>
      <c r="K754" s="1491"/>
      <c r="L754" s="1491"/>
      <c r="M754" s="1491"/>
      <c r="N754" s="1492"/>
      <c r="O754" s="1694" t="s">
        <v>287</v>
      </c>
      <c r="P754" s="1694"/>
      <c r="Q754" s="1694"/>
      <c r="R754" s="1694"/>
      <c r="S754" s="1694"/>
      <c r="T754" s="1503" t="s">
        <v>1939</v>
      </c>
      <c r="U754" s="1504"/>
      <c r="V754" s="1504"/>
      <c r="W754" s="1505"/>
      <c r="X754" s="1490" t="s">
        <v>457</v>
      </c>
      <c r="Y754" s="1491"/>
      <c r="Z754" s="1491"/>
      <c r="AA754" s="1491"/>
      <c r="AB754" s="1492"/>
      <c r="AC754" s="1490" t="s">
        <v>288</v>
      </c>
      <c r="AD754" s="1491"/>
      <c r="AE754" s="1491"/>
      <c r="AF754" s="1491"/>
      <c r="AG754" s="149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3"/>
      <c r="K755" s="1494"/>
      <c r="L755" s="1494"/>
      <c r="M755" s="1494"/>
      <c r="N755" s="1495"/>
      <c r="O755" s="1694"/>
      <c r="P755" s="1694"/>
      <c r="Q755" s="1694"/>
      <c r="R755" s="1694"/>
      <c r="S755" s="1694"/>
      <c r="T755" s="1506"/>
      <c r="U755" s="1507"/>
      <c r="V755" s="1507"/>
      <c r="W755" s="1508"/>
      <c r="X755" s="1493"/>
      <c r="Y755" s="1494"/>
      <c r="Z755" s="1494"/>
      <c r="AA755" s="1494"/>
      <c r="AB755" s="1495"/>
      <c r="AC755" s="1493"/>
      <c r="AD755" s="1494"/>
      <c r="AE755" s="1494"/>
      <c r="AF755" s="1494"/>
      <c r="AG755" s="149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3"/>
      <c r="K756" s="1494"/>
      <c r="L756" s="1494"/>
      <c r="M756" s="1494"/>
      <c r="N756" s="1495"/>
      <c r="O756" s="1694"/>
      <c r="P756" s="1694"/>
      <c r="Q756" s="1694"/>
      <c r="R756" s="1694"/>
      <c r="S756" s="1694"/>
      <c r="T756" s="1506"/>
      <c r="U756" s="1507"/>
      <c r="V756" s="1507"/>
      <c r="W756" s="1508"/>
      <c r="X756" s="1493"/>
      <c r="Y756" s="1494"/>
      <c r="Z756" s="1494"/>
      <c r="AA756" s="1494"/>
      <c r="AB756" s="1495"/>
      <c r="AC756" s="1493"/>
      <c r="AD756" s="1494"/>
      <c r="AE756" s="1494"/>
      <c r="AF756" s="1494"/>
      <c r="AG756" s="149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6"/>
      <c r="K757" s="1497"/>
      <c r="L757" s="1497"/>
      <c r="M757" s="1497"/>
      <c r="N757" s="1498"/>
      <c r="O757" s="1694"/>
      <c r="P757" s="1694"/>
      <c r="Q757" s="1694"/>
      <c r="R757" s="1694"/>
      <c r="S757" s="1694"/>
      <c r="T757" s="1509"/>
      <c r="U757" s="1510"/>
      <c r="V757" s="1510"/>
      <c r="W757" s="1511"/>
      <c r="X757" s="1496"/>
      <c r="Y757" s="1497"/>
      <c r="Z757" s="1497"/>
      <c r="AA757" s="1497"/>
      <c r="AB757" s="1498"/>
      <c r="AC757" s="1496"/>
      <c r="AD757" s="1497"/>
      <c r="AE757" s="1497"/>
      <c r="AF757" s="1497"/>
      <c r="AG757" s="149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400" t="s">
        <v>165</v>
      </c>
      <c r="K758" s="1401"/>
      <c r="L758" s="1401"/>
      <c r="M758" s="1401"/>
      <c r="N758" s="1402"/>
      <c r="O758" s="1396">
        <v>1</v>
      </c>
      <c r="P758" s="1396"/>
      <c r="Q758" s="1396"/>
      <c r="R758" s="1396"/>
      <c r="S758" s="1396"/>
      <c r="T758" s="1484">
        <v>1274</v>
      </c>
      <c r="U758" s="1485"/>
      <c r="V758" s="1485"/>
      <c r="W758" s="1486"/>
      <c r="X758" s="1478"/>
      <c r="Y758" s="1479"/>
      <c r="Z758" s="1479"/>
      <c r="AA758" s="1479"/>
      <c r="AB758" s="1480"/>
      <c r="AC758" s="1499">
        <f>X758*O758</f>
        <v>0</v>
      </c>
      <c r="AD758" s="1500"/>
      <c r="AE758" s="1500"/>
      <c r="AF758" s="1500"/>
      <c r="AG758" s="1501"/>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400"/>
      <c r="K759" s="1401"/>
      <c r="L759" s="1401"/>
      <c r="M759" s="1401"/>
      <c r="N759" s="1402"/>
      <c r="O759" s="1396"/>
      <c r="P759" s="1396"/>
      <c r="Q759" s="1396"/>
      <c r="R759" s="1396"/>
      <c r="S759" s="1396"/>
      <c r="T759" s="1484"/>
      <c r="U759" s="1485"/>
      <c r="V759" s="1485"/>
      <c r="W759" s="1486"/>
      <c r="X759" s="1478"/>
      <c r="Y759" s="1479"/>
      <c r="Z759" s="1479"/>
      <c r="AA759" s="1479"/>
      <c r="AB759" s="1480"/>
      <c r="AC759" s="1499">
        <f>X759*O759</f>
        <v>0</v>
      </c>
      <c r="AD759" s="1500"/>
      <c r="AE759" s="1500"/>
      <c r="AF759" s="1500"/>
      <c r="AG759" s="1501"/>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400"/>
      <c r="K760" s="1401"/>
      <c r="L760" s="1401"/>
      <c r="M760" s="1401"/>
      <c r="N760" s="1402"/>
      <c r="O760" s="1396"/>
      <c r="P760" s="1396"/>
      <c r="Q760" s="1396"/>
      <c r="R760" s="1396"/>
      <c r="S760" s="1396"/>
      <c r="T760" s="1484"/>
      <c r="U760" s="1485"/>
      <c r="V760" s="1485"/>
      <c r="W760" s="1486"/>
      <c r="X760" s="1478"/>
      <c r="Y760" s="1479"/>
      <c r="Z760" s="1479"/>
      <c r="AA760" s="1479"/>
      <c r="AB760" s="1480"/>
      <c r="AC760" s="1499">
        <f>X760*O760</f>
        <v>0</v>
      </c>
      <c r="AD760" s="1500"/>
      <c r="AE760" s="1500"/>
      <c r="AF760" s="1500"/>
      <c r="AG760" s="1501"/>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400"/>
      <c r="K761" s="1401"/>
      <c r="L761" s="1401"/>
      <c r="M761" s="1401"/>
      <c r="N761" s="1402"/>
      <c r="O761" s="1396"/>
      <c r="P761" s="1396"/>
      <c r="Q761" s="1396"/>
      <c r="R761" s="1396"/>
      <c r="S761" s="1396"/>
      <c r="T761" s="1484"/>
      <c r="U761" s="1485"/>
      <c r="V761" s="1485"/>
      <c r="W761" s="1486"/>
      <c r="X761" s="1478"/>
      <c r="Y761" s="1479"/>
      <c r="Z761" s="1479"/>
      <c r="AA761" s="1479"/>
      <c r="AB761" s="1480"/>
      <c r="AC761" s="1499">
        <f>X761*O761</f>
        <v>0</v>
      </c>
      <c r="AD761" s="1500"/>
      <c r="AE761" s="1500"/>
      <c r="AF761" s="1500"/>
      <c r="AG761" s="1501"/>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2" t="s">
        <v>126</v>
      </c>
      <c r="K762" s="1523"/>
      <c r="L762" s="1523"/>
      <c r="M762" s="1523"/>
      <c r="N762" s="1525"/>
      <c r="O762" s="1473">
        <f>SUM(O758:S761)</f>
        <v>1</v>
      </c>
      <c r="P762" s="1512"/>
      <c r="Q762" s="1512"/>
      <c r="R762" s="1512"/>
      <c r="S762" s="1474"/>
      <c r="X762" s="1522" t="s">
        <v>125</v>
      </c>
      <c r="Y762" s="1523"/>
      <c r="Z762" s="1523"/>
      <c r="AA762" s="1523"/>
      <c r="AB762" s="1525"/>
      <c r="AC762" s="1499">
        <f>SUM(AC758:AG761)</f>
        <v>0</v>
      </c>
      <c r="AD762" s="1500"/>
      <c r="AE762" s="1500"/>
      <c r="AF762" s="1500"/>
      <c r="AG762" s="1501"/>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1" t="s">
        <v>679</v>
      </c>
      <c r="K764" s="1371"/>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90" t="s">
        <v>391</v>
      </c>
      <c r="K768" s="1491"/>
      <c r="L768" s="1491"/>
      <c r="M768" s="1491"/>
      <c r="N768" s="1492"/>
      <c r="O768" s="1694" t="s">
        <v>287</v>
      </c>
      <c r="P768" s="1694"/>
      <c r="Q768" s="1694"/>
      <c r="R768" s="1694"/>
      <c r="S768" s="1694"/>
      <c r="T768" s="1503" t="s">
        <v>1939</v>
      </c>
      <c r="U768" s="1504"/>
      <c r="V768" s="1504"/>
      <c r="W768" s="1505"/>
      <c r="X768" s="1490" t="s">
        <v>457</v>
      </c>
      <c r="Y768" s="1491"/>
      <c r="Z768" s="1491"/>
      <c r="AA768" s="1491"/>
      <c r="AB768" s="1492"/>
      <c r="AC768" s="1490" t="s">
        <v>288</v>
      </c>
      <c r="AD768" s="1491"/>
      <c r="AE768" s="1491"/>
      <c r="AF768" s="1491"/>
      <c r="AG768" s="1492"/>
      <c r="AH768" s="1612" t="s">
        <v>2132</v>
      </c>
      <c r="AI768" s="1613"/>
      <c r="AJ768" s="1613"/>
      <c r="AK768" s="1613"/>
      <c r="AL768" s="161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3"/>
      <c r="K769" s="1494"/>
      <c r="L769" s="1494"/>
      <c r="M769" s="1494"/>
      <c r="N769" s="1495"/>
      <c r="O769" s="1694"/>
      <c r="P769" s="1694"/>
      <c r="Q769" s="1694"/>
      <c r="R769" s="1694"/>
      <c r="S769" s="1694"/>
      <c r="T769" s="1506"/>
      <c r="U769" s="1507"/>
      <c r="V769" s="1507"/>
      <c r="W769" s="1508"/>
      <c r="X769" s="1493"/>
      <c r="Y769" s="1494"/>
      <c r="Z769" s="1494"/>
      <c r="AA769" s="1494"/>
      <c r="AB769" s="1495"/>
      <c r="AC769" s="1493"/>
      <c r="AD769" s="1494"/>
      <c r="AE769" s="1494"/>
      <c r="AF769" s="1494"/>
      <c r="AG769" s="1495"/>
      <c r="AH769" s="1612"/>
      <c r="AI769" s="1613"/>
      <c r="AJ769" s="1613"/>
      <c r="AK769" s="1613"/>
      <c r="AL769" s="161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3"/>
      <c r="K770" s="1494"/>
      <c r="L770" s="1494"/>
      <c r="M770" s="1494"/>
      <c r="N770" s="1495"/>
      <c r="O770" s="1694"/>
      <c r="P770" s="1694"/>
      <c r="Q770" s="1694"/>
      <c r="R770" s="1694"/>
      <c r="S770" s="1694"/>
      <c r="T770" s="1506"/>
      <c r="U770" s="1507"/>
      <c r="V770" s="1507"/>
      <c r="W770" s="1508"/>
      <c r="X770" s="1493"/>
      <c r="Y770" s="1494"/>
      <c r="Z770" s="1494"/>
      <c r="AA770" s="1494"/>
      <c r="AB770" s="1495"/>
      <c r="AC770" s="1493"/>
      <c r="AD770" s="1494"/>
      <c r="AE770" s="1494"/>
      <c r="AF770" s="1494"/>
      <c r="AG770" s="1495"/>
      <c r="AH770" s="1612"/>
      <c r="AI770" s="1613"/>
      <c r="AJ770" s="1613"/>
      <c r="AK770" s="1613"/>
      <c r="AL770" s="161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6"/>
      <c r="K771" s="1497"/>
      <c r="L771" s="1497"/>
      <c r="M771" s="1497"/>
      <c r="N771" s="1498"/>
      <c r="O771" s="1694"/>
      <c r="P771" s="1694"/>
      <c r="Q771" s="1694"/>
      <c r="R771" s="1694"/>
      <c r="S771" s="1694"/>
      <c r="T771" s="1509"/>
      <c r="U771" s="1510"/>
      <c r="V771" s="1510"/>
      <c r="W771" s="1511"/>
      <c r="X771" s="1496"/>
      <c r="Y771" s="1497"/>
      <c r="Z771" s="1497"/>
      <c r="AA771" s="1497"/>
      <c r="AB771" s="1498"/>
      <c r="AC771" s="1496"/>
      <c r="AD771" s="1497"/>
      <c r="AE771" s="1497"/>
      <c r="AF771" s="1497"/>
      <c r="AG771" s="1498"/>
      <c r="AH771" s="1612"/>
      <c r="AI771" s="1613"/>
      <c r="AJ771" s="1613"/>
      <c r="AK771" s="1613"/>
      <c r="AL771" s="161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400"/>
      <c r="K772" s="1401"/>
      <c r="L772" s="1401"/>
      <c r="M772" s="1401"/>
      <c r="N772" s="1402"/>
      <c r="O772" s="1396"/>
      <c r="P772" s="1396"/>
      <c r="Q772" s="1396"/>
      <c r="R772" s="1396"/>
      <c r="S772" s="1396"/>
      <c r="T772" s="1484"/>
      <c r="U772" s="1485"/>
      <c r="V772" s="1485"/>
      <c r="W772" s="1486"/>
      <c r="X772" s="1478"/>
      <c r="Y772" s="1479"/>
      <c r="Z772" s="1479"/>
      <c r="AA772" s="1479"/>
      <c r="AB772" s="1480"/>
      <c r="AC772" s="1499">
        <f t="shared" ref="AC772:AC781" si="51">X772*O772</f>
        <v>0</v>
      </c>
      <c r="AD772" s="1500"/>
      <c r="AE772" s="1500"/>
      <c r="AF772" s="1500"/>
      <c r="AG772" s="1501"/>
      <c r="AH772" s="1614"/>
      <c r="AI772" s="1615"/>
      <c r="AJ772" s="1615"/>
      <c r="AK772" s="1615"/>
      <c r="AL772" s="161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400"/>
      <c r="K773" s="1401"/>
      <c r="L773" s="1401"/>
      <c r="M773" s="1401"/>
      <c r="N773" s="1402"/>
      <c r="O773" s="1396"/>
      <c r="P773" s="1396"/>
      <c r="Q773" s="1396"/>
      <c r="R773" s="1396"/>
      <c r="S773" s="1396"/>
      <c r="T773" s="1484"/>
      <c r="U773" s="1485"/>
      <c r="V773" s="1485"/>
      <c r="W773" s="1486"/>
      <c r="X773" s="1478"/>
      <c r="Y773" s="1479"/>
      <c r="Z773" s="1479"/>
      <c r="AA773" s="1479"/>
      <c r="AB773" s="1480"/>
      <c r="AC773" s="1499">
        <f t="shared" si="51"/>
        <v>0</v>
      </c>
      <c r="AD773" s="1500"/>
      <c r="AE773" s="1500"/>
      <c r="AF773" s="1500"/>
      <c r="AG773" s="1501"/>
      <c r="AH773" s="1614"/>
      <c r="AI773" s="1615"/>
      <c r="AJ773" s="1615"/>
      <c r="AK773" s="1615"/>
      <c r="AL773" s="161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400"/>
      <c r="K774" s="1401"/>
      <c r="L774" s="1401"/>
      <c r="M774" s="1401"/>
      <c r="N774" s="1402"/>
      <c r="O774" s="1396"/>
      <c r="P774" s="1396"/>
      <c r="Q774" s="1396"/>
      <c r="R774" s="1396"/>
      <c r="S774" s="1396"/>
      <c r="T774" s="1484"/>
      <c r="U774" s="1485"/>
      <c r="V774" s="1485"/>
      <c r="W774" s="1486"/>
      <c r="X774" s="1478"/>
      <c r="Y774" s="1479"/>
      <c r="Z774" s="1479"/>
      <c r="AA774" s="1479"/>
      <c r="AB774" s="1480"/>
      <c r="AC774" s="1499">
        <f t="shared" si="51"/>
        <v>0</v>
      </c>
      <c r="AD774" s="1500"/>
      <c r="AE774" s="1500"/>
      <c r="AF774" s="1500"/>
      <c r="AG774" s="1501"/>
      <c r="AH774" s="1614"/>
      <c r="AI774" s="1615"/>
      <c r="AJ774" s="1615"/>
      <c r="AK774" s="1615"/>
      <c r="AL774" s="161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400"/>
      <c r="K775" s="1401"/>
      <c r="L775" s="1401"/>
      <c r="M775" s="1401"/>
      <c r="N775" s="1402"/>
      <c r="O775" s="1396"/>
      <c r="P775" s="1396"/>
      <c r="Q775" s="1396"/>
      <c r="R775" s="1396"/>
      <c r="S775" s="1396"/>
      <c r="T775" s="1484"/>
      <c r="U775" s="1485"/>
      <c r="V775" s="1485"/>
      <c r="W775" s="1486"/>
      <c r="X775" s="1478"/>
      <c r="Y775" s="1479"/>
      <c r="Z775" s="1479"/>
      <c r="AA775" s="1479"/>
      <c r="AB775" s="1480"/>
      <c r="AC775" s="1499">
        <f t="shared" si="51"/>
        <v>0</v>
      </c>
      <c r="AD775" s="1500"/>
      <c r="AE775" s="1500"/>
      <c r="AF775" s="1500"/>
      <c r="AG775" s="1501"/>
      <c r="AH775" s="1614"/>
      <c r="AI775" s="1615"/>
      <c r="AJ775" s="1615"/>
      <c r="AK775" s="1615"/>
      <c r="AL775" s="161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400"/>
      <c r="K776" s="1401"/>
      <c r="L776" s="1401"/>
      <c r="M776" s="1401"/>
      <c r="N776" s="1402"/>
      <c r="O776" s="1396"/>
      <c r="P776" s="1396"/>
      <c r="Q776" s="1396"/>
      <c r="R776" s="1396"/>
      <c r="S776" s="1396"/>
      <c r="T776" s="1484"/>
      <c r="U776" s="1485"/>
      <c r="V776" s="1485"/>
      <c r="W776" s="1486"/>
      <c r="X776" s="1478"/>
      <c r="Y776" s="1479"/>
      <c r="Z776" s="1479"/>
      <c r="AA776" s="1479"/>
      <c r="AB776" s="1480"/>
      <c r="AC776" s="1499">
        <f t="shared" si="51"/>
        <v>0</v>
      </c>
      <c r="AD776" s="1500"/>
      <c r="AE776" s="1500"/>
      <c r="AF776" s="1500"/>
      <c r="AG776" s="1501"/>
      <c r="AH776" s="1614"/>
      <c r="AI776" s="1615"/>
      <c r="AJ776" s="1615"/>
      <c r="AK776" s="1615"/>
      <c r="AL776" s="161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400"/>
      <c r="K777" s="1401"/>
      <c r="L777" s="1401"/>
      <c r="M777" s="1401"/>
      <c r="N777" s="1402"/>
      <c r="O777" s="1396"/>
      <c r="P777" s="1396"/>
      <c r="Q777" s="1396"/>
      <c r="R777" s="1396"/>
      <c r="S777" s="1396"/>
      <c r="T777" s="1484"/>
      <c r="U777" s="1485"/>
      <c r="V777" s="1485"/>
      <c r="W777" s="1486"/>
      <c r="X777" s="1478"/>
      <c r="Y777" s="1479"/>
      <c r="Z777" s="1479"/>
      <c r="AA777" s="1479"/>
      <c r="AB777" s="1480"/>
      <c r="AC777" s="1499">
        <f t="shared" si="51"/>
        <v>0</v>
      </c>
      <c r="AD777" s="1500"/>
      <c r="AE777" s="1500"/>
      <c r="AF777" s="1500"/>
      <c r="AG777" s="1501"/>
      <c r="AH777" s="1614"/>
      <c r="AI777" s="1615"/>
      <c r="AJ777" s="1615"/>
      <c r="AK777" s="1615"/>
      <c r="AL777" s="161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400"/>
      <c r="K778" s="1401"/>
      <c r="L778" s="1401"/>
      <c r="M778" s="1401"/>
      <c r="N778" s="1402"/>
      <c r="O778" s="1396"/>
      <c r="P778" s="1396"/>
      <c r="Q778" s="1396"/>
      <c r="R778" s="1396"/>
      <c r="S778" s="1396"/>
      <c r="T778" s="1484"/>
      <c r="U778" s="1485"/>
      <c r="V778" s="1485"/>
      <c r="W778" s="1486"/>
      <c r="X778" s="1478"/>
      <c r="Y778" s="1479"/>
      <c r="Z778" s="1479"/>
      <c r="AA778" s="1479"/>
      <c r="AB778" s="1480"/>
      <c r="AC778" s="1499">
        <f t="shared" si="51"/>
        <v>0</v>
      </c>
      <c r="AD778" s="1500"/>
      <c r="AE778" s="1500"/>
      <c r="AF778" s="1500"/>
      <c r="AG778" s="1501"/>
      <c r="AH778" s="1614"/>
      <c r="AI778" s="1615"/>
      <c r="AJ778" s="1615"/>
      <c r="AK778" s="1615"/>
      <c r="AL778" s="161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400"/>
      <c r="K779" s="1401"/>
      <c r="L779" s="1401"/>
      <c r="M779" s="1401"/>
      <c r="N779" s="1402"/>
      <c r="O779" s="1396"/>
      <c r="P779" s="1396"/>
      <c r="Q779" s="1396"/>
      <c r="R779" s="1396"/>
      <c r="S779" s="1396"/>
      <c r="T779" s="1484"/>
      <c r="U779" s="1485"/>
      <c r="V779" s="1485"/>
      <c r="W779" s="1486"/>
      <c r="X779" s="1478"/>
      <c r="Y779" s="1479"/>
      <c r="Z779" s="1479"/>
      <c r="AA779" s="1479"/>
      <c r="AB779" s="1480"/>
      <c r="AC779" s="1499">
        <f t="shared" si="51"/>
        <v>0</v>
      </c>
      <c r="AD779" s="1500"/>
      <c r="AE779" s="1500"/>
      <c r="AF779" s="1500"/>
      <c r="AG779" s="1501"/>
      <c r="AH779" s="1614"/>
      <c r="AI779" s="1615"/>
      <c r="AJ779" s="1615"/>
      <c r="AK779" s="1615"/>
      <c r="AL779" s="161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400"/>
      <c r="K780" s="1401"/>
      <c r="L780" s="1401"/>
      <c r="M780" s="1401"/>
      <c r="N780" s="1402"/>
      <c r="O780" s="1396"/>
      <c r="P780" s="1396"/>
      <c r="Q780" s="1396"/>
      <c r="R780" s="1396"/>
      <c r="S780" s="1396"/>
      <c r="T780" s="1484"/>
      <c r="U780" s="1485"/>
      <c r="V780" s="1485"/>
      <c r="W780" s="1486"/>
      <c r="X780" s="1478"/>
      <c r="Y780" s="1479"/>
      <c r="Z780" s="1479"/>
      <c r="AA780" s="1479"/>
      <c r="AB780" s="1480"/>
      <c r="AC780" s="1499">
        <f t="shared" si="51"/>
        <v>0</v>
      </c>
      <c r="AD780" s="1500"/>
      <c r="AE780" s="1500"/>
      <c r="AF780" s="1500"/>
      <c r="AG780" s="1501"/>
      <c r="AH780" s="1614"/>
      <c r="AI780" s="1615"/>
      <c r="AJ780" s="1615"/>
      <c r="AK780" s="1615"/>
      <c r="AL780" s="161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400"/>
      <c r="K781" s="1401"/>
      <c r="L781" s="1401"/>
      <c r="M781" s="1401"/>
      <c r="N781" s="1402"/>
      <c r="O781" s="1396"/>
      <c r="P781" s="1396"/>
      <c r="Q781" s="1396"/>
      <c r="R781" s="1396"/>
      <c r="S781" s="1396"/>
      <c r="T781" s="1484"/>
      <c r="U781" s="1485"/>
      <c r="V781" s="1485"/>
      <c r="W781" s="1486"/>
      <c r="X781" s="1478"/>
      <c r="Y781" s="1479"/>
      <c r="Z781" s="1479"/>
      <c r="AA781" s="1479"/>
      <c r="AB781" s="1480"/>
      <c r="AC781" s="1499">
        <f t="shared" si="51"/>
        <v>0</v>
      </c>
      <c r="AD781" s="1500"/>
      <c r="AE781" s="1500"/>
      <c r="AF781" s="1500"/>
      <c r="AG781" s="1501"/>
      <c r="AH781" s="1614"/>
      <c r="AI781" s="1615"/>
      <c r="AJ781" s="1615"/>
      <c r="AK781" s="1615"/>
      <c r="AL781" s="16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2" t="s">
        <v>126</v>
      </c>
      <c r="K782" s="1523"/>
      <c r="L782" s="1523"/>
      <c r="M782" s="1523"/>
      <c r="N782" s="1525"/>
      <c r="O782" s="1599">
        <f>SUM(O772:S781)</f>
        <v>0</v>
      </c>
      <c r="P782" s="1599"/>
      <c r="Q782" s="1599"/>
      <c r="R782" s="1599"/>
      <c r="S782" s="1599"/>
      <c r="X782" s="939" t="s">
        <v>125</v>
      </c>
      <c r="Y782" s="11"/>
      <c r="Z782" s="11"/>
      <c r="AA782" s="11"/>
      <c r="AB782" s="946"/>
      <c r="AC782" s="1499">
        <f>SUM(AC772:AG781)</f>
        <v>0</v>
      </c>
      <c r="AD782" s="1500"/>
      <c r="AE782" s="1500"/>
      <c r="AF782" s="1500"/>
      <c r="AG782" s="150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5">
        <f>O739+AC762+AC782</f>
        <v>56342</v>
      </c>
      <c r="Z784" s="1635"/>
      <c r="AA784" s="1635"/>
      <c r="AB784" s="1635"/>
      <c r="AC784" s="163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5">
        <f>(O739+AC762+AC782)*12</f>
        <v>676104</v>
      </c>
      <c r="Z785" s="1635"/>
      <c r="AA785" s="1635"/>
      <c r="AB785" s="1635"/>
      <c r="AC785" s="1635"/>
      <c r="AZ785" s="3"/>
      <c r="BA785" s="14" t="s">
        <v>642</v>
      </c>
      <c r="BB785" s="14"/>
      <c r="BC785" s="14"/>
      <c r="BD785" s="14"/>
      <c r="BE785" s="14"/>
      <c r="BF785" s="14"/>
      <c r="BG785" s="14"/>
      <c r="BH785" s="14"/>
      <c r="BI785" s="14"/>
      <c r="BJ785" s="14"/>
      <c r="BK785" s="14"/>
      <c r="BL785" s="14"/>
      <c r="BM785" s="14"/>
      <c r="BN785" s="1692" t="s">
        <v>479</v>
      </c>
      <c r="BO785" s="1693"/>
      <c r="BP785" s="3"/>
      <c r="BQ785" s="3"/>
      <c r="BR785" s="3"/>
      <c r="BS785" s="14" t="s">
        <v>644</v>
      </c>
      <c r="BT785" s="14"/>
      <c r="BU785" s="14"/>
      <c r="BV785" s="14"/>
      <c r="BW785" s="14"/>
      <c r="BX785" s="14"/>
      <c r="BY785" s="14"/>
      <c r="BZ785" s="14"/>
      <c r="CA785" s="14"/>
      <c r="CB785" s="1689" t="str">
        <f>T189</f>
        <v>Butte</v>
      </c>
      <c r="CC785" s="1690"/>
      <c r="CD785" s="1690"/>
      <c r="CE785" s="1690"/>
      <c r="CF785" s="1690"/>
      <c r="CG785" s="1690"/>
      <c r="CH785" s="169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26"/>
      <c r="AA790" s="1627"/>
      <c r="AB790" s="1627"/>
      <c r="AC790" s="1627"/>
      <c r="AD790" s="1627"/>
      <c r="AE790" s="1628"/>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9"/>
      <c r="AA791" s="1627"/>
      <c r="AB791" s="1627"/>
      <c r="AC791" s="1627"/>
      <c r="AD791" s="1627"/>
      <c r="AE791" s="162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7">
        <v>0</v>
      </c>
      <c r="AA792" s="1591"/>
      <c r="AB792" s="1591"/>
      <c r="AC792" s="1591"/>
      <c r="AD792" s="1591"/>
      <c r="AE792" s="161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9">
        <f>'Subsidy Contract Calculation'!J30</f>
        <v>0</v>
      </c>
      <c r="AA793" s="1520"/>
      <c r="AB793" s="1520"/>
      <c r="AC793" s="1520"/>
      <c r="AD793" s="1520"/>
      <c r="AE793" s="152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1">
        <v>18000</v>
      </c>
      <c r="AA797" s="1602"/>
      <c r="AB797" s="1602"/>
      <c r="AC797" s="1602"/>
      <c r="AD797" s="1602"/>
      <c r="AE797" s="160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1"/>
      <c r="AA798" s="1602"/>
      <c r="AB798" s="1602"/>
      <c r="AC798" s="1602"/>
      <c r="AD798" s="1602"/>
      <c r="AE798" s="160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1"/>
      <c r="AA799" s="1602"/>
      <c r="AB799" s="1602"/>
      <c r="AC799" s="1602"/>
      <c r="AD799" s="1602"/>
      <c r="AE799" s="160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5" t="s">
        <v>336</v>
      </c>
      <c r="Q800" s="1606"/>
      <c r="R800" s="1606"/>
      <c r="S800" s="1606"/>
      <c r="T800" s="1606"/>
      <c r="U800" s="1606"/>
      <c r="V800" s="1606"/>
      <c r="W800" s="1606"/>
      <c r="X800" s="1606"/>
      <c r="Y800" s="1607"/>
      <c r="Z800" s="1601"/>
      <c r="AA800" s="1602"/>
      <c r="AB800" s="1602"/>
      <c r="AC800" s="1602"/>
      <c r="AD800" s="1602"/>
      <c r="AE800" s="160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9">
        <f>SUM(Z797:AE800)</f>
        <v>18000</v>
      </c>
      <c r="AA801" s="1520"/>
      <c r="AB801" s="1520"/>
      <c r="AC801" s="1520"/>
      <c r="AD801" s="1520"/>
      <c r="AE801" s="152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9">
        <f>Z801+Y785+Z793</f>
        <v>694104</v>
      </c>
      <c r="AA802" s="1520"/>
      <c r="AB802" s="1520"/>
      <c r="AC802" s="1520"/>
      <c r="AD802" s="1520"/>
      <c r="AE802" s="152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5" t="s">
        <v>127</v>
      </c>
      <c r="N807" s="1595"/>
      <c r="O807" s="1595"/>
      <c r="P807" s="1596"/>
      <c r="Q807" s="1616" t="s">
        <v>292</v>
      </c>
      <c r="R807" s="1616"/>
      <c r="S807" s="1616"/>
      <c r="T807" s="1616"/>
      <c r="U807" s="1616" t="s">
        <v>293</v>
      </c>
      <c r="V807" s="1616"/>
      <c r="W807" s="1616"/>
      <c r="X807" s="1616"/>
      <c r="Y807" s="1616" t="s">
        <v>294</v>
      </c>
      <c r="Z807" s="1616"/>
      <c r="AA807" s="1616"/>
      <c r="AB807" s="1616"/>
      <c r="AC807" s="1616" t="s">
        <v>363</v>
      </c>
      <c r="AD807" s="1616"/>
      <c r="AE807" s="1616"/>
      <c r="AF807" s="1616"/>
      <c r="AG807" s="1753" t="s">
        <v>337</v>
      </c>
      <c r="AH807" s="1753"/>
      <c r="AI807" s="1753"/>
      <c r="AJ807" s="175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7"/>
      <c r="N808" s="1597"/>
      <c r="O808" s="1597"/>
      <c r="P808" s="1598"/>
      <c r="Q808" s="1616"/>
      <c r="R808" s="1616"/>
      <c r="S808" s="1616"/>
      <c r="T808" s="1616"/>
      <c r="U808" s="1616"/>
      <c r="V808" s="1616"/>
      <c r="W808" s="1616"/>
      <c r="X808" s="1616"/>
      <c r="Y808" s="1616"/>
      <c r="Z808" s="1616"/>
      <c r="AA808" s="1616"/>
      <c r="AB808" s="1616"/>
      <c r="AC808" s="1616"/>
      <c r="AD808" s="1616"/>
      <c r="AE808" s="1616"/>
      <c r="AF808" s="1616"/>
      <c r="AG808" s="1753"/>
      <c r="AH808" s="1753"/>
      <c r="AI808" s="1753"/>
      <c r="AJ808" s="175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04" t="s">
        <v>40</v>
      </c>
      <c r="D809" s="1514"/>
      <c r="E809" s="1514"/>
      <c r="F809" s="1514"/>
      <c r="G809" s="1514"/>
      <c r="H809" s="1514"/>
      <c r="I809" s="48"/>
      <c r="J809" s="48"/>
      <c r="K809" s="48"/>
      <c r="L809" s="49"/>
      <c r="M809" s="1594"/>
      <c r="N809" s="1594"/>
      <c r="O809" s="1594"/>
      <c r="P809" s="1594"/>
      <c r="Q809" s="1594"/>
      <c r="R809" s="1594"/>
      <c r="S809" s="1594"/>
      <c r="T809" s="1594"/>
      <c r="U809" s="1594"/>
      <c r="V809" s="1594"/>
      <c r="W809" s="1594"/>
      <c r="X809" s="1594"/>
      <c r="Y809" s="1594"/>
      <c r="Z809" s="1594"/>
      <c r="AA809" s="1594"/>
      <c r="AB809" s="1594"/>
      <c r="AC809" s="1585"/>
      <c r="AD809" s="1586"/>
      <c r="AE809" s="1586"/>
      <c r="AF809" s="1587"/>
      <c r="AG809" s="1585"/>
      <c r="AH809" s="1586"/>
      <c r="AI809" s="1586"/>
      <c r="AJ809" s="158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30" t="s">
        <v>41</v>
      </c>
      <c r="D810" s="1431"/>
      <c r="E810" s="1431"/>
      <c r="F810" s="1431"/>
      <c r="G810" s="1431"/>
      <c r="H810" s="1431"/>
      <c r="I810" s="5"/>
      <c r="J810" s="5"/>
      <c r="K810" s="5"/>
      <c r="L810" s="46"/>
      <c r="M810" s="1594"/>
      <c r="N810" s="1594"/>
      <c r="O810" s="1594"/>
      <c r="P810" s="1594"/>
      <c r="Q810" s="1594"/>
      <c r="R810" s="1594"/>
      <c r="S810" s="1594"/>
      <c r="T810" s="1594"/>
      <c r="U810" s="1594"/>
      <c r="V810" s="1594"/>
      <c r="W810" s="1594"/>
      <c r="X810" s="1594"/>
      <c r="Y810" s="1594"/>
      <c r="Z810" s="1594"/>
      <c r="AA810" s="1594"/>
      <c r="AB810" s="1594"/>
      <c r="AC810" s="1585"/>
      <c r="AD810" s="1586"/>
      <c r="AE810" s="1586"/>
      <c r="AF810" s="1587"/>
      <c r="AG810" s="1585"/>
      <c r="AH810" s="1586"/>
      <c r="AI810" s="1586"/>
      <c r="AJ810" s="158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30" t="s">
        <v>42</v>
      </c>
      <c r="D811" s="1431"/>
      <c r="E811" s="1431"/>
      <c r="F811" s="1431"/>
      <c r="G811" s="1431"/>
      <c r="H811" s="1431"/>
      <c r="I811" s="60"/>
      <c r="J811" s="60"/>
      <c r="K811" s="60"/>
      <c r="L811" s="61"/>
      <c r="M811" s="1594"/>
      <c r="N811" s="1594"/>
      <c r="O811" s="1594"/>
      <c r="P811" s="1594"/>
      <c r="Q811" s="1594"/>
      <c r="R811" s="1594"/>
      <c r="S811" s="1594"/>
      <c r="T811" s="1594"/>
      <c r="U811" s="1594"/>
      <c r="V811" s="1594"/>
      <c r="W811" s="1594"/>
      <c r="X811" s="1594"/>
      <c r="Y811" s="1594"/>
      <c r="Z811" s="1594"/>
      <c r="AA811" s="1594"/>
      <c r="AB811" s="1594"/>
      <c r="AC811" s="1585"/>
      <c r="AD811" s="1586"/>
      <c r="AE811" s="1586"/>
      <c r="AF811" s="1587"/>
      <c r="AG811" s="1585"/>
      <c r="AH811" s="1586"/>
      <c r="AI811" s="1586"/>
      <c r="AJ811" s="158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30" t="s">
        <v>787</v>
      </c>
      <c r="D812" s="1431"/>
      <c r="E812" s="1431"/>
      <c r="F812" s="1431"/>
      <c r="G812" s="1431"/>
      <c r="H812" s="1431"/>
      <c r="I812" s="60"/>
      <c r="J812" s="60"/>
      <c r="K812" s="60"/>
      <c r="L812" s="61"/>
      <c r="M812" s="1594"/>
      <c r="N812" s="1594"/>
      <c r="O812" s="1594"/>
      <c r="P812" s="1594"/>
      <c r="Q812" s="1594"/>
      <c r="R812" s="1594"/>
      <c r="S812" s="1594"/>
      <c r="T812" s="1594"/>
      <c r="U812" s="1594"/>
      <c r="V812" s="1594"/>
      <c r="W812" s="1594"/>
      <c r="X812" s="1594"/>
      <c r="Y812" s="1594"/>
      <c r="Z812" s="1594"/>
      <c r="AA812" s="1594"/>
      <c r="AB812" s="1594"/>
      <c r="AC812" s="1585"/>
      <c r="AD812" s="1586"/>
      <c r="AE812" s="1586"/>
      <c r="AF812" s="1587"/>
      <c r="AG812" s="1585"/>
      <c r="AH812" s="1586"/>
      <c r="AI812" s="1586"/>
      <c r="AJ812" s="158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30" t="s">
        <v>469</v>
      </c>
      <c r="D813" s="1431"/>
      <c r="E813" s="1431"/>
      <c r="F813" s="1431"/>
      <c r="G813" s="1431"/>
      <c r="H813" s="1431"/>
      <c r="I813" s="60"/>
      <c r="J813" s="60"/>
      <c r="K813" s="60"/>
      <c r="L813" s="61"/>
      <c r="M813" s="1594"/>
      <c r="N813" s="1594"/>
      <c r="O813" s="1594"/>
      <c r="P813" s="1594"/>
      <c r="Q813" s="1594"/>
      <c r="R813" s="1594"/>
      <c r="S813" s="1594"/>
      <c r="T813" s="1594"/>
      <c r="U813" s="1594"/>
      <c r="V813" s="1594"/>
      <c r="W813" s="1594"/>
      <c r="X813" s="1594"/>
      <c r="Y813" s="1594"/>
      <c r="Z813" s="1594"/>
      <c r="AA813" s="1594"/>
      <c r="AB813" s="1594"/>
      <c r="AC813" s="1585"/>
      <c r="AD813" s="1586"/>
      <c r="AE813" s="1586"/>
      <c r="AF813" s="1587"/>
      <c r="AG813" s="1585"/>
      <c r="AH813" s="1586"/>
      <c r="AI813" s="1586"/>
      <c r="AJ813" s="158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76" t="s">
        <v>808</v>
      </c>
      <c r="D814" s="1431"/>
      <c r="E814" s="1431"/>
      <c r="F814" s="1431"/>
      <c r="G814" s="1431"/>
      <c r="H814" s="1431"/>
      <c r="I814" s="60"/>
      <c r="J814" s="60"/>
      <c r="K814" s="60"/>
      <c r="L814" s="61"/>
      <c r="M814" s="1594"/>
      <c r="N814" s="1594"/>
      <c r="O814" s="1594"/>
      <c r="P814" s="1594"/>
      <c r="Q814" s="1594"/>
      <c r="R814" s="1594"/>
      <c r="S814" s="1594"/>
      <c r="T814" s="1594"/>
      <c r="U814" s="1594"/>
      <c r="V814" s="1594"/>
      <c r="W814" s="1594"/>
      <c r="X814" s="1594"/>
      <c r="Y814" s="1594"/>
      <c r="Z814" s="1594"/>
      <c r="AA814" s="1594"/>
      <c r="AB814" s="1594"/>
      <c r="AC814" s="1585"/>
      <c r="AD814" s="1586"/>
      <c r="AE814" s="1586"/>
      <c r="AF814" s="1587"/>
      <c r="AG814" s="1585"/>
      <c r="AH814" s="1586"/>
      <c r="AI814" s="1586"/>
      <c r="AJ814" s="158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5" t="s">
        <v>2721</v>
      </c>
      <c r="G815" s="1606"/>
      <c r="H815" s="1606"/>
      <c r="I815" s="1606"/>
      <c r="J815" s="1606"/>
      <c r="K815" s="1606"/>
      <c r="L815" s="1606"/>
      <c r="M815" s="1594"/>
      <c r="N815" s="1594"/>
      <c r="O815" s="1594"/>
      <c r="P815" s="1594"/>
      <c r="Q815" s="1594">
        <v>6</v>
      </c>
      <c r="R815" s="1594"/>
      <c r="S815" s="1594"/>
      <c r="T815" s="1594"/>
      <c r="U815" s="1594">
        <v>6</v>
      </c>
      <c r="V815" s="1594"/>
      <c r="W815" s="1594"/>
      <c r="X815" s="1594"/>
      <c r="Y815" s="1594">
        <v>6</v>
      </c>
      <c r="Z815" s="1594"/>
      <c r="AA815" s="1594"/>
      <c r="AB815" s="1594"/>
      <c r="AC815" s="1585">
        <v>6</v>
      </c>
      <c r="AD815" s="1586"/>
      <c r="AE815" s="1586"/>
      <c r="AF815" s="1587"/>
      <c r="AG815" s="1585"/>
      <c r="AH815" s="1586"/>
      <c r="AI815" s="1586"/>
      <c r="AJ815" s="158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2" t="s">
        <v>125</v>
      </c>
      <c r="D816" s="1523"/>
      <c r="E816" s="1523"/>
      <c r="F816" s="1523"/>
      <c r="G816" s="1523"/>
      <c r="H816" s="1523"/>
      <c r="I816" s="1523"/>
      <c r="J816" s="1523"/>
      <c r="K816" s="1523"/>
      <c r="L816" s="1525"/>
      <c r="M816" s="1619">
        <f>SUM(M809:P815)</f>
        <v>0</v>
      </c>
      <c r="N816" s="1619"/>
      <c r="O816" s="1619"/>
      <c r="P816" s="1619"/>
      <c r="Q816" s="1619">
        <f>SUM(Q809:T815)</f>
        <v>6</v>
      </c>
      <c r="R816" s="1619"/>
      <c r="S816" s="1619"/>
      <c r="T816" s="1619"/>
      <c r="U816" s="1619">
        <f>SUM(U809:X815)</f>
        <v>6</v>
      </c>
      <c r="V816" s="1619"/>
      <c r="W816" s="1619"/>
      <c r="X816" s="1619"/>
      <c r="Y816" s="1619">
        <f>SUM(Y809:AB815)</f>
        <v>6</v>
      </c>
      <c r="Z816" s="1619"/>
      <c r="AA816" s="1619"/>
      <c r="AB816" s="1619"/>
      <c r="AC816" s="1619">
        <f>SUM(AC809:AF815)</f>
        <v>6</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67" t="s">
        <v>2721</v>
      </c>
      <c r="D821" s="1668"/>
      <c r="E821" s="1668"/>
      <c r="F821" s="1668"/>
      <c r="G821" s="1668"/>
      <c r="H821" s="1668"/>
      <c r="I821" s="1668"/>
      <c r="J821" s="1668"/>
      <c r="K821" s="1668"/>
      <c r="L821" s="1668"/>
      <c r="M821" s="1668"/>
      <c r="N821" s="1668"/>
      <c r="O821" s="1668"/>
      <c r="P821" s="1668"/>
      <c r="Q821" s="1668"/>
      <c r="R821" s="1668"/>
      <c r="S821" s="1668"/>
      <c r="T821" s="1668"/>
      <c r="U821" s="1668"/>
      <c r="V821" s="1668"/>
      <c r="W821" s="1668"/>
      <c r="X821" s="1668"/>
      <c r="Y821" s="1668"/>
      <c r="Z821" s="1668"/>
      <c r="AA821" s="1668"/>
      <c r="AB821" s="1668"/>
      <c r="AC821" s="1668"/>
      <c r="AD821" s="1668"/>
      <c r="AE821" s="1668"/>
      <c r="AF821" s="1668"/>
      <c r="AG821" s="1668"/>
      <c r="AH821" s="1668"/>
      <c r="AI821" s="1668"/>
      <c r="AJ821" s="166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11">
        <v>800</v>
      </c>
      <c r="X826" s="1611"/>
      <c r="Y826" s="1611"/>
      <c r="Z826" s="1611"/>
      <c r="AA826" s="1611"/>
      <c r="AB826" s="1611"/>
      <c r="AC826" s="161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11">
        <v>3500</v>
      </c>
      <c r="X827" s="1611"/>
      <c r="Y827" s="1611"/>
      <c r="Z827" s="1611"/>
      <c r="AA827" s="1611"/>
      <c r="AB827" s="1611"/>
      <c r="AC827" s="161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11">
        <v>7204</v>
      </c>
      <c r="X828" s="1611"/>
      <c r="Y828" s="1611"/>
      <c r="Z828" s="1611"/>
      <c r="AA828" s="1611"/>
      <c r="AB828" s="1611"/>
      <c r="AC828" s="1611"/>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11">
        <v>1200</v>
      </c>
      <c r="X829" s="1611"/>
      <c r="Y829" s="1611"/>
      <c r="Z829" s="1611"/>
      <c r="AA829" s="1611"/>
      <c r="AB829" s="1611"/>
      <c r="AC829" s="1611"/>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5" t="s">
        <v>2723</v>
      </c>
      <c r="N830" s="1606"/>
      <c r="O830" s="1606"/>
      <c r="P830" s="1606"/>
      <c r="Q830" s="1606"/>
      <c r="R830" s="1606"/>
      <c r="S830" s="1606"/>
      <c r="T830" s="1606"/>
      <c r="U830" s="1606"/>
      <c r="V830" s="1607"/>
      <c r="W830" s="1611">
        <f>3120+900</f>
        <v>4020</v>
      </c>
      <c r="X830" s="1611"/>
      <c r="Y830" s="1611"/>
      <c r="Z830" s="1611"/>
      <c r="AA830" s="1611"/>
      <c r="AB830" s="1611"/>
      <c r="AC830" s="1611"/>
      <c r="AD830"/>
      <c r="AE830"/>
      <c r="AF830"/>
      <c r="AG830"/>
      <c r="AH830"/>
      <c r="AI830"/>
      <c r="AJ830"/>
      <c r="AK830"/>
      <c r="AL830"/>
      <c r="AM830"/>
      <c r="AN830"/>
      <c r="AO830"/>
      <c r="AP830"/>
      <c r="AQ830"/>
      <c r="AR830"/>
      <c r="AS830"/>
      <c r="AT830"/>
      <c r="AU830"/>
      <c r="AV830"/>
      <c r="AW830"/>
      <c r="AX830"/>
      <c r="AY830"/>
      <c r="BI830" s="1634">
        <f>ROUNDDOWN(BC918*2,2)</f>
        <v>0</v>
      </c>
      <c r="BJ830" s="1634"/>
      <c r="BK830" s="1634"/>
      <c r="BL830" s="1634"/>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9">
        <f>SUM(W826:AC830)</f>
        <v>16724</v>
      </c>
      <c r="X831" s="1520"/>
      <c r="Y831" s="1520"/>
      <c r="Z831" s="1520"/>
      <c r="AA831" s="1520"/>
      <c r="AB831" s="1520"/>
      <c r="AC831" s="1521"/>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2" t="s">
        <v>347</v>
      </c>
      <c r="K833" s="1523"/>
      <c r="L833" s="1523"/>
      <c r="M833" s="1523"/>
      <c r="N833" s="1523"/>
      <c r="O833" s="1523"/>
      <c r="P833" s="1523"/>
      <c r="Q833" s="1523"/>
      <c r="R833" s="1523"/>
      <c r="S833" s="1523"/>
      <c r="T833" s="1523"/>
      <c r="U833" s="1523"/>
      <c r="V833" s="1525"/>
      <c r="W833" s="1601">
        <v>48750</v>
      </c>
      <c r="X833" s="1602"/>
      <c r="Y833" s="1602"/>
      <c r="Z833" s="1602"/>
      <c r="AA833" s="1602"/>
      <c r="AB833" s="1602"/>
      <c r="AC833" s="160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08"/>
      <c r="X835" s="1608"/>
      <c r="Y835" s="1608"/>
      <c r="Z835" s="1608"/>
      <c r="AA835" s="1608"/>
      <c r="AB835" s="1608"/>
      <c r="AC835" s="1608"/>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08"/>
      <c r="X836" s="1608"/>
      <c r="Y836" s="1608"/>
      <c r="Z836" s="1608"/>
      <c r="AA836" s="1608"/>
      <c r="AB836" s="1608"/>
      <c r="AC836" s="1608"/>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08">
        <v>18705</v>
      </c>
      <c r="X837" s="1608"/>
      <c r="Y837" s="1608"/>
      <c r="Z837" s="1608"/>
      <c r="AA837" s="1608"/>
      <c r="AB837" s="1608"/>
      <c r="AC837" s="1608"/>
      <c r="AD837"/>
      <c r="AE837"/>
      <c r="AF837"/>
      <c r="AG837"/>
      <c r="AH837"/>
      <c r="AI837"/>
      <c r="AJ837"/>
      <c r="AK837"/>
      <c r="AL837"/>
      <c r="AM837"/>
      <c r="AN837"/>
      <c r="AO837"/>
      <c r="AP837"/>
      <c r="AQ837"/>
      <c r="AR837"/>
      <c r="AS837"/>
      <c r="AT837"/>
      <c r="AU837"/>
      <c r="AV837"/>
      <c r="AW837"/>
      <c r="AX837"/>
      <c r="AY837"/>
      <c r="AZ837" s="30"/>
      <c r="BA837" s="30"/>
      <c r="BG837" s="1633"/>
      <c r="BH837" s="1633"/>
      <c r="BI837" s="1633"/>
      <c r="BJ837" s="1633"/>
      <c r="BK837" s="1633"/>
      <c r="BL837" s="1633"/>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08">
        <f>25622+41733</f>
        <v>67355</v>
      </c>
      <c r="X838" s="1608"/>
      <c r="Y838" s="1608"/>
      <c r="Z838" s="1608"/>
      <c r="AA838" s="1608"/>
      <c r="AB838" s="1608"/>
      <c r="AC838" s="160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30">
        <f>SUM(W835:AC838)</f>
        <v>86060</v>
      </c>
      <c r="X839" s="1630"/>
      <c r="Y839" s="1630"/>
      <c r="Z839" s="1630"/>
      <c r="AA839" s="1630"/>
      <c r="AB839" s="1630"/>
      <c r="AC839" s="163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00">
        <f>SUM(AZ807:AZ835)</f>
        <v>0</v>
      </c>
      <c r="BA840" s="160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3">
        <v>87722</v>
      </c>
      <c r="X841" s="1624"/>
      <c r="Y841" s="1624"/>
      <c r="Z841" s="1624"/>
      <c r="AA841" s="1624"/>
      <c r="AB841" s="1624"/>
      <c r="AC841" s="162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74"/>
      <c r="U842" s="1533"/>
      <c r="V842" s="167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3">
        <v>60601</v>
      </c>
      <c r="X843" s="1624"/>
      <c r="Y843" s="1624"/>
      <c r="Z843" s="1624"/>
      <c r="AA843" s="1624"/>
      <c r="AB843" s="1624"/>
      <c r="AC843" s="162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74"/>
      <c r="U844" s="1533"/>
      <c r="V844" s="167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5" t="s">
        <v>336</v>
      </c>
      <c r="N845" s="1606"/>
      <c r="O845" s="1606"/>
      <c r="P845" s="1606"/>
      <c r="Q845" s="1606"/>
      <c r="R845" s="1606"/>
      <c r="S845" s="1606"/>
      <c r="T845" s="1606"/>
      <c r="U845" s="1606"/>
      <c r="V845" s="1607"/>
      <c r="W845" s="1623"/>
      <c r="X845" s="1624"/>
      <c r="Y845" s="1624"/>
      <c r="Z845" s="1624"/>
      <c r="AA845" s="1624"/>
      <c r="AB845" s="1624"/>
      <c r="AC845" s="162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54">
        <f>SUM(W841:AC845)</f>
        <v>148323</v>
      </c>
      <c r="X846" s="1755"/>
      <c r="Y846" s="1755"/>
      <c r="Z846" s="1755"/>
      <c r="AA846" s="1755"/>
      <c r="AB846" s="1755"/>
      <c r="AC846" s="175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3">
        <v>22500</v>
      </c>
      <c r="X847" s="1624"/>
      <c r="Y847" s="1624"/>
      <c r="Z847" s="1624"/>
      <c r="AA847" s="1624"/>
      <c r="AB847" s="1624"/>
      <c r="AC847" s="162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11">
        <v>3825</v>
      </c>
      <c r="X849" s="1611"/>
      <c r="Y849" s="1611"/>
      <c r="Z849" s="1611"/>
      <c r="AA849" s="1611"/>
      <c r="AB849" s="1611"/>
      <c r="AC849" s="161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11">
        <f>6000+2937</f>
        <v>8937</v>
      </c>
      <c r="X850" s="1611"/>
      <c r="Y850" s="1611"/>
      <c r="Z850" s="1611"/>
      <c r="AA850" s="1611"/>
      <c r="AB850" s="1611"/>
      <c r="AC850" s="161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11">
        <f>58424+500</f>
        <v>58924</v>
      </c>
      <c r="X851" s="1611"/>
      <c r="Y851" s="1611"/>
      <c r="Z851" s="1611"/>
      <c r="AA851" s="1611"/>
      <c r="AB851" s="1611"/>
      <c r="AC851" s="161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11">
        <v>2904</v>
      </c>
      <c r="X852" s="1611"/>
      <c r="Y852" s="1611"/>
      <c r="Z852" s="1611"/>
      <c r="AA852" s="1611"/>
      <c r="AB852" s="1611"/>
      <c r="AC852" s="161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11">
        <f>14400+1800</f>
        <v>16200</v>
      </c>
      <c r="X853" s="1611"/>
      <c r="Y853" s="1611"/>
      <c r="Z853" s="1611"/>
      <c r="AA853" s="1611"/>
      <c r="AB853" s="1611"/>
      <c r="AC853" s="161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11"/>
      <c r="X854" s="1611"/>
      <c r="Y854" s="1611"/>
      <c r="Z854" s="1611"/>
      <c r="AA854" s="1611"/>
      <c r="AB854" s="1611"/>
      <c r="AC854" s="161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5" t="s">
        <v>2722</v>
      </c>
      <c r="N855" s="1606"/>
      <c r="O855" s="1606"/>
      <c r="P855" s="1606"/>
      <c r="Q855" s="1606"/>
      <c r="R855" s="1606"/>
      <c r="S855" s="1606"/>
      <c r="T855" s="1606"/>
      <c r="U855" s="1606"/>
      <c r="V855" s="1607"/>
      <c r="W855" s="1611">
        <v>9815</v>
      </c>
      <c r="X855" s="1611"/>
      <c r="Y855" s="1611"/>
      <c r="Z855" s="1611"/>
      <c r="AA855" s="1611"/>
      <c r="AB855" s="1611"/>
      <c r="AC855" s="161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5">
        <f>SUM(W849:AC855)</f>
        <v>100605</v>
      </c>
      <c r="X856" s="1635"/>
      <c r="Y856" s="1635"/>
      <c r="Z856" s="1635"/>
      <c r="AA856" s="1635"/>
      <c r="AB856" s="1635"/>
      <c r="AC856" s="163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5" t="s">
        <v>336</v>
      </c>
      <c r="N858" s="1606"/>
      <c r="O858" s="1606"/>
      <c r="P858" s="1606"/>
      <c r="Q858" s="1606"/>
      <c r="R858" s="1606"/>
      <c r="S858" s="1606"/>
      <c r="T858" s="1606"/>
      <c r="U858" s="1606"/>
      <c r="V858" s="1607"/>
      <c r="W858" s="1601"/>
      <c r="X858" s="1602"/>
      <c r="Y858" s="1602"/>
      <c r="Z858" s="1602"/>
      <c r="AA858" s="1602"/>
      <c r="AB858" s="1602"/>
      <c r="AC858" s="160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5" t="s">
        <v>336</v>
      </c>
      <c r="N859" s="1606"/>
      <c r="O859" s="1606"/>
      <c r="P859" s="1606"/>
      <c r="Q859" s="1606"/>
      <c r="R859" s="1606"/>
      <c r="S859" s="1606"/>
      <c r="T859" s="1606"/>
      <c r="U859" s="1606"/>
      <c r="V859" s="1607"/>
      <c r="W859" s="1601"/>
      <c r="X859" s="1602"/>
      <c r="Y859" s="1602"/>
      <c r="Z859" s="1602"/>
      <c r="AA859" s="1602"/>
      <c r="AB859" s="1602"/>
      <c r="AC859" s="160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5" t="s">
        <v>336</v>
      </c>
      <c r="N860" s="1606"/>
      <c r="O860" s="1606"/>
      <c r="P860" s="1606"/>
      <c r="Q860" s="1606"/>
      <c r="R860" s="1606"/>
      <c r="S860" s="1606"/>
      <c r="T860" s="1606"/>
      <c r="U860" s="1606"/>
      <c r="V860" s="1607"/>
      <c r="W860" s="1601"/>
      <c r="X860" s="1602"/>
      <c r="Y860" s="1602"/>
      <c r="Z860" s="1602"/>
      <c r="AA860" s="1602"/>
      <c r="AB860" s="1602"/>
      <c r="AC860" s="160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5" t="s">
        <v>336</v>
      </c>
      <c r="N861" s="1606"/>
      <c r="O861" s="1606"/>
      <c r="P861" s="1606"/>
      <c r="Q861" s="1606"/>
      <c r="R861" s="1606"/>
      <c r="S861" s="1606"/>
      <c r="T861" s="1606"/>
      <c r="U861" s="1606"/>
      <c r="V861" s="1607"/>
      <c r="W861" s="1601"/>
      <c r="X861" s="1602"/>
      <c r="Y861" s="1602"/>
      <c r="Z861" s="1602"/>
      <c r="AA861" s="1602"/>
      <c r="AB861" s="1602"/>
      <c r="AC861" s="160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5" t="s">
        <v>336</v>
      </c>
      <c r="N862" s="1606"/>
      <c r="O862" s="1606"/>
      <c r="P862" s="1606"/>
      <c r="Q862" s="1606"/>
      <c r="R862" s="1606"/>
      <c r="S862" s="1606"/>
      <c r="T862" s="1606"/>
      <c r="U862" s="1606"/>
      <c r="V862" s="1607"/>
      <c r="W862" s="1601"/>
      <c r="X862" s="1602"/>
      <c r="Y862" s="1602"/>
      <c r="Z862" s="1602"/>
      <c r="AA862" s="1602"/>
      <c r="AB862" s="1602"/>
      <c r="AC862" s="160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9">
        <f>SUM(W858:AC862)</f>
        <v>0</v>
      </c>
      <c r="X863" s="1520"/>
      <c r="Y863" s="1520"/>
      <c r="Z863" s="1520"/>
      <c r="AA863" s="1520"/>
      <c r="AB863" s="1520"/>
      <c r="AC863" s="152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0">
        <f>W831+W839+W846+W847+W856+W863+W833</f>
        <v>422962</v>
      </c>
      <c r="AD867" s="1520"/>
      <c r="AE867" s="1520"/>
      <c r="AF867" s="1520"/>
      <c r="AG867" s="1520"/>
      <c r="AH867" s="152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2">
        <f>O782+O762+G739</f>
        <v>75</v>
      </c>
      <c r="AD868" s="1672"/>
      <c r="AE868" s="1672"/>
      <c r="AF868" s="1672"/>
      <c r="AG868" s="1672"/>
      <c r="AH868" s="167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0" t="s">
        <v>32</v>
      </c>
      <c r="F869" s="1670"/>
      <c r="G869" s="1670"/>
      <c r="H869" s="1670"/>
      <c r="I869" s="1670"/>
      <c r="J869" s="1670"/>
      <c r="K869" s="1670"/>
      <c r="L869" s="1670"/>
      <c r="M869" s="1670"/>
      <c r="N869" s="1670"/>
      <c r="O869" s="1670"/>
      <c r="P869" s="1670"/>
      <c r="Q869" s="1670"/>
      <c r="R869" s="1670"/>
      <c r="S869" s="1670"/>
      <c r="T869" s="1670"/>
      <c r="U869" s="1670"/>
      <c r="V869" s="1670"/>
      <c r="W869" s="1670"/>
      <c r="X869" s="1670"/>
      <c r="Y869" s="1670"/>
      <c r="Z869" s="1670"/>
      <c r="AA869" s="1670"/>
      <c r="AB869" s="1671"/>
      <c r="AC869" s="1635">
        <f>IF(ISERROR((ROUNDDOWN(AC867/AC868,0))),0,(ROUNDDOWN(AC867/AC868,0)))</f>
        <v>5639</v>
      </c>
      <c r="AD869" s="1635"/>
      <c r="AE869" s="1635"/>
      <c r="AF869" s="1635"/>
      <c r="AG869" s="1635"/>
      <c r="AH869" s="163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09">
        <f>+'Sources and Uses Budget'!C75</f>
        <v>158760</v>
      </c>
      <c r="AD870" s="1610"/>
      <c r="AE870" s="1610"/>
      <c r="AF870" s="1610"/>
      <c r="AG870" s="1610"/>
      <c r="AH870" s="161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3"/>
      <c r="AD871" s="1611"/>
      <c r="AE871" s="1611"/>
      <c r="AF871" s="1611"/>
      <c r="AG871" s="1611"/>
      <c r="AH871" s="161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2">
        <v>12199</v>
      </c>
      <c r="AD872" s="1602"/>
      <c r="AE872" s="1602"/>
      <c r="AF872" s="1602"/>
      <c r="AG872" s="1602"/>
      <c r="AH872" s="160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2">
        <v>37500</v>
      </c>
      <c r="AD873" s="1602"/>
      <c r="AE873" s="1602"/>
      <c r="AF873" s="1602"/>
      <c r="AG873" s="1602"/>
      <c r="AH873" s="160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5"/>
      <c r="AD874" s="1586"/>
      <c r="AE874" s="1586"/>
      <c r="AF874" s="1586"/>
      <c r="AG874" s="1586"/>
      <c r="AH874" s="158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2"/>
      <c r="AD875" s="1602"/>
      <c r="AE875" s="1602"/>
      <c r="AF875" s="1602"/>
      <c r="AG875" s="1602"/>
      <c r="AH875" s="160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2"/>
      <c r="AD876" s="1602"/>
      <c r="AE876" s="1602"/>
      <c r="AF876" s="1602"/>
      <c r="AG876" s="1602"/>
      <c r="AH876" s="160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0" t="s">
        <v>997</v>
      </c>
      <c r="D877" s="1621"/>
      <c r="E877" s="1621"/>
      <c r="F877" s="1621"/>
      <c r="G877" s="1621"/>
      <c r="H877" s="1621"/>
      <c r="I877" s="1621"/>
      <c r="J877" s="1621"/>
      <c r="K877" s="1621"/>
      <c r="L877" s="1621"/>
      <c r="M877" s="1621"/>
      <c r="N877" s="1621"/>
      <c r="O877" s="1621"/>
      <c r="P877" s="1621"/>
      <c r="Q877" s="1621"/>
      <c r="R877" s="1621"/>
      <c r="S877" s="1621"/>
      <c r="T877" s="1621"/>
      <c r="U877" s="1621"/>
      <c r="V877" s="1621"/>
      <c r="W877" s="1621"/>
      <c r="X877" s="1621"/>
      <c r="Y877" s="1621"/>
      <c r="Z877" s="1621"/>
      <c r="AA877" s="1621"/>
      <c r="AB877" s="1622"/>
      <c r="AC877" s="1611"/>
      <c r="AD877" s="1611"/>
      <c r="AE877" s="1611"/>
      <c r="AF877" s="1611"/>
      <c r="AG877" s="1611"/>
      <c r="AH877" s="161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0" t="s">
        <v>997</v>
      </c>
      <c r="D878" s="1621"/>
      <c r="E878" s="1621"/>
      <c r="F878" s="1621"/>
      <c r="G878" s="1621"/>
      <c r="H878" s="1621"/>
      <c r="I878" s="1621"/>
      <c r="J878" s="1621"/>
      <c r="K878" s="1621"/>
      <c r="L878" s="1621"/>
      <c r="M878" s="1621"/>
      <c r="N878" s="1621"/>
      <c r="O878" s="1621"/>
      <c r="P878" s="1621"/>
      <c r="Q878" s="1621"/>
      <c r="R878" s="1621"/>
      <c r="S878" s="1621"/>
      <c r="T878" s="1621"/>
      <c r="U878" s="1621"/>
      <c r="V878" s="1621"/>
      <c r="W878" s="1621"/>
      <c r="X878" s="1621"/>
      <c r="Y878" s="1621"/>
      <c r="Z878" s="1621"/>
      <c r="AA878" s="1621"/>
      <c r="AB878" s="1622"/>
      <c r="AC878" s="1611"/>
      <c r="AD878" s="1611"/>
      <c r="AE878" s="1611"/>
      <c r="AF878" s="1611"/>
      <c r="AG878" s="1611"/>
      <c r="AH878" s="161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1"/>
      <c r="AA882" s="1602"/>
      <c r="AB882" s="1602"/>
      <c r="AC882" s="1602"/>
      <c r="AD882" s="1602"/>
      <c r="AE882" s="160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1"/>
      <c r="AA883" s="1602"/>
      <c r="AB883" s="1602"/>
      <c r="AC883" s="1602"/>
      <c r="AD883" s="1602"/>
      <c r="AE883" s="160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1"/>
      <c r="AA884" s="1602"/>
      <c r="AB884" s="1602"/>
      <c r="AC884" s="1602"/>
      <c r="AD884" s="1602"/>
      <c r="AE884" s="160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9">
        <f>Z882-(Z883+Z884)</f>
        <v>0</v>
      </c>
      <c r="AA885" s="1520"/>
      <c r="AB885" s="1520"/>
      <c r="AC885" s="1520"/>
      <c r="AD885" s="1520"/>
      <c r="AE885" s="152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2"/>
      <c r="BE887" s="163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2"/>
      <c r="BE888" s="163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3"/>
      <c r="BE889" s="163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3"/>
      <c r="BE890" s="163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3"/>
      <c r="BE891" s="163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32"/>
      <c r="BE892" s="163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52" t="s">
        <v>97</v>
      </c>
      <c r="B893" s="1452"/>
      <c r="C893" s="1452"/>
      <c r="D893" s="1452"/>
      <c r="E893" s="1452"/>
      <c r="F893" s="1452"/>
      <c r="G893" s="1452"/>
      <c r="H893" s="1452"/>
      <c r="I893" s="1452"/>
      <c r="J893" s="1452"/>
      <c r="K893" s="1452"/>
      <c r="L893" s="1452"/>
      <c r="M893" s="1452"/>
      <c r="N893" s="1452"/>
      <c r="O893" s="1452"/>
      <c r="P893" s="1452"/>
      <c r="Q893" s="1452"/>
      <c r="R893" s="1452"/>
      <c r="S893" s="1452"/>
      <c r="T893" s="1452"/>
      <c r="U893" s="1452"/>
      <c r="V893" s="1452"/>
      <c r="W893" s="1452"/>
      <c r="X893" s="1452"/>
      <c r="Y893" s="1452"/>
      <c r="Z893" s="1452"/>
      <c r="AA893" s="1452"/>
      <c r="AB893" s="1452"/>
      <c r="AC893" s="1452"/>
      <c r="AD893" s="1452"/>
      <c r="AE893" s="1452"/>
      <c r="AF893" s="1452"/>
      <c r="AG893" s="1452"/>
      <c r="AH893" s="1452"/>
      <c r="AI893" s="1452"/>
      <c r="AJ893" s="1452"/>
      <c r="AK893" s="1452"/>
      <c r="AL893" s="1452"/>
      <c r="AM893" s="95"/>
      <c r="AN893" s="95"/>
      <c r="AO893" s="95"/>
      <c r="AP893" s="95"/>
      <c r="AQ893" s="95"/>
      <c r="AR893" s="95"/>
      <c r="AS893" s="95"/>
      <c r="AT893" s="95"/>
      <c r="AU893" s="95"/>
      <c r="AV893" s="95"/>
      <c r="AW893" s="95"/>
      <c r="AX893" s="95"/>
      <c r="AY893" s="95"/>
      <c r="AZ893" s="34"/>
      <c r="BB893" s="30"/>
      <c r="BC893" s="852"/>
      <c r="BD893" s="1631"/>
      <c r="BE893" s="1631"/>
      <c r="BF893" s="163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53"/>
      <c r="B894" s="1453"/>
      <c r="C894" s="1453"/>
      <c r="D894" s="1453"/>
      <c r="E894" s="1453"/>
      <c r="F894" s="1453"/>
      <c r="G894" s="1453"/>
      <c r="H894" s="1453"/>
      <c r="I894" s="1453"/>
      <c r="J894" s="1453"/>
      <c r="K894" s="1453"/>
      <c r="L894" s="1453"/>
      <c r="M894" s="1453"/>
      <c r="N894" s="1453"/>
      <c r="O894" s="1453"/>
      <c r="P894" s="1453"/>
      <c r="Q894" s="1453"/>
      <c r="R894" s="1453"/>
      <c r="S894" s="1453"/>
      <c r="T894" s="1453"/>
      <c r="U894" s="1453"/>
      <c r="V894" s="1453"/>
      <c r="W894" s="1453"/>
      <c r="X894" s="1453"/>
      <c r="Y894" s="1453"/>
      <c r="Z894" s="1453"/>
      <c r="AA894" s="1453"/>
      <c r="AB894" s="1453"/>
      <c r="AC894" s="1453"/>
      <c r="AD894" s="1453"/>
      <c r="AE894" s="1453"/>
      <c r="AF894" s="1453"/>
      <c r="AG894" s="1453"/>
      <c r="AH894" s="1453"/>
      <c r="AI894" s="1453"/>
      <c r="AJ894" s="1453"/>
      <c r="AK894" s="1453"/>
      <c r="AL894" s="1453"/>
      <c r="AM894" s="95"/>
      <c r="AN894" s="95"/>
      <c r="AO894" s="95"/>
      <c r="AP894" s="95"/>
      <c r="AQ894" s="95"/>
      <c r="AR894" s="95"/>
      <c r="AS894" s="95"/>
      <c r="AT894" s="95"/>
      <c r="AU894" s="95"/>
      <c r="AV894" s="95"/>
      <c r="AW894" s="95"/>
      <c r="AX894" s="95"/>
      <c r="AY894" s="95"/>
      <c r="AZ894" s="34"/>
      <c r="BB894" s="30"/>
      <c r="BC894" s="852"/>
      <c r="BD894" s="1634"/>
      <c r="BE894" s="1634"/>
      <c r="BF894" s="16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3"/>
      <c r="BE895" s="163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2"/>
      <c r="BE896" s="163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765" t="s">
        <v>817</v>
      </c>
      <c r="G898" s="1766"/>
      <c r="H898" s="1766"/>
      <c r="I898" s="1766"/>
      <c r="J898" s="1766"/>
      <c r="K898" s="1766"/>
      <c r="L898" s="1766"/>
      <c r="M898" s="1766"/>
      <c r="N898" s="1766"/>
      <c r="O898" s="1766"/>
      <c r="P898" s="1766"/>
      <c r="Q898" s="1766"/>
      <c r="R898" s="1766"/>
      <c r="S898" s="1766"/>
      <c r="T898" s="1767"/>
      <c r="U898" s="1815" t="s">
        <v>31</v>
      </c>
      <c r="V898" s="1595"/>
      <c r="W898" s="1595"/>
      <c r="X898" s="1595"/>
      <c r="Y898" s="1595"/>
      <c r="Z898" s="1595"/>
      <c r="AA898" s="43"/>
      <c r="AB898" s="105"/>
      <c r="AC898" s="105"/>
      <c r="AD898" s="105"/>
      <c r="AE898" s="105"/>
      <c r="AF898" s="106"/>
      <c r="AZ898" s="34"/>
      <c r="BA898" s="34"/>
      <c r="BB898" s="30"/>
      <c r="BC898" s="30"/>
      <c r="BD898" s="1632"/>
      <c r="BE898" s="163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4" t="s">
        <v>845</v>
      </c>
      <c r="G899" s="1655"/>
      <c r="H899" s="1655"/>
      <c r="I899" s="1655"/>
      <c r="J899" s="1655"/>
      <c r="K899" s="1655"/>
      <c r="L899" s="1655"/>
      <c r="M899" s="1655"/>
      <c r="N899" s="1655"/>
      <c r="O899" s="1655"/>
      <c r="P899" s="1655"/>
      <c r="Q899" s="1655"/>
      <c r="R899" s="1655"/>
      <c r="S899" s="1655"/>
      <c r="T899" s="1656"/>
      <c r="U899" s="1654"/>
      <c r="V899" s="1655"/>
      <c r="W899" s="1655"/>
      <c r="X899" s="1655"/>
      <c r="Y899" s="1655"/>
      <c r="Z899" s="165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7"/>
      <c r="G900" s="1597"/>
      <c r="H900" s="1597"/>
      <c r="I900" s="1597"/>
      <c r="J900" s="1597"/>
      <c r="K900" s="1597"/>
      <c r="L900" s="1597"/>
      <c r="M900" s="1597"/>
      <c r="N900" s="1597"/>
      <c r="O900" s="1597"/>
      <c r="P900" s="1597"/>
      <c r="Q900" s="1597"/>
      <c r="R900" s="1597"/>
      <c r="S900" s="1597"/>
      <c r="T900" s="1598"/>
      <c r="U900" s="1657"/>
      <c r="V900" s="1597"/>
      <c r="W900" s="1597"/>
      <c r="X900" s="1597"/>
      <c r="Y900" s="1597"/>
      <c r="Z900" s="1597"/>
      <c r="AA900" s="108"/>
      <c r="AB900" s="1469" t="s">
        <v>393</v>
      </c>
      <c r="AC900" s="1469"/>
      <c r="AD900" s="1469"/>
      <c r="AE900" s="146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0" t="s">
        <v>555</v>
      </c>
      <c r="V901" s="1362"/>
      <c r="W901" s="1362"/>
      <c r="X901" s="1362"/>
      <c r="Y901" s="1362"/>
      <c r="Z901" s="1363"/>
      <c r="AA901" s="1636">
        <f>+AM550</f>
        <v>21295915</v>
      </c>
      <c r="AB901" s="1398"/>
      <c r="AC901" s="1398"/>
      <c r="AD901" s="1398"/>
      <c r="AE901" s="1398"/>
      <c r="AF901" s="163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0" t="s">
        <v>601</v>
      </c>
      <c r="V902" s="1362"/>
      <c r="W902" s="1362"/>
      <c r="X902" s="1362"/>
      <c r="Y902" s="1362"/>
      <c r="Z902" s="1363"/>
      <c r="AA902" s="1636">
        <f>+AM551</f>
        <v>205176</v>
      </c>
      <c r="AB902" s="1398"/>
      <c r="AC902" s="1398"/>
      <c r="AD902" s="1398"/>
      <c r="AE902" s="1398"/>
      <c r="AF902" s="163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0" t="s">
        <v>601</v>
      </c>
      <c r="V903" s="1362"/>
      <c r="W903" s="1362"/>
      <c r="X903" s="1362"/>
      <c r="Y903" s="1362"/>
      <c r="Z903" s="1363"/>
      <c r="AA903" s="1636"/>
      <c r="AB903" s="1398"/>
      <c r="AC903" s="1398"/>
      <c r="AD903" s="1398"/>
      <c r="AE903" s="1398"/>
      <c r="AF903" s="163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0" t="s">
        <v>555</v>
      </c>
      <c r="V904" s="1362"/>
      <c r="W904" s="1362"/>
      <c r="X904" s="1362"/>
      <c r="Y904" s="1362"/>
      <c r="Z904" s="1363"/>
      <c r="AA904" s="1636">
        <f>+AO624+AO627</f>
        <v>15930009</v>
      </c>
      <c r="AB904" s="1398"/>
      <c r="AC904" s="1398"/>
      <c r="AD904" s="1398"/>
      <c r="AE904" s="1398"/>
      <c r="AF904" s="163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0" t="s">
        <v>601</v>
      </c>
      <c r="V905" s="1362"/>
      <c r="W905" s="1362"/>
      <c r="X905" s="1362"/>
      <c r="Y905" s="1362"/>
      <c r="Z905" s="1363"/>
      <c r="AA905" s="1636"/>
      <c r="AB905" s="1398"/>
      <c r="AC905" s="1398"/>
      <c r="AD905" s="1398"/>
      <c r="AE905" s="1398"/>
      <c r="AF905" s="163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0" t="s">
        <v>601</v>
      </c>
      <c r="V906" s="1362"/>
      <c r="W906" s="1362"/>
      <c r="X906" s="1362"/>
      <c r="Y906" s="1362"/>
      <c r="Z906" s="1363"/>
      <c r="AA906" s="1636"/>
      <c r="AB906" s="1398"/>
      <c r="AC906" s="1398"/>
      <c r="AD906" s="1398"/>
      <c r="AE906" s="1398"/>
      <c r="AF906" s="163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0" t="s">
        <v>601</v>
      </c>
      <c r="V907" s="1362"/>
      <c r="W907" s="1362"/>
      <c r="X907" s="1362"/>
      <c r="Y907" s="1362"/>
      <c r="Z907" s="1363"/>
      <c r="AA907" s="1636"/>
      <c r="AB907" s="1398"/>
      <c r="AC907" s="1398"/>
      <c r="AD907" s="1398"/>
      <c r="AE907" s="1398"/>
      <c r="AF907" s="163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0" t="s">
        <v>601</v>
      </c>
      <c r="V908" s="1362"/>
      <c r="W908" s="1362"/>
      <c r="X908" s="1362"/>
      <c r="Y908" s="1362"/>
      <c r="Z908" s="1363"/>
      <c r="AA908" s="1636"/>
      <c r="AB908" s="1398"/>
      <c r="AC908" s="1398"/>
      <c r="AD908" s="1398"/>
      <c r="AE908" s="1398"/>
      <c r="AF908" s="163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0" t="s">
        <v>601</v>
      </c>
      <c r="V909" s="1362"/>
      <c r="W909" s="1362"/>
      <c r="X909" s="1362"/>
      <c r="Y909" s="1362"/>
      <c r="Z909" s="1363"/>
      <c r="AA909" s="1636"/>
      <c r="AB909" s="1398"/>
      <c r="AC909" s="1398"/>
      <c r="AD909" s="1398"/>
      <c r="AE909" s="1398"/>
      <c r="AF909" s="163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0" t="s">
        <v>601</v>
      </c>
      <c r="V910" s="1362"/>
      <c r="W910" s="1362"/>
      <c r="X910" s="1362"/>
      <c r="Y910" s="1362"/>
      <c r="Z910" s="1363"/>
      <c r="AA910" s="1636"/>
      <c r="AB910" s="1398"/>
      <c r="AC910" s="1398"/>
      <c r="AD910" s="1398"/>
      <c r="AE910" s="1398"/>
      <c r="AF910" s="163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0" t="s">
        <v>601</v>
      </c>
      <c r="V911" s="1362"/>
      <c r="W911" s="1362"/>
      <c r="X911" s="1362"/>
      <c r="Y911" s="1362"/>
      <c r="Z911" s="1363"/>
      <c r="AA911" s="1636"/>
      <c r="AB911" s="1398"/>
      <c r="AC911" s="1398"/>
      <c r="AD911" s="1398"/>
      <c r="AE911" s="1398"/>
      <c r="AF911" s="163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0" t="s">
        <v>601</v>
      </c>
      <c r="V912" s="1362"/>
      <c r="W912" s="1362"/>
      <c r="X912" s="1362"/>
      <c r="Y912" s="1362"/>
      <c r="Z912" s="1363"/>
      <c r="AA912" s="1636"/>
      <c r="AB912" s="1398"/>
      <c r="AC912" s="1398"/>
      <c r="AD912" s="1398"/>
      <c r="AE912" s="1398"/>
      <c r="AF912" s="163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0" t="s">
        <v>601</v>
      </c>
      <c r="V913" s="1362"/>
      <c r="W913" s="1362"/>
      <c r="X913" s="1362"/>
      <c r="Y913" s="1362"/>
      <c r="Z913" s="1363"/>
      <c r="AA913" s="1636"/>
      <c r="AB913" s="1398"/>
      <c r="AC913" s="1398"/>
      <c r="AD913" s="1398"/>
      <c r="AE913" s="1398"/>
      <c r="AF913" s="163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0" t="s">
        <v>601</v>
      </c>
      <c r="V914" s="1362"/>
      <c r="W914" s="1362"/>
      <c r="X914" s="1362"/>
      <c r="Y914" s="1362"/>
      <c r="Z914" s="1363"/>
      <c r="AA914" s="1636"/>
      <c r="AB914" s="1398"/>
      <c r="AC914" s="1398"/>
      <c r="AD914" s="1398"/>
      <c r="AE914" s="1398"/>
      <c r="AF914" s="163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0" t="s">
        <v>601</v>
      </c>
      <c r="V915" s="1362"/>
      <c r="W915" s="1362"/>
      <c r="X915" s="1362"/>
      <c r="Y915" s="1362"/>
      <c r="Z915" s="1363"/>
      <c r="AA915" s="1636"/>
      <c r="AB915" s="1398"/>
      <c r="AC915" s="1398"/>
      <c r="AD915" s="1398"/>
      <c r="AE915" s="1398"/>
      <c r="AF915" s="163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0" t="s">
        <v>679</v>
      </c>
      <c r="Q916" s="1362"/>
      <c r="R916" s="1362"/>
      <c r="S916" s="1362"/>
      <c r="T916" s="1363"/>
      <c r="U916" s="1640" t="s">
        <v>601</v>
      </c>
      <c r="V916" s="1362"/>
      <c r="W916" s="1362"/>
      <c r="X916" s="1362"/>
      <c r="Y916" s="1362"/>
      <c r="Z916" s="1363"/>
      <c r="AA916" s="1636"/>
      <c r="AB916" s="1398"/>
      <c r="AC916" s="1398"/>
      <c r="AD916" s="1398"/>
      <c r="AE916" s="1398"/>
      <c r="AF916" s="163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5" t="s">
        <v>336</v>
      </c>
      <c r="J917" s="1606"/>
      <c r="K917" s="1606"/>
      <c r="L917" s="1606"/>
      <c r="M917" s="1606"/>
      <c r="N917" s="1606"/>
      <c r="O917" s="1606"/>
      <c r="P917" s="1606"/>
      <c r="Q917" s="1606"/>
      <c r="R917" s="1606"/>
      <c r="S917" s="1606"/>
      <c r="T917" s="1607"/>
      <c r="U917" s="1640" t="s">
        <v>601</v>
      </c>
      <c r="V917" s="1362"/>
      <c r="W917" s="1362"/>
      <c r="X917" s="1362"/>
      <c r="Y917" s="1362"/>
      <c r="Z917" s="1363"/>
      <c r="AA917" s="1636"/>
      <c r="AB917" s="1398"/>
      <c r="AC917" s="1398"/>
      <c r="AD917" s="1398"/>
      <c r="AE917" s="1398"/>
      <c r="AF917" s="163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1" t="s">
        <v>336</v>
      </c>
      <c r="J918" s="1652"/>
      <c r="K918" s="1652"/>
      <c r="L918" s="1652"/>
      <c r="M918" s="1652"/>
      <c r="N918" s="1652"/>
      <c r="O918" s="1652"/>
      <c r="P918" s="1652"/>
      <c r="Q918" s="1652"/>
      <c r="R918" s="1652"/>
      <c r="S918" s="1652"/>
      <c r="T918" s="1653"/>
      <c r="U918" s="1640" t="s">
        <v>601</v>
      </c>
      <c r="V918" s="1362"/>
      <c r="W918" s="1362"/>
      <c r="X918" s="1362"/>
      <c r="Y918" s="1362"/>
      <c r="Z918" s="1363"/>
      <c r="AA918" s="1636"/>
      <c r="AB918" s="1398"/>
      <c r="AC918" s="1398"/>
      <c r="AD918" s="1398"/>
      <c r="AE918" s="1398"/>
      <c r="AF918" s="163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1" t="s">
        <v>336</v>
      </c>
      <c r="J919" s="1652"/>
      <c r="K919" s="1652"/>
      <c r="L919" s="1652"/>
      <c r="M919" s="1652"/>
      <c r="N919" s="1652"/>
      <c r="O919" s="1652"/>
      <c r="P919" s="1652"/>
      <c r="Q919" s="1652"/>
      <c r="R919" s="1652"/>
      <c r="S919" s="1652"/>
      <c r="T919" s="1653"/>
      <c r="U919" s="1640" t="s">
        <v>601</v>
      </c>
      <c r="V919" s="1362"/>
      <c r="W919" s="1362"/>
      <c r="X919" s="1362"/>
      <c r="Y919" s="1362"/>
      <c r="Z919" s="1363"/>
      <c r="AA919" s="1636"/>
      <c r="AB919" s="1398"/>
      <c r="AC919" s="1398"/>
      <c r="AD919" s="1398"/>
      <c r="AE919" s="1398"/>
      <c r="AF919" s="16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1" t="s">
        <v>336</v>
      </c>
      <c r="J920" s="1652"/>
      <c r="K920" s="1652"/>
      <c r="L920" s="1652"/>
      <c r="M920" s="1652"/>
      <c r="N920" s="1652"/>
      <c r="O920" s="1652"/>
      <c r="P920" s="1652"/>
      <c r="Q920" s="1652"/>
      <c r="R920" s="1652"/>
      <c r="S920" s="1652"/>
      <c r="T920" s="1653"/>
      <c r="U920" s="1640" t="s">
        <v>601</v>
      </c>
      <c r="V920" s="1362"/>
      <c r="W920" s="1362"/>
      <c r="X920" s="1362"/>
      <c r="Y920" s="1362"/>
      <c r="Z920" s="1363"/>
      <c r="AA920" s="1636"/>
      <c r="AB920" s="1398"/>
      <c r="AC920" s="1398"/>
      <c r="AD920" s="1398"/>
      <c r="AE920" s="1398"/>
      <c r="AF920" s="16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0"/>
      <c r="N925" s="1591"/>
      <c r="O925" s="1591"/>
      <c r="P925" s="1591"/>
      <c r="Q925" s="1591"/>
      <c r="R925" s="1591"/>
      <c r="S925" s="1618"/>
      <c r="U925" s="66" t="s">
        <v>11</v>
      </c>
      <c r="V925" s="5"/>
      <c r="W925" s="5"/>
      <c r="X925" s="5"/>
      <c r="Y925" s="5"/>
      <c r="Z925" s="5"/>
      <c r="AA925" s="5"/>
      <c r="AB925" s="5"/>
      <c r="AC925" s="5"/>
      <c r="AD925" s="46"/>
      <c r="AE925" s="1650"/>
      <c r="AF925" s="1591"/>
      <c r="AG925" s="1591"/>
      <c r="AH925" s="1591"/>
      <c r="AI925" s="1591"/>
      <c r="AJ925" s="1591"/>
      <c r="AK925" s="161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8"/>
      <c r="N926" s="1537"/>
      <c r="O926" s="1537"/>
      <c r="P926" s="1537"/>
      <c r="Q926" s="1537"/>
      <c r="R926" s="1537"/>
      <c r="S926" s="1639"/>
      <c r="U926" s="66" t="s">
        <v>12</v>
      </c>
      <c r="V926" s="5"/>
      <c r="W926" s="5"/>
      <c r="X926" s="5"/>
      <c r="Y926" s="5"/>
      <c r="Z926" s="5"/>
      <c r="AA926" s="5"/>
      <c r="AB926" s="5"/>
      <c r="AC926" s="5"/>
      <c r="AD926" s="46"/>
      <c r="AE926" s="1638"/>
      <c r="AF926" s="1537"/>
      <c r="AG926" s="1537"/>
      <c r="AH926" s="1537"/>
      <c r="AI926" s="1537"/>
      <c r="AJ926" s="1537"/>
      <c r="AK926" s="163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1" t="s">
        <v>309</v>
      </c>
      <c r="K927" s="1642"/>
      <c r="L927" s="1642"/>
      <c r="M927" s="1642"/>
      <c r="N927" s="1642"/>
      <c r="O927" s="1642"/>
      <c r="P927" s="1642"/>
      <c r="Q927" s="1642"/>
      <c r="R927" s="1642"/>
      <c r="S927" s="1643"/>
      <c r="U927" s="66" t="s">
        <v>910</v>
      </c>
      <c r="V927" s="5"/>
      <c r="W927" s="5"/>
      <c r="AB927" s="1641" t="s">
        <v>309</v>
      </c>
      <c r="AC927" s="1642"/>
      <c r="AD927" s="1642"/>
      <c r="AE927" s="1642"/>
      <c r="AF927" s="1642"/>
      <c r="AG927" s="1642"/>
      <c r="AH927" s="1642"/>
      <c r="AI927" s="1642"/>
      <c r="AJ927" s="1642"/>
      <c r="AK927" s="164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658"/>
      <c r="N928" s="1659"/>
      <c r="O928" s="1659"/>
      <c r="P928" s="1659"/>
      <c r="Q928" s="1659"/>
      <c r="R928" s="1659"/>
      <c r="S928" s="1660"/>
      <c r="U928" s="66" t="s">
        <v>13</v>
      </c>
      <c r="V928" s="5"/>
      <c r="W928" s="5"/>
      <c r="X928" s="5"/>
      <c r="Y928" s="5"/>
      <c r="Z928" s="5"/>
      <c r="AA928" s="5"/>
      <c r="AB928" s="5"/>
      <c r="AC928" s="5"/>
      <c r="AD928" s="46"/>
      <c r="AE928" s="1683"/>
      <c r="AF928" s="1659"/>
      <c r="AG928" s="1659"/>
      <c r="AH928" s="1659"/>
      <c r="AI928" s="1659"/>
      <c r="AJ928" s="1659"/>
      <c r="AK928" s="166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26"/>
      <c r="N929" s="1627"/>
      <c r="O929" s="1627"/>
      <c r="P929" s="1627"/>
      <c r="Q929" s="1627"/>
      <c r="R929" s="1627"/>
      <c r="S929" s="1628"/>
      <c r="U929" s="66" t="s">
        <v>14</v>
      </c>
      <c r="V929" s="5"/>
      <c r="W929" s="5"/>
      <c r="X929" s="5"/>
      <c r="Y929" s="5"/>
      <c r="Z929" s="5"/>
      <c r="AA929" s="5"/>
      <c r="AB929" s="5"/>
      <c r="AC929" s="5"/>
      <c r="AD929" s="46"/>
      <c r="AE929" s="1626"/>
      <c r="AF929" s="1627"/>
      <c r="AG929" s="1627"/>
      <c r="AH929" s="1627"/>
      <c r="AI929" s="1627"/>
      <c r="AJ929" s="1627"/>
      <c r="AK929" s="162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36"/>
      <c r="N930" s="1398"/>
      <c r="O930" s="1398"/>
      <c r="P930" s="1398"/>
      <c r="Q930" s="1398"/>
      <c r="R930" s="1398"/>
      <c r="S930" s="1637"/>
      <c r="U930" s="66" t="s">
        <v>15</v>
      </c>
      <c r="V930" s="5"/>
      <c r="W930" s="5"/>
      <c r="X930" s="5"/>
      <c r="Y930" s="5"/>
      <c r="Z930" s="5"/>
      <c r="AA930" s="5"/>
      <c r="AB930" s="5"/>
      <c r="AC930" s="5"/>
      <c r="AD930" s="46"/>
      <c r="AE930" s="1636"/>
      <c r="AF930" s="1398"/>
      <c r="AG930" s="1398"/>
      <c r="AH930" s="1398"/>
      <c r="AI930" s="1398"/>
      <c r="AJ930" s="1398"/>
      <c r="AK930" s="163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36"/>
      <c r="N931" s="1398"/>
      <c r="O931" s="1398"/>
      <c r="P931" s="1398"/>
      <c r="Q931" s="1398"/>
      <c r="R931" s="1398"/>
      <c r="S931" s="1637"/>
      <c r="U931" s="66" t="s">
        <v>16</v>
      </c>
      <c r="V931" s="5"/>
      <c r="W931" s="5"/>
      <c r="X931" s="5"/>
      <c r="Y931" s="5"/>
      <c r="Z931" s="5"/>
      <c r="AA931" s="5"/>
      <c r="AB931" s="5"/>
      <c r="AC931" s="5"/>
      <c r="AD931" s="46"/>
      <c r="AE931" s="1636"/>
      <c r="AF931" s="1398"/>
      <c r="AG931" s="1398"/>
      <c r="AH931" s="1398"/>
      <c r="AI931" s="1398"/>
      <c r="AJ931" s="1398"/>
      <c r="AK931" s="163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81"/>
      <c r="N932" s="1592"/>
      <c r="O932" s="1592"/>
      <c r="P932" s="1592"/>
      <c r="Q932" s="1592"/>
      <c r="R932" s="1592"/>
      <c r="S932" s="1682"/>
      <c r="U932" s="121" t="s">
        <v>1843</v>
      </c>
      <c r="V932" s="5"/>
      <c r="W932" s="5"/>
      <c r="X932" s="5"/>
      <c r="Y932" s="5"/>
      <c r="Z932" s="5"/>
      <c r="AA932" s="5"/>
      <c r="AB932" s="5"/>
      <c r="AC932" s="5"/>
      <c r="AD932" s="46"/>
      <c r="AE932" s="1681"/>
      <c r="AF932" s="1592"/>
      <c r="AG932" s="1592"/>
      <c r="AH932" s="1592"/>
      <c r="AI932" s="1592"/>
      <c r="AJ932" s="1592"/>
      <c r="AK932" s="168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44"/>
      <c r="N937" s="1645"/>
      <c r="O937" s="1645"/>
      <c r="P937" s="1645"/>
      <c r="Q937" s="1645"/>
      <c r="R937" s="1645"/>
      <c r="S937" s="1646"/>
      <c r="T937" s="66" t="s">
        <v>815</v>
      </c>
      <c r="U937" s="5"/>
      <c r="V937" s="5"/>
      <c r="W937" s="5"/>
      <c r="X937" s="5"/>
      <c r="Y937" s="5"/>
      <c r="Z937" s="46"/>
      <c r="AA937" s="1644"/>
      <c r="AB937" s="1645"/>
      <c r="AC937" s="1645"/>
      <c r="AD937" s="1645"/>
      <c r="AE937" s="1645"/>
      <c r="AF937" s="1645"/>
      <c r="AG937" s="164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44"/>
      <c r="N938" s="1645"/>
      <c r="O938" s="1645"/>
      <c r="P938" s="1645"/>
      <c r="Q938" s="1645"/>
      <c r="R938" s="1645"/>
      <c r="S938" s="1646"/>
      <c r="T938" s="66" t="s">
        <v>814</v>
      </c>
      <c r="U938" s="5"/>
      <c r="V938" s="5"/>
      <c r="W938" s="5"/>
      <c r="X938" s="5"/>
      <c r="Y938" s="5"/>
      <c r="Z938" s="46"/>
      <c r="AA938" s="1644"/>
      <c r="AB938" s="1645"/>
      <c r="AC938" s="1645"/>
      <c r="AD938" s="1645"/>
      <c r="AE938" s="1645"/>
      <c r="AF938" s="1645"/>
      <c r="AG938" s="164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8" t="s">
        <v>601</v>
      </c>
      <c r="N939" s="1679"/>
      <c r="O939" s="1679"/>
      <c r="P939" s="1679"/>
      <c r="Q939" s="1679"/>
      <c r="R939" s="1679"/>
      <c r="S939" s="1680"/>
      <c r="T939" s="45" t="s">
        <v>339</v>
      </c>
      <c r="U939" s="5"/>
      <c r="V939" s="5"/>
      <c r="W939" s="5"/>
      <c r="X939" s="5"/>
      <c r="Y939" s="5"/>
      <c r="Z939" s="46"/>
      <c r="AA939" s="1644"/>
      <c r="AB939" s="1645"/>
      <c r="AC939" s="1645"/>
      <c r="AD939" s="1645"/>
      <c r="AE939" s="1645"/>
      <c r="AF939" s="1645"/>
      <c r="AG939" s="164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44"/>
      <c r="N940" s="1645"/>
      <c r="O940" s="1645"/>
      <c r="P940" s="1645"/>
      <c r="Q940" s="1645"/>
      <c r="R940" s="1645"/>
      <c r="S940" s="1646"/>
      <c r="T940" s="45" t="s">
        <v>340</v>
      </c>
      <c r="U940" s="5"/>
      <c r="V940" s="5"/>
      <c r="W940" s="5"/>
      <c r="X940" s="5"/>
      <c r="Y940" s="5"/>
      <c r="Z940" s="46"/>
      <c r="AA940" s="1644"/>
      <c r="AB940" s="1645"/>
      <c r="AC940" s="1645"/>
      <c r="AD940" s="1645"/>
      <c r="AE940" s="1645"/>
      <c r="AF940" s="1645"/>
      <c r="AG940" s="164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44"/>
      <c r="N941" s="1645"/>
      <c r="O941" s="1645"/>
      <c r="P941" s="1645"/>
      <c r="Q941" s="1645"/>
      <c r="R941" s="1645"/>
      <c r="S941" s="1646"/>
      <c r="T941" s="45" t="s">
        <v>378</v>
      </c>
      <c r="U941" s="5"/>
      <c r="V941" s="5"/>
      <c r="W941" s="5"/>
      <c r="X941" s="5"/>
      <c r="Y941" s="5"/>
      <c r="Z941" s="46"/>
      <c r="AA941" s="1644"/>
      <c r="AB941" s="1645"/>
      <c r="AC941" s="1645"/>
      <c r="AD941" s="1645"/>
      <c r="AE941" s="1645"/>
      <c r="AF941" s="1645"/>
      <c r="AG941" s="164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64" t="s">
        <v>309</v>
      </c>
      <c r="N942" s="1665"/>
      <c r="O942" s="1665"/>
      <c r="P942" s="1665"/>
      <c r="Q942" s="1665"/>
      <c r="R942" s="1665"/>
      <c r="S942" s="1666"/>
      <c r="T942" s="1647"/>
      <c r="U942" s="1648"/>
      <c r="V942" s="1648"/>
      <c r="W942" s="1648"/>
      <c r="X942" s="1648"/>
      <c r="Y942" s="1648"/>
      <c r="Z942" s="1649"/>
      <c r="AA942" s="1644"/>
      <c r="AB942" s="1645"/>
      <c r="AC942" s="1645"/>
      <c r="AD942" s="1645"/>
      <c r="AE942" s="1645"/>
      <c r="AF942" s="1645"/>
      <c r="AG942" s="164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44"/>
      <c r="N943" s="1645"/>
      <c r="O943" s="1645"/>
      <c r="P943" s="1645"/>
      <c r="Q943" s="1645"/>
      <c r="R943" s="1645"/>
      <c r="S943" s="1646"/>
      <c r="T943" s="1647"/>
      <c r="U943" s="1648"/>
      <c r="V943" s="1648"/>
      <c r="W943" s="1648"/>
      <c r="X943" s="1648"/>
      <c r="Y943" s="1648"/>
      <c r="Z943" s="1649"/>
      <c r="AA943" s="1644"/>
      <c r="AB943" s="1645"/>
      <c r="AC943" s="1645"/>
      <c r="AD943" s="1645"/>
      <c r="AE943" s="1645"/>
      <c r="AF943" s="1645"/>
      <c r="AG943" s="164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92" t="s">
        <v>679</v>
      </c>
      <c r="P944" s="1394"/>
      <c r="Q944" s="92"/>
      <c r="R944" s="92"/>
      <c r="S944" s="93"/>
      <c r="T944" s="41" t="s">
        <v>171</v>
      </c>
      <c r="U944" s="42"/>
      <c r="V944" s="42"/>
      <c r="W944" s="1661" t="s">
        <v>336</v>
      </c>
      <c r="X944" s="1662"/>
      <c r="Y944" s="1662"/>
      <c r="Z944" s="1662"/>
      <c r="AA944" s="1662"/>
      <c r="AB944" s="1662"/>
      <c r="AC944" s="1662"/>
      <c r="AD944" s="1662"/>
      <c r="AE944" s="1662"/>
      <c r="AF944" s="1662"/>
      <c r="AG944" s="166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04" t="s">
        <v>33</v>
      </c>
      <c r="G945" s="1514"/>
      <c r="H945" s="1514"/>
      <c r="I945" s="1514"/>
      <c r="J945" s="1514"/>
      <c r="K945" s="1514"/>
      <c r="L945" s="1514"/>
      <c r="M945" s="1644"/>
      <c r="N945" s="1645"/>
      <c r="O945" s="1645"/>
      <c r="P945" s="1645"/>
      <c r="Q945" s="1645"/>
      <c r="R945" s="1645"/>
      <c r="S945" s="1646"/>
      <c r="T945" s="47"/>
      <c r="U945" s="48"/>
      <c r="V945" s="48"/>
      <c r="W945" s="48"/>
      <c r="X945" s="48"/>
      <c r="Y945" s="48"/>
      <c r="Z945" s="124" t="s">
        <v>135</v>
      </c>
      <c r="AA945" s="1816"/>
      <c r="AB945" s="1817"/>
      <c r="AC945" s="1817"/>
      <c r="AD945" s="1817"/>
      <c r="AE945" s="1817"/>
      <c r="AF945" s="1817"/>
      <c r="AG945" s="181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57" t="s">
        <v>558</v>
      </c>
      <c r="B949" s="1757"/>
      <c r="C949" s="1757"/>
      <c r="D949" s="1757"/>
      <c r="E949" s="1757"/>
      <c r="F949" s="1757"/>
      <c r="G949" s="1757"/>
      <c r="H949" s="1757"/>
      <c r="I949" s="1757"/>
      <c r="J949" s="1757"/>
      <c r="K949" s="1757"/>
      <c r="L949" s="1757"/>
      <c r="M949" s="1757"/>
      <c r="N949" s="1757"/>
      <c r="O949" s="1757"/>
      <c r="P949" s="1757"/>
      <c r="Q949" s="1757"/>
      <c r="R949" s="1757"/>
      <c r="S949" s="1757"/>
      <c r="T949" s="1757"/>
      <c r="U949" s="1757"/>
      <c r="V949" s="1757"/>
      <c r="W949" s="1757"/>
      <c r="X949" s="1757"/>
      <c r="Y949" s="1757"/>
      <c r="Z949" s="1757"/>
      <c r="AA949" s="1757"/>
      <c r="AB949" s="1757"/>
      <c r="AC949" s="1757"/>
      <c r="AD949" s="1757"/>
      <c r="AE949" s="1757"/>
      <c r="AF949" s="1757"/>
      <c r="AG949" s="1757"/>
      <c r="AH949" s="1757"/>
      <c r="AI949" s="1757"/>
      <c r="AJ949" s="1757"/>
      <c r="AK949" s="1757"/>
      <c r="AL949" s="1757"/>
      <c r="AM949" s="1757"/>
      <c r="AN949" s="1757"/>
      <c r="AO949" s="1757"/>
      <c r="AP949" s="1757"/>
      <c r="AQ949" s="1757"/>
      <c r="AR949" s="1757"/>
      <c r="AS949" s="175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57"/>
      <c r="B950" s="1757"/>
      <c r="C950" s="1757"/>
      <c r="D950" s="1757"/>
      <c r="E950" s="1757"/>
      <c r="F950" s="1757"/>
      <c r="G950" s="1757"/>
      <c r="H950" s="1757"/>
      <c r="I950" s="1757"/>
      <c r="J950" s="1757"/>
      <c r="K950" s="1757"/>
      <c r="L950" s="1757"/>
      <c r="M950" s="1757"/>
      <c r="N950" s="1757"/>
      <c r="O950" s="1757"/>
      <c r="P950" s="1757"/>
      <c r="Q950" s="1757"/>
      <c r="R950" s="1757"/>
      <c r="S950" s="1757"/>
      <c r="T950" s="1757"/>
      <c r="U950" s="1757"/>
      <c r="V950" s="1757"/>
      <c r="W950" s="1757"/>
      <c r="X950" s="1757"/>
      <c r="Y950" s="1757"/>
      <c r="Z950" s="1757"/>
      <c r="AA950" s="1757"/>
      <c r="AB950" s="1757"/>
      <c r="AC950" s="1757"/>
      <c r="AD950" s="1757"/>
      <c r="AE950" s="1757"/>
      <c r="AF950" s="1757"/>
      <c r="AG950" s="1757"/>
      <c r="AH950" s="1757"/>
      <c r="AI950" s="1757"/>
      <c r="AJ950" s="1757"/>
      <c r="AK950" s="1757"/>
      <c r="AL950" s="1757"/>
      <c r="AM950" s="1757"/>
      <c r="AN950" s="1757"/>
      <c r="AO950" s="1757"/>
      <c r="AP950" s="1757"/>
      <c r="AQ950" s="1757"/>
      <c r="AR950" s="1757"/>
      <c r="AS950" s="175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33"/>
      <c r="BH951" s="1633"/>
      <c r="BI951" s="1633"/>
      <c r="BJ951" s="1633"/>
      <c r="BK951" s="1633"/>
      <c r="BL951" s="163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9" t="s">
        <v>648</v>
      </c>
      <c r="E954" s="1810"/>
      <c r="F954" s="1810"/>
      <c r="G954" s="1810"/>
      <c r="H954" s="1810"/>
      <c r="I954" s="1810"/>
      <c r="J954" s="1810"/>
      <c r="K954" s="1810"/>
      <c r="L954" s="1810"/>
      <c r="M954" s="1810"/>
      <c r="N954" s="1810"/>
      <c r="O954" s="1810"/>
      <c r="P954" s="1810"/>
      <c r="Q954" s="1811"/>
      <c r="R954" s="1809" t="s">
        <v>649</v>
      </c>
      <c r="S954" s="1810"/>
      <c r="T954" s="1810"/>
      <c r="U954" s="1810"/>
      <c r="V954" s="1810"/>
      <c r="W954" s="1810"/>
      <c r="X954" s="1810"/>
      <c r="Y954" s="1810"/>
      <c r="Z954" s="1810"/>
      <c r="AA954" s="1811"/>
      <c r="AB954" s="1809" t="s">
        <v>650</v>
      </c>
      <c r="AC954" s="1810"/>
      <c r="AD954" s="1810"/>
      <c r="AE954" s="1810"/>
      <c r="AF954" s="1810"/>
      <c r="AG954" s="1810"/>
      <c r="AH954" s="1810"/>
      <c r="AI954" s="1811"/>
      <c r="AJ954" s="1809" t="s">
        <v>651</v>
      </c>
      <c r="AK954" s="1810"/>
      <c r="AL954" s="1810"/>
      <c r="AM954" s="1810"/>
      <c r="AN954" s="1810"/>
      <c r="AO954" s="1810"/>
      <c r="AP954" s="1810"/>
      <c r="AQ954" s="181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6" t="s">
        <v>643</v>
      </c>
      <c r="E955" s="1717"/>
      <c r="F955" s="1717"/>
      <c r="G955" s="1717"/>
      <c r="H955" s="1717"/>
      <c r="I955" s="1717"/>
      <c r="J955" s="1717"/>
      <c r="K955" s="1717"/>
      <c r="L955" s="1717"/>
      <c r="M955" s="1717"/>
      <c r="N955" s="1717"/>
      <c r="O955" s="1717"/>
      <c r="P955" s="1717"/>
      <c r="Q955" s="1718"/>
      <c r="R955" s="1723">
        <f>IF(ISNA(IF($BN$785="4%",(INDEX($BP$795:$BT$852,MATCH($CB$785,$BO$795:$BO$852,0),MATCH(D955,$BP$794:$BT$794,0))),(INDEX($BW$795:$CA$852,MATCH($CB$785,$BV$795:$BV$852,0),MATCH(D955,$BW$794:$CA$794,0))))),0,IF($BN$785="4%",(INDEX($BP$795:$BT$852,MATCH($CB$785,$BO$795:$BO$852,0),MATCH(D955,$BP$794:$BT$794,0))),(INDEX($BW$795:$CA$852,MATCH($CB$785,$BV$795:$BV$852,0),MATCH(D955,$BW$794:$CA$794,0)))))</f>
        <v>319236</v>
      </c>
      <c r="S955" s="1723"/>
      <c r="T955" s="1723"/>
      <c r="U955" s="1723"/>
      <c r="V955" s="1723"/>
      <c r="W955" s="1723"/>
      <c r="X955" s="1723"/>
      <c r="Y955" s="1723"/>
      <c r="Z955" s="1723"/>
      <c r="AA955" s="1723"/>
      <c r="AB955" s="1812">
        <f>BN649</f>
        <v>0</v>
      </c>
      <c r="AC955" s="1813"/>
      <c r="AD955" s="1813"/>
      <c r="AE955" s="1813"/>
      <c r="AF955" s="1813"/>
      <c r="AG955" s="1813"/>
      <c r="AH955" s="1813"/>
      <c r="AI955" s="1814"/>
      <c r="AJ955" s="1720">
        <f>IF(ISERROR((R955*AB955)),0,(R955*AB955))</f>
        <v>0</v>
      </c>
      <c r="AK955" s="1721"/>
      <c r="AL955" s="1721"/>
      <c r="AM955" s="1721"/>
      <c r="AN955" s="1721"/>
      <c r="AO955" s="1721"/>
      <c r="AP955" s="1721"/>
      <c r="AQ955" s="172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6" t="s">
        <v>327</v>
      </c>
      <c r="E956" s="1717"/>
      <c r="F956" s="1717"/>
      <c r="G956" s="1717"/>
      <c r="H956" s="1717"/>
      <c r="I956" s="1717"/>
      <c r="J956" s="1717"/>
      <c r="K956" s="1717"/>
      <c r="L956" s="1717"/>
      <c r="M956" s="1717"/>
      <c r="N956" s="1717"/>
      <c r="O956" s="1717"/>
      <c r="P956" s="1717"/>
      <c r="Q956" s="1718"/>
      <c r="R956" s="1723">
        <f>IF(ISNA(IF($BN$785="4%",(INDEX($BP$795:$BT$852,MATCH($CB$785,$BO$795:$BO$852,0),MATCH(D956,$BP$794:$BT$794,0))),(INDEX($BW$795:$CA$852,MATCH($CB$785,$BV$795:$BV$852,0),MATCH(D956,$BW$794:$CA$794,0))))),0,IF($BN$785="4%",(INDEX($BP$795:$BT$852,MATCH($CB$785,$BO$795:$BO$852,0),MATCH(D956,$BP$794:$BT$794,0))),(INDEX($BW$795:$CA$852,MATCH($CB$785,$BV$795:$BV$852,0),MATCH(D956,$BW$794:$CA$794,0)))))</f>
        <v>368076</v>
      </c>
      <c r="S956" s="1723"/>
      <c r="T956" s="1723"/>
      <c r="U956" s="1723"/>
      <c r="V956" s="1723"/>
      <c r="W956" s="1723"/>
      <c r="X956" s="1723"/>
      <c r="Y956" s="1723"/>
      <c r="Z956" s="1723"/>
      <c r="AA956" s="1723"/>
      <c r="AB956" s="1812">
        <f>BS649</f>
        <v>8</v>
      </c>
      <c r="AC956" s="1813"/>
      <c r="AD956" s="1813"/>
      <c r="AE956" s="1813"/>
      <c r="AF956" s="1813"/>
      <c r="AG956" s="1813"/>
      <c r="AH956" s="1813"/>
      <c r="AI956" s="1814"/>
      <c r="AJ956" s="1720">
        <f>IF(ISERROR((R956*AB956)),0,(R956*AB956))</f>
        <v>2944608</v>
      </c>
      <c r="AK956" s="1721"/>
      <c r="AL956" s="1721"/>
      <c r="AM956" s="1721"/>
      <c r="AN956" s="1721"/>
      <c r="AO956" s="1721"/>
      <c r="AP956" s="1721"/>
      <c r="AQ956" s="172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6" t="s">
        <v>164</v>
      </c>
      <c r="E957" s="1717"/>
      <c r="F957" s="1717"/>
      <c r="G957" s="1717"/>
      <c r="H957" s="1717"/>
      <c r="I957" s="1717"/>
      <c r="J957" s="1717"/>
      <c r="K957" s="1717"/>
      <c r="L957" s="1717"/>
      <c r="M957" s="1717"/>
      <c r="N957" s="1717"/>
      <c r="O957" s="1717"/>
      <c r="P957" s="1717"/>
      <c r="Q957" s="1718"/>
      <c r="R957" s="1723">
        <f>IF(ISNA(IF($BN$785="4%",(INDEX($BP$795:$BT$852,MATCH($CB$785,$BO$795:$BO$852,0),MATCH(D957,$BP$794:$BT$794,0))),(INDEX($BW$795:$CA$852,MATCH($CB$785,$BV$795:$BV$852,0),MATCH(D957,$BW$794:$CA$794,0))))),0,IF($BN$785="4%",(INDEX($BP$795:$BT$852,MATCH($CB$785,$BO$795:$BO$852,0),MATCH(D957,$BP$794:$BT$794,0))),(INDEX($BW$795:$CA$852,MATCH($CB$785,$BV$795:$BV$852,0),MATCH(D957,$BW$794:$CA$794,0)))))</f>
        <v>444000</v>
      </c>
      <c r="S957" s="1723"/>
      <c r="T957" s="1723"/>
      <c r="U957" s="1723"/>
      <c r="V957" s="1723"/>
      <c r="W957" s="1723"/>
      <c r="X957" s="1723"/>
      <c r="Y957" s="1723"/>
      <c r="Z957" s="1723"/>
      <c r="AA957" s="1723"/>
      <c r="AB957" s="1812">
        <f>BX649</f>
        <v>24</v>
      </c>
      <c r="AC957" s="1813"/>
      <c r="AD957" s="1813"/>
      <c r="AE957" s="1813"/>
      <c r="AF957" s="1813"/>
      <c r="AG957" s="1813"/>
      <c r="AH957" s="1813"/>
      <c r="AI957" s="1814"/>
      <c r="AJ957" s="1720">
        <f>IF(ISERROR((R957*AB957)),0,(R957*AB957))</f>
        <v>10656000</v>
      </c>
      <c r="AK957" s="1721"/>
      <c r="AL957" s="1721"/>
      <c r="AM957" s="1721"/>
      <c r="AN957" s="1721"/>
      <c r="AO957" s="1721"/>
      <c r="AP957" s="1721"/>
      <c r="AQ957" s="172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6" t="s">
        <v>165</v>
      </c>
      <c r="E958" s="1717"/>
      <c r="F958" s="1717"/>
      <c r="G958" s="1717"/>
      <c r="H958" s="1717"/>
      <c r="I958" s="1717"/>
      <c r="J958" s="1717"/>
      <c r="K958" s="1717"/>
      <c r="L958" s="1717"/>
      <c r="M958" s="1717"/>
      <c r="N958" s="1717"/>
      <c r="O958" s="1717"/>
      <c r="P958" s="1717"/>
      <c r="Q958" s="1718"/>
      <c r="R958" s="1723">
        <f>IF(ISNA(IF($BN$785="4%",(INDEX($BP$795:$BT$852,MATCH($CB$785,$BO$795:$BO$852,0),MATCH(D958,$BP$794:$BT$794,0))),(INDEX($BW$795:$CA$852,MATCH($CB$785,$BV$795:$BV$852,0),MATCH(D958,$BW$794:$CA$794,0))))),0,IF($BN$785="4%",(INDEX($BP$795:$BT$852,MATCH($CB$785,$BO$795:$BO$852,0),MATCH(D958,$BP$794:$BT$794,0))),(INDEX($BW$795:$CA$852,MATCH($CB$785,$BV$795:$BV$852,0),MATCH(D958,$BW$794:$CA$794,0)))))</f>
        <v>568320</v>
      </c>
      <c r="S958" s="1723"/>
      <c r="T958" s="1723"/>
      <c r="U958" s="1723"/>
      <c r="V958" s="1723"/>
      <c r="W958" s="1723"/>
      <c r="X958" s="1723"/>
      <c r="Y958" s="1723"/>
      <c r="Z958" s="1723"/>
      <c r="AA958" s="1723"/>
      <c r="AB958" s="1812">
        <f>CC649</f>
        <v>33</v>
      </c>
      <c r="AC958" s="1813"/>
      <c r="AD958" s="1813"/>
      <c r="AE958" s="1813"/>
      <c r="AF958" s="1813"/>
      <c r="AG958" s="1813"/>
      <c r="AH958" s="1813"/>
      <c r="AI958" s="1814"/>
      <c r="AJ958" s="1720">
        <f>IF(ISERROR((R958*AB958)),0,(R958*AB958))</f>
        <v>18754560</v>
      </c>
      <c r="AK958" s="1721"/>
      <c r="AL958" s="1721"/>
      <c r="AM958" s="1721"/>
      <c r="AN958" s="1721"/>
      <c r="AO958" s="1721"/>
      <c r="AP958" s="1721"/>
      <c r="AQ958" s="172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6" t="s">
        <v>470</v>
      </c>
      <c r="E959" s="1717"/>
      <c r="F959" s="1717"/>
      <c r="G959" s="1717"/>
      <c r="H959" s="1717"/>
      <c r="I959" s="1717"/>
      <c r="J959" s="1717"/>
      <c r="K959" s="1717"/>
      <c r="L959" s="1717"/>
      <c r="M959" s="1717"/>
      <c r="N959" s="1717"/>
      <c r="O959" s="1717"/>
      <c r="P959" s="1717"/>
      <c r="Q959" s="1718"/>
      <c r="R959" s="1723">
        <f>IF(ISNA(IF($BN$785="4%",(INDEX($BP$795:$BT$852,MATCH($CB$785,$BO$795:$BO$852,0),MATCH(D959,$BP$794:$BT$794,0))),(INDEX($BW$795:$CA$852,MATCH($CB$785,$BV$795:$BV$852,0),MATCH(D959,$BW$794:$CA$794,0))))),0,IF($BN$785="4%",(INDEX($BP$795:$BT$852,MATCH($CB$785,$BO$795:$BO$852,0),MATCH(D959,$BP$794:$BT$794,0))),(INDEX($BW$795:$CA$852,MATCH($CB$785,$BV$795:$BV$852,0),MATCH(D959,$BW$794:$CA$794,0)))))</f>
        <v>633144</v>
      </c>
      <c r="S959" s="1723"/>
      <c r="T959" s="1723"/>
      <c r="U959" s="1723"/>
      <c r="V959" s="1723"/>
      <c r="W959" s="1723"/>
      <c r="X959" s="1723"/>
      <c r="Y959" s="1723"/>
      <c r="Z959" s="1723"/>
      <c r="AA959" s="1723"/>
      <c r="AB959" s="1812">
        <f>CM649+CH649</f>
        <v>10</v>
      </c>
      <c r="AC959" s="1813"/>
      <c r="AD959" s="1813"/>
      <c r="AE959" s="1813"/>
      <c r="AF959" s="1813"/>
      <c r="AG959" s="1813"/>
      <c r="AH959" s="1813"/>
      <c r="AI959" s="1814"/>
      <c r="AJ959" s="1720">
        <f>IF(ISERROR((R959*AB959)),0,(R959*AB959))</f>
        <v>6331440</v>
      </c>
      <c r="AK959" s="1721"/>
      <c r="AL959" s="1721"/>
      <c r="AM959" s="1721"/>
      <c r="AN959" s="1721"/>
      <c r="AO959" s="1721"/>
      <c r="AP959" s="1721"/>
      <c r="AQ959" s="172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9" t="s">
        <v>816</v>
      </c>
      <c r="C960" s="1820"/>
      <c r="D960" s="1820"/>
      <c r="E960" s="1820"/>
      <c r="F960" s="1820"/>
      <c r="G960" s="1820"/>
      <c r="H960" s="1820"/>
      <c r="I960" s="1820"/>
      <c r="J960" s="1820"/>
      <c r="K960" s="1820"/>
      <c r="L960" s="1820"/>
      <c r="M960" s="1820"/>
      <c r="N960" s="1820"/>
      <c r="O960" s="1820"/>
      <c r="P960" s="1820"/>
      <c r="Q960" s="1820"/>
      <c r="R960" s="1820"/>
      <c r="S960" s="1820"/>
      <c r="T960" s="1820"/>
      <c r="U960" s="1820"/>
      <c r="V960" s="1820"/>
      <c r="W960" s="1820"/>
      <c r="X960" s="1820"/>
      <c r="Y960" s="1820"/>
      <c r="Z960" s="1820"/>
      <c r="AA960" s="1821"/>
      <c r="AB960" s="1812">
        <f>SUM(AB955:AI959)</f>
        <v>75</v>
      </c>
      <c r="AC960" s="1813"/>
      <c r="AD960" s="1813"/>
      <c r="AE960" s="1813"/>
      <c r="AF960" s="1813"/>
      <c r="AG960" s="1813"/>
      <c r="AH960" s="1813"/>
      <c r="AI960" s="1814"/>
      <c r="AJ960" s="1720"/>
      <c r="AK960" s="1721"/>
      <c r="AL960" s="1721"/>
      <c r="AM960" s="1721"/>
      <c r="AN960" s="1721"/>
      <c r="AO960" s="1721"/>
      <c r="AP960" s="1721"/>
      <c r="AQ960" s="172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7" t="s">
        <v>522</v>
      </c>
      <c r="C961" s="1838"/>
      <c r="D961" s="1838"/>
      <c r="E961" s="1838"/>
      <c r="F961" s="1838"/>
      <c r="G961" s="1838"/>
      <c r="H961" s="1838"/>
      <c r="I961" s="1838"/>
      <c r="J961" s="1838"/>
      <c r="K961" s="1838"/>
      <c r="L961" s="1838"/>
      <c r="M961" s="1838"/>
      <c r="N961" s="1838"/>
      <c r="O961" s="1838"/>
      <c r="P961" s="1838"/>
      <c r="Q961" s="1838"/>
      <c r="R961" s="1838"/>
      <c r="S961" s="1838"/>
      <c r="T961" s="1838"/>
      <c r="U961" s="1838"/>
      <c r="V961" s="1838"/>
      <c r="W961" s="1838"/>
      <c r="X961" s="1838"/>
      <c r="Y961" s="1838"/>
      <c r="Z961" s="1838"/>
      <c r="AA961" s="1838"/>
      <c r="AB961" s="1838"/>
      <c r="AC961" s="1838"/>
      <c r="AD961" s="1838"/>
      <c r="AE961" s="1838"/>
      <c r="AF961" s="1838"/>
      <c r="AG961" s="1838"/>
      <c r="AH961" s="1838"/>
      <c r="AI961" s="1839"/>
      <c r="AJ961" s="1720">
        <f>SUM(AJ955:AQ959)</f>
        <v>38686608</v>
      </c>
      <c r="AK961" s="1721"/>
      <c r="AL961" s="1721"/>
      <c r="AM961" s="1721"/>
      <c r="AN961" s="1721"/>
      <c r="AO961" s="1721"/>
      <c r="AP961" s="1721"/>
      <c r="AQ961" s="172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03"/>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c r="Y962" s="1804"/>
      <c r="Z962" s="1804"/>
      <c r="AA962" s="1804"/>
      <c r="AB962" s="1804"/>
      <c r="AC962" s="1804"/>
      <c r="AD962" s="1804"/>
      <c r="AE962" s="1805"/>
      <c r="AF962" s="1840" t="s">
        <v>676</v>
      </c>
      <c r="AG962" s="1841"/>
      <c r="AH962" s="1841"/>
      <c r="AI962" s="1842"/>
      <c r="AJ962" s="1803"/>
      <c r="AK962" s="1804"/>
      <c r="AL962" s="1804"/>
      <c r="AM962" s="1804"/>
      <c r="AN962" s="1804"/>
      <c r="AO962" s="1804"/>
      <c r="AP962" s="1804"/>
      <c r="AQ962" s="180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806" t="s">
        <v>1365</v>
      </c>
      <c r="E963" s="1807"/>
      <c r="F963" s="1807"/>
      <c r="G963" s="1807"/>
      <c r="H963" s="1807"/>
      <c r="I963" s="1807"/>
      <c r="J963" s="1807"/>
      <c r="K963" s="1807"/>
      <c r="L963" s="1807"/>
      <c r="M963" s="1807"/>
      <c r="N963" s="1807"/>
      <c r="O963" s="1807"/>
      <c r="P963" s="1807"/>
      <c r="Q963" s="1807"/>
      <c r="R963" s="1807"/>
      <c r="S963" s="1807"/>
      <c r="T963" s="1807"/>
      <c r="U963" s="1807"/>
      <c r="V963" s="1807"/>
      <c r="W963" s="1807"/>
      <c r="X963" s="1807"/>
      <c r="Y963" s="1807"/>
      <c r="Z963" s="1807"/>
      <c r="AA963" s="1807"/>
      <c r="AB963" s="1807"/>
      <c r="AC963" s="1807"/>
      <c r="AD963" s="1807"/>
      <c r="AE963" s="1808"/>
      <c r="AF963" s="79"/>
      <c r="AG963" s="1843" t="s">
        <v>555</v>
      </c>
      <c r="AH963" s="1844"/>
      <c r="AI963" s="87"/>
      <c r="AJ963" s="1786">
        <f>ROUND(IF(AND(AG963="yes",D965&gt;0),AJ961*0.2,0),0)</f>
        <v>7737322</v>
      </c>
      <c r="AK963" s="1787"/>
      <c r="AL963" s="1787"/>
      <c r="AM963" s="1787"/>
      <c r="AN963" s="1787"/>
      <c r="AO963" s="1787"/>
      <c r="AP963" s="1787"/>
      <c r="AQ963" s="17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2" t="s">
        <v>1366</v>
      </c>
      <c r="E964" s="1823"/>
      <c r="F964" s="1823"/>
      <c r="G964" s="1823"/>
      <c r="H964" s="1823"/>
      <c r="I964" s="1823"/>
      <c r="J964" s="1823"/>
      <c r="K964" s="1823"/>
      <c r="L964" s="1823"/>
      <c r="M964" s="1823"/>
      <c r="N964" s="1823"/>
      <c r="O964" s="1823"/>
      <c r="P964" s="1823"/>
      <c r="Q964" s="1823"/>
      <c r="R964" s="1823"/>
      <c r="S964" s="1823"/>
      <c r="T964" s="1823"/>
      <c r="U964" s="1823"/>
      <c r="V964" s="1823"/>
      <c r="W964" s="1823"/>
      <c r="X964" s="1823"/>
      <c r="Y964" s="1823"/>
      <c r="Z964" s="1823"/>
      <c r="AA964" s="1823"/>
      <c r="AB964" s="1823"/>
      <c r="AC964" s="1823"/>
      <c r="AD964" s="1823"/>
      <c r="AE964" s="1824"/>
      <c r="AF964" s="73"/>
      <c r="AG964" s="14"/>
      <c r="AH964" s="14"/>
      <c r="AI964" s="83"/>
      <c r="AJ964" s="1789"/>
      <c r="AK964" s="1790"/>
      <c r="AL964" s="1790"/>
      <c r="AM964" s="1790"/>
      <c r="AN964" s="1790"/>
      <c r="AO964" s="1790"/>
      <c r="AP964" s="1790"/>
      <c r="AQ964" s="17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5" t="s">
        <v>2724</v>
      </c>
      <c r="E965" s="1826"/>
      <c r="F965" s="1826"/>
      <c r="G965" s="1826"/>
      <c r="H965" s="1826"/>
      <c r="I965" s="1826"/>
      <c r="J965" s="1826"/>
      <c r="K965" s="1826"/>
      <c r="L965" s="1826"/>
      <c r="M965" s="1826"/>
      <c r="N965" s="1826"/>
      <c r="O965" s="1826"/>
      <c r="P965" s="1826"/>
      <c r="Q965" s="1826"/>
      <c r="R965" s="1826"/>
      <c r="S965" s="1826"/>
      <c r="T965" s="1826"/>
      <c r="U965" s="1826"/>
      <c r="V965" s="1826"/>
      <c r="W965" s="1826"/>
      <c r="X965" s="1826"/>
      <c r="Y965" s="1826"/>
      <c r="Z965" s="1826"/>
      <c r="AA965" s="1826"/>
      <c r="AB965" s="1826"/>
      <c r="AC965" s="1826"/>
      <c r="AD965" s="1826"/>
      <c r="AE965" s="1827"/>
      <c r="AF965" s="77"/>
      <c r="AG965" s="7"/>
      <c r="AH965" s="7"/>
      <c r="AI965" s="78"/>
      <c r="AJ965" s="1792"/>
      <c r="AK965" s="1793"/>
      <c r="AL965" s="1793"/>
      <c r="AM965" s="1793"/>
      <c r="AN965" s="1793"/>
      <c r="AO965" s="1793"/>
      <c r="AP965" s="1793"/>
      <c r="AQ965" s="17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8" t="s">
        <v>1451</v>
      </c>
      <c r="E966" s="1759"/>
      <c r="F966" s="1759"/>
      <c r="G966" s="1759"/>
      <c r="H966" s="1759"/>
      <c r="I966" s="1759"/>
      <c r="J966" s="1759"/>
      <c r="K966" s="1759"/>
      <c r="L966" s="1759"/>
      <c r="M966" s="1759"/>
      <c r="N966" s="1759"/>
      <c r="O966" s="1759"/>
      <c r="P966" s="1759"/>
      <c r="Q966" s="1759"/>
      <c r="R966" s="1759"/>
      <c r="S966" s="1759"/>
      <c r="T966" s="1759"/>
      <c r="U966" s="1759"/>
      <c r="V966" s="1759"/>
      <c r="W966" s="1759"/>
      <c r="X966" s="1759"/>
      <c r="Y966" s="1759"/>
      <c r="Z966" s="1759"/>
      <c r="AA966" s="1759"/>
      <c r="AB966" s="1759"/>
      <c r="AC966" s="1759"/>
      <c r="AD966" s="1759"/>
      <c r="AE966" s="1760"/>
      <c r="AF966" s="79"/>
      <c r="AG966" s="1779" t="s">
        <v>679</v>
      </c>
      <c r="AH966" s="1780"/>
      <c r="AI966" s="87"/>
      <c r="AJ966" s="1786">
        <f>ROUND(IF(AG966="yes",AJ961*0.05,0),0)</f>
        <v>0</v>
      </c>
      <c r="AK966" s="1787"/>
      <c r="AL966" s="1787"/>
      <c r="AM966" s="1787"/>
      <c r="AN966" s="1787"/>
      <c r="AO966" s="1787"/>
      <c r="AP966" s="1787"/>
      <c r="AQ966" s="17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2" t="s">
        <v>1449</v>
      </c>
      <c r="E967" s="1823"/>
      <c r="F967" s="1823"/>
      <c r="G967" s="1823"/>
      <c r="H967" s="1823"/>
      <c r="I967" s="1823"/>
      <c r="J967" s="1823"/>
      <c r="K967" s="1823"/>
      <c r="L967" s="1823"/>
      <c r="M967" s="1823"/>
      <c r="N967" s="1823"/>
      <c r="O967" s="1823"/>
      <c r="P967" s="1823"/>
      <c r="Q967" s="1823"/>
      <c r="R967" s="1823"/>
      <c r="S967" s="1823"/>
      <c r="T967" s="1823"/>
      <c r="U967" s="1823"/>
      <c r="V967" s="1823"/>
      <c r="W967" s="1823"/>
      <c r="X967" s="1823"/>
      <c r="Y967" s="1823"/>
      <c r="Z967" s="1823"/>
      <c r="AA967" s="1823"/>
      <c r="AB967" s="1823"/>
      <c r="AC967" s="1823"/>
      <c r="AD967" s="1823"/>
      <c r="AE967" s="1824"/>
      <c r="AF967" s="73"/>
      <c r="AG967" s="14"/>
      <c r="AH967" s="14"/>
      <c r="AI967" s="83"/>
      <c r="AJ967" s="1789"/>
      <c r="AK967" s="1790"/>
      <c r="AL967" s="1790"/>
      <c r="AM967" s="1790"/>
      <c r="AN967" s="1790"/>
      <c r="AO967" s="1790"/>
      <c r="AP967" s="1790"/>
      <c r="AQ967" s="17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2"/>
      <c r="E968" s="1823"/>
      <c r="F968" s="1823"/>
      <c r="G968" s="1823"/>
      <c r="H968" s="1823"/>
      <c r="I968" s="1823"/>
      <c r="J968" s="1823"/>
      <c r="K968" s="1823"/>
      <c r="L968" s="1823"/>
      <c r="M968" s="1823"/>
      <c r="N968" s="1823"/>
      <c r="O968" s="1823"/>
      <c r="P968" s="1823"/>
      <c r="Q968" s="1823"/>
      <c r="R968" s="1823"/>
      <c r="S968" s="1823"/>
      <c r="T968" s="1823"/>
      <c r="U968" s="1823"/>
      <c r="V968" s="1823"/>
      <c r="W968" s="1823"/>
      <c r="X968" s="1823"/>
      <c r="Y968" s="1823"/>
      <c r="Z968" s="1823"/>
      <c r="AA968" s="1823"/>
      <c r="AB968" s="1823"/>
      <c r="AC968" s="1823"/>
      <c r="AD968" s="1823"/>
      <c r="AE968" s="1824"/>
      <c r="AF968" s="73"/>
      <c r="AG968" s="14"/>
      <c r="AH968" s="14"/>
      <c r="AI968" s="83"/>
      <c r="AJ968" s="1789"/>
      <c r="AK968" s="1790"/>
      <c r="AL968" s="1790"/>
      <c r="AM968" s="1790"/>
      <c r="AN968" s="1790"/>
      <c r="AO968" s="1790"/>
      <c r="AP968" s="1790"/>
      <c r="AQ968" s="17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2"/>
      <c r="E969" s="1823"/>
      <c r="F969" s="1823"/>
      <c r="G969" s="1823"/>
      <c r="H969" s="1823"/>
      <c r="I969" s="1823"/>
      <c r="J969" s="1823"/>
      <c r="K969" s="1823"/>
      <c r="L969" s="1823"/>
      <c r="M969" s="1823"/>
      <c r="N969" s="1823"/>
      <c r="O969" s="1823"/>
      <c r="P969" s="1823"/>
      <c r="Q969" s="1823"/>
      <c r="R969" s="1823"/>
      <c r="S969" s="1823"/>
      <c r="T969" s="1823"/>
      <c r="U969" s="1823"/>
      <c r="V969" s="1823"/>
      <c r="W969" s="1823"/>
      <c r="X969" s="1823"/>
      <c r="Y969" s="1823"/>
      <c r="Z969" s="1823"/>
      <c r="AA969" s="1823"/>
      <c r="AB969" s="1823"/>
      <c r="AC969" s="1823"/>
      <c r="AD969" s="1823"/>
      <c r="AE969" s="1824"/>
      <c r="AF969" s="73"/>
      <c r="AG969" s="14"/>
      <c r="AH969" s="14"/>
      <c r="AI969" s="83"/>
      <c r="AJ969" s="1789"/>
      <c r="AK969" s="1790"/>
      <c r="AL969" s="1790"/>
      <c r="AM969" s="1790"/>
      <c r="AN969" s="1790"/>
      <c r="AO969" s="1790"/>
      <c r="AP969" s="1790"/>
      <c r="AQ969" s="17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2"/>
      <c r="E970" s="1823"/>
      <c r="F970" s="1823"/>
      <c r="G970" s="1823"/>
      <c r="H970" s="1823"/>
      <c r="I970" s="1823"/>
      <c r="J970" s="1823"/>
      <c r="K970" s="1823"/>
      <c r="L970" s="1823"/>
      <c r="M970" s="1823"/>
      <c r="N970" s="1823"/>
      <c r="O970" s="1823"/>
      <c r="P970" s="1823"/>
      <c r="Q970" s="1823"/>
      <c r="R970" s="1823"/>
      <c r="S970" s="1823"/>
      <c r="T970" s="1823"/>
      <c r="U970" s="1823"/>
      <c r="V970" s="1823"/>
      <c r="W970" s="1823"/>
      <c r="X970" s="1823"/>
      <c r="Y970" s="1823"/>
      <c r="Z970" s="1823"/>
      <c r="AA970" s="1823"/>
      <c r="AB970" s="1823"/>
      <c r="AC970" s="1823"/>
      <c r="AD970" s="1823"/>
      <c r="AE970" s="1824"/>
      <c r="AF970" s="73"/>
      <c r="AG970" s="14"/>
      <c r="AH970" s="14"/>
      <c r="AI970" s="83"/>
      <c r="AJ970" s="1789"/>
      <c r="AK970" s="1790"/>
      <c r="AL970" s="1790"/>
      <c r="AM970" s="1790"/>
      <c r="AN970" s="1790"/>
      <c r="AO970" s="1790"/>
      <c r="AP970" s="1790"/>
      <c r="AQ970" s="17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8"/>
      <c r="E971" s="1829"/>
      <c r="F971" s="1829"/>
      <c r="G971" s="1829"/>
      <c r="H971" s="1829"/>
      <c r="I971" s="1829"/>
      <c r="J971" s="1829"/>
      <c r="K971" s="1829"/>
      <c r="L971" s="1829"/>
      <c r="M971" s="1829"/>
      <c r="N971" s="1829"/>
      <c r="O971" s="1829"/>
      <c r="P971" s="1829"/>
      <c r="Q971" s="1829"/>
      <c r="R971" s="1829"/>
      <c r="S971" s="1829"/>
      <c r="T971" s="1829"/>
      <c r="U971" s="1829"/>
      <c r="V971" s="1829"/>
      <c r="W971" s="1829"/>
      <c r="X971" s="1829"/>
      <c r="Y971" s="1829"/>
      <c r="Z971" s="1829"/>
      <c r="AA971" s="1829"/>
      <c r="AB971" s="1829"/>
      <c r="AC971" s="1829"/>
      <c r="AD971" s="1829"/>
      <c r="AE971" s="1830"/>
      <c r="AF971" s="77"/>
      <c r="AG971" s="7"/>
      <c r="AH971" s="7"/>
      <c r="AI971" s="78"/>
      <c r="AJ971" s="1792"/>
      <c r="AK971" s="1793"/>
      <c r="AL971" s="1793"/>
      <c r="AM971" s="1793"/>
      <c r="AN971" s="1793"/>
      <c r="AO971" s="1793"/>
      <c r="AP971" s="1793"/>
      <c r="AQ971" s="17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8" t="s">
        <v>1944</v>
      </c>
      <c r="E972" s="1759"/>
      <c r="F972" s="1759"/>
      <c r="G972" s="1759"/>
      <c r="H972" s="1759"/>
      <c r="I972" s="1759"/>
      <c r="J972" s="1759"/>
      <c r="K972" s="1759"/>
      <c r="L972" s="1759"/>
      <c r="M972" s="1759"/>
      <c r="N972" s="1759"/>
      <c r="O972" s="1759"/>
      <c r="P972" s="1759"/>
      <c r="Q972" s="1759"/>
      <c r="R972" s="1759"/>
      <c r="S972" s="1759"/>
      <c r="T972" s="1759"/>
      <c r="U972" s="1759"/>
      <c r="V972" s="1759"/>
      <c r="W972" s="1759"/>
      <c r="X972" s="1759"/>
      <c r="Y972" s="1759"/>
      <c r="Z972" s="1759"/>
      <c r="AA972" s="1759"/>
      <c r="AB972" s="1759"/>
      <c r="AC972" s="1759"/>
      <c r="AD972" s="1759"/>
      <c r="AE972" s="1760"/>
      <c r="AF972" s="86"/>
      <c r="AG972" s="1779" t="s">
        <v>679</v>
      </c>
      <c r="AH972" s="1780"/>
      <c r="AI972" s="87"/>
      <c r="AJ972" s="1786">
        <f>ROUND(IF(AG972="yes",AJ961*0.1,0),0)</f>
        <v>0</v>
      </c>
      <c r="AK972" s="1787"/>
      <c r="AL972" s="1787"/>
      <c r="AM972" s="1787"/>
      <c r="AN972" s="1787"/>
      <c r="AO972" s="1787"/>
      <c r="AP972" s="1787"/>
      <c r="AQ972" s="17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70" t="s">
        <v>1450</v>
      </c>
      <c r="E973" s="1771"/>
      <c r="F973" s="1771"/>
      <c r="G973" s="1771"/>
      <c r="H973" s="1771"/>
      <c r="I973" s="1771"/>
      <c r="J973" s="1771"/>
      <c r="K973" s="1771"/>
      <c r="L973" s="1771"/>
      <c r="M973" s="1771"/>
      <c r="N973" s="1771"/>
      <c r="O973" s="1771"/>
      <c r="P973" s="1771"/>
      <c r="Q973" s="1771"/>
      <c r="R973" s="1771"/>
      <c r="S973" s="1771"/>
      <c r="T973" s="1771"/>
      <c r="U973" s="1771"/>
      <c r="V973" s="1771"/>
      <c r="W973" s="1771"/>
      <c r="X973" s="1771"/>
      <c r="Y973" s="1771"/>
      <c r="Z973" s="1771"/>
      <c r="AA973" s="1771"/>
      <c r="AB973" s="1771"/>
      <c r="AC973" s="1771"/>
      <c r="AD973" s="1771"/>
      <c r="AE973" s="1772"/>
      <c r="AF973" s="73"/>
      <c r="AI973" s="83"/>
      <c r="AJ973" s="1789"/>
      <c r="AK973" s="1790"/>
      <c r="AL973" s="1790"/>
      <c r="AM973" s="1790"/>
      <c r="AN973" s="1790"/>
      <c r="AO973" s="1790"/>
      <c r="AP973" s="1790"/>
      <c r="AQ973" s="1791"/>
      <c r="AR973" s="68"/>
      <c r="AS973" s="68"/>
      <c r="AT973" s="68"/>
      <c r="AU973" s="68"/>
      <c r="AV973" s="68"/>
      <c r="AW973" s="68"/>
      <c r="AX973" s="68"/>
      <c r="AY973" s="68"/>
      <c r="AZ973" s="34"/>
      <c r="BA973" s="951">
        <f>G739+O782</f>
        <v>74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70"/>
      <c r="E974" s="1771"/>
      <c r="F974" s="1771"/>
      <c r="G974" s="1771"/>
      <c r="H974" s="1771"/>
      <c r="I974" s="1771"/>
      <c r="J974" s="1771"/>
      <c r="K974" s="1771"/>
      <c r="L974" s="1771"/>
      <c r="M974" s="1771"/>
      <c r="N974" s="1771"/>
      <c r="O974" s="1771"/>
      <c r="P974" s="1771"/>
      <c r="Q974" s="1771"/>
      <c r="R974" s="1771"/>
      <c r="S974" s="1771"/>
      <c r="T974" s="1771"/>
      <c r="U974" s="1771"/>
      <c r="V974" s="1771"/>
      <c r="W974" s="1771"/>
      <c r="X974" s="1771"/>
      <c r="Y974" s="1771"/>
      <c r="Z974" s="1771"/>
      <c r="AA974" s="1771"/>
      <c r="AB974" s="1771"/>
      <c r="AC974" s="1771"/>
      <c r="AD974" s="1771"/>
      <c r="AE974" s="1772"/>
      <c r="AF974" s="73"/>
      <c r="AG974" s="14"/>
      <c r="AH974" s="14"/>
      <c r="AI974" s="83"/>
      <c r="AJ974" s="1789"/>
      <c r="AK974" s="1790"/>
      <c r="AL974" s="1790"/>
      <c r="AM974" s="1790"/>
      <c r="AN974" s="1790"/>
      <c r="AO974" s="1790"/>
      <c r="AP974" s="1790"/>
      <c r="AQ974" s="17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83"/>
      <c r="E975" s="1784"/>
      <c r="F975" s="1784"/>
      <c r="G975" s="1784"/>
      <c r="H975" s="1784"/>
      <c r="I975" s="1784"/>
      <c r="J975" s="1784"/>
      <c r="K975" s="1784"/>
      <c r="L975" s="1784"/>
      <c r="M975" s="1784"/>
      <c r="N975" s="1784"/>
      <c r="O975" s="1784"/>
      <c r="P975" s="1784"/>
      <c r="Q975" s="1784"/>
      <c r="R975" s="1784"/>
      <c r="S975" s="1784"/>
      <c r="T975" s="1784"/>
      <c r="U975" s="1784"/>
      <c r="V975" s="1784"/>
      <c r="W975" s="1784"/>
      <c r="X975" s="1784"/>
      <c r="Y975" s="1784"/>
      <c r="Z975" s="1784"/>
      <c r="AA975" s="1784"/>
      <c r="AB975" s="1784"/>
      <c r="AC975" s="1784"/>
      <c r="AD975" s="1784"/>
      <c r="AE975" s="1785"/>
      <c r="AF975" s="77"/>
      <c r="AG975" s="7"/>
      <c r="AH975" s="7"/>
      <c r="AI975" s="78"/>
      <c r="AJ975" s="1792"/>
      <c r="AK975" s="1793"/>
      <c r="AL975" s="1793"/>
      <c r="AM975" s="1793"/>
      <c r="AN975" s="1793"/>
      <c r="AO975" s="1793"/>
      <c r="AP975" s="1793"/>
      <c r="AQ975" s="1794"/>
      <c r="AR975" s="68"/>
      <c r="AS975" s="68"/>
      <c r="AT975" s="68"/>
      <c r="AU975" s="68"/>
      <c r="AV975" s="68"/>
      <c r="AW975" s="68"/>
      <c r="AX975" s="68"/>
      <c r="AY975" s="68"/>
      <c r="AZ975" s="34"/>
      <c r="BA975" s="950">
        <f>ROUNDDOWN(X1013/I1013,2)</f>
        <v>0.66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8" t="s">
        <v>1452</v>
      </c>
      <c r="E976" s="1759"/>
      <c r="F976" s="1759"/>
      <c r="G976" s="1759"/>
      <c r="H976" s="1759"/>
      <c r="I976" s="1759"/>
      <c r="J976" s="1759"/>
      <c r="K976" s="1759"/>
      <c r="L976" s="1759"/>
      <c r="M976" s="1759"/>
      <c r="N976" s="1759"/>
      <c r="O976" s="1759"/>
      <c r="P976" s="1759"/>
      <c r="Q976" s="1759"/>
      <c r="R976" s="1759"/>
      <c r="S976" s="1759"/>
      <c r="T976" s="1759"/>
      <c r="U976" s="1759"/>
      <c r="V976" s="1759"/>
      <c r="W976" s="1759"/>
      <c r="X976" s="1759"/>
      <c r="Y976" s="1759"/>
      <c r="Z976" s="1759"/>
      <c r="AA976" s="1759"/>
      <c r="AB976" s="1759"/>
      <c r="AC976" s="1759"/>
      <c r="AD976" s="1759"/>
      <c r="AE976" s="1760"/>
      <c r="AF976" s="79"/>
      <c r="AG976" s="1779" t="s">
        <v>555</v>
      </c>
      <c r="AH976" s="1780"/>
      <c r="AI976" s="87"/>
      <c r="AJ976" s="1786">
        <f>ROUND(IF(AG976="yes",AJ961*0.02,0),0)</f>
        <v>773732</v>
      </c>
      <c r="AK976" s="1787"/>
      <c r="AL976" s="1787"/>
      <c r="AM976" s="1787"/>
      <c r="AN976" s="1787"/>
      <c r="AO976" s="1787"/>
      <c r="AP976" s="1787"/>
      <c r="AQ976" s="1788"/>
      <c r="AR976" s="68"/>
      <c r="AS976" s="68"/>
      <c r="AT976" s="68"/>
      <c r="AU976" s="68"/>
      <c r="AV976" s="68"/>
      <c r="AW976" s="68"/>
      <c r="AX976" s="68"/>
      <c r="AY976" s="68"/>
      <c r="AZ976" s="34"/>
      <c r="BA976" s="950">
        <f>ROUNDDOWN(X1017/I1017,2)</f>
        <v>0.28000000000000003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83" t="s">
        <v>1453</v>
      </c>
      <c r="E977" s="1784"/>
      <c r="F977" s="1784"/>
      <c r="G977" s="1784"/>
      <c r="H977" s="1784"/>
      <c r="I977" s="1784"/>
      <c r="J977" s="1784"/>
      <c r="K977" s="1784"/>
      <c r="L977" s="1784"/>
      <c r="M977" s="1784"/>
      <c r="N977" s="1784"/>
      <c r="O977" s="1784"/>
      <c r="P977" s="1784"/>
      <c r="Q977" s="1784"/>
      <c r="R977" s="1784"/>
      <c r="S977" s="1784"/>
      <c r="T977" s="1784"/>
      <c r="U977" s="1784"/>
      <c r="V977" s="1784"/>
      <c r="W977" s="1784"/>
      <c r="X977" s="1784"/>
      <c r="Y977" s="1784"/>
      <c r="Z977" s="1784"/>
      <c r="AA977" s="1784"/>
      <c r="AB977" s="1784"/>
      <c r="AC977" s="1784"/>
      <c r="AD977" s="1784"/>
      <c r="AE977" s="1785"/>
      <c r="AF977" s="77"/>
      <c r="AG977" s="7"/>
      <c r="AH977" s="7"/>
      <c r="AI977" s="78"/>
      <c r="AJ977" s="1792"/>
      <c r="AK977" s="1793"/>
      <c r="AL977" s="1793"/>
      <c r="AM977" s="1793"/>
      <c r="AN977" s="1793"/>
      <c r="AO977" s="1793"/>
      <c r="AP977" s="1793"/>
      <c r="AQ977" s="1794"/>
      <c r="AR977" s="68"/>
      <c r="AS977" s="68"/>
      <c r="AT977" s="68"/>
      <c r="AU977" s="68"/>
      <c r="AV977" s="68"/>
      <c r="AW977" s="68"/>
      <c r="AX977" s="68"/>
      <c r="AY977" s="68"/>
      <c r="BB977" s="34"/>
      <c r="BC977" s="34"/>
      <c r="BD977" s="34"/>
      <c r="BE977" s="34"/>
      <c r="BF977" s="34"/>
    </row>
    <row r="978" spans="1:58" ht="12.95" customHeight="1">
      <c r="A978" s="14"/>
      <c r="B978" s="79"/>
      <c r="C978" s="80" t="s">
        <v>217</v>
      </c>
      <c r="D978" s="1758" t="s">
        <v>1454</v>
      </c>
      <c r="E978" s="1759"/>
      <c r="F978" s="1759"/>
      <c r="G978" s="1759"/>
      <c r="H978" s="1759"/>
      <c r="I978" s="1759"/>
      <c r="J978" s="1759"/>
      <c r="K978" s="1759"/>
      <c r="L978" s="1759"/>
      <c r="M978" s="1759"/>
      <c r="N978" s="1759"/>
      <c r="O978" s="1759"/>
      <c r="P978" s="1759"/>
      <c r="Q978" s="1759"/>
      <c r="R978" s="1759"/>
      <c r="S978" s="1759"/>
      <c r="T978" s="1759"/>
      <c r="U978" s="1759"/>
      <c r="V978" s="1759"/>
      <c r="W978" s="1759"/>
      <c r="X978" s="1759"/>
      <c r="Y978" s="1759"/>
      <c r="Z978" s="1759"/>
      <c r="AA978" s="1759"/>
      <c r="AB978" s="1759"/>
      <c r="AC978" s="1759"/>
      <c r="AD978" s="1759"/>
      <c r="AE978" s="1760"/>
      <c r="AF978" s="79"/>
      <c r="AG978" s="1779" t="s">
        <v>679</v>
      </c>
      <c r="AH978" s="1780"/>
      <c r="AI978" s="79"/>
      <c r="AJ978" s="1786">
        <f>ROUND(IF(AG978="yes",AJ961*0.02,0),0)</f>
        <v>0</v>
      </c>
      <c r="AK978" s="1787"/>
      <c r="AL978" s="1787"/>
      <c r="AM978" s="1787"/>
      <c r="AN978" s="1787"/>
      <c r="AO978" s="1787"/>
      <c r="AP978" s="1787"/>
      <c r="AQ978" s="1788"/>
      <c r="AR978" s="68"/>
      <c r="AS978" s="68"/>
      <c r="AT978" s="68"/>
      <c r="AU978" s="68"/>
      <c r="AV978" s="68"/>
      <c r="AW978" s="68"/>
      <c r="AX978" s="68"/>
      <c r="AY978" s="68"/>
    </row>
    <row r="979" spans="1:58" ht="12.95" customHeight="1">
      <c r="A979" s="14"/>
      <c r="B979" s="73"/>
      <c r="C979" s="74"/>
      <c r="D979" s="1770" t="s">
        <v>1455</v>
      </c>
      <c r="E979" s="1771"/>
      <c r="F979" s="1771"/>
      <c r="G979" s="1771"/>
      <c r="H979" s="1771"/>
      <c r="I979" s="1771"/>
      <c r="J979" s="1771"/>
      <c r="K979" s="1771"/>
      <c r="L979" s="1771"/>
      <c r="M979" s="1771"/>
      <c r="N979" s="1771"/>
      <c r="O979" s="1771"/>
      <c r="P979" s="1771"/>
      <c r="Q979" s="1771"/>
      <c r="R979" s="1771"/>
      <c r="S979" s="1771"/>
      <c r="T979" s="1771"/>
      <c r="U979" s="1771"/>
      <c r="V979" s="1771"/>
      <c r="W979" s="1771"/>
      <c r="X979" s="1771"/>
      <c r="Y979" s="1771"/>
      <c r="Z979" s="1771"/>
      <c r="AA979" s="1771"/>
      <c r="AB979" s="1771"/>
      <c r="AC979" s="1771"/>
      <c r="AD979" s="1771"/>
      <c r="AE979" s="1772"/>
      <c r="AF979" s="73"/>
      <c r="AI979" s="14"/>
      <c r="AJ979" s="1789"/>
      <c r="AK979" s="1790"/>
      <c r="AL979" s="1790"/>
      <c r="AM979" s="1790"/>
      <c r="AN979" s="1790"/>
      <c r="AO979" s="1790"/>
      <c r="AP979" s="1790"/>
      <c r="AQ979" s="1791"/>
      <c r="AR979" s="68"/>
      <c r="AS979" s="68"/>
      <c r="AT979" s="68"/>
      <c r="AU979" s="68"/>
      <c r="AV979" s="68"/>
      <c r="AW979" s="68"/>
      <c r="AX979" s="68"/>
      <c r="AY979" s="68"/>
    </row>
    <row r="980" spans="1:58" ht="12.95" customHeight="1">
      <c r="A980" s="14"/>
      <c r="B980" s="75"/>
      <c r="C980" s="76"/>
      <c r="D980" s="1783"/>
      <c r="E980" s="1784"/>
      <c r="F980" s="1784"/>
      <c r="G980" s="1784"/>
      <c r="H980" s="1784"/>
      <c r="I980" s="1784"/>
      <c r="J980" s="1784"/>
      <c r="K980" s="1784"/>
      <c r="L980" s="1784"/>
      <c r="M980" s="1784"/>
      <c r="N980" s="1784"/>
      <c r="O980" s="1784"/>
      <c r="P980" s="1784"/>
      <c r="Q980" s="1784"/>
      <c r="R980" s="1784"/>
      <c r="S980" s="1784"/>
      <c r="T980" s="1784"/>
      <c r="U980" s="1784"/>
      <c r="V980" s="1784"/>
      <c r="W980" s="1784"/>
      <c r="X980" s="1784"/>
      <c r="Y980" s="1784"/>
      <c r="Z980" s="1784"/>
      <c r="AA980" s="1784"/>
      <c r="AB980" s="1784"/>
      <c r="AC980" s="1784"/>
      <c r="AD980" s="1784"/>
      <c r="AE980" s="1785"/>
      <c r="AF980" s="77"/>
      <c r="AG980" s="7"/>
      <c r="AH980" s="7"/>
      <c r="AI980" s="78"/>
      <c r="AJ980" s="1792"/>
      <c r="AK980" s="1793"/>
      <c r="AL980" s="1793"/>
      <c r="AM980" s="1793"/>
      <c r="AN980" s="1793"/>
      <c r="AO980" s="1793"/>
      <c r="AP980" s="1793"/>
      <c r="AQ980" s="1794"/>
      <c r="AR980" s="68"/>
      <c r="AS980" s="68"/>
      <c r="AT980" s="68"/>
      <c r="AU980" s="68"/>
      <c r="AV980" s="68"/>
      <c r="AW980" s="68"/>
      <c r="AX980" s="68"/>
      <c r="AY980" s="68"/>
    </row>
    <row r="981" spans="1:58" ht="12.95" customHeight="1">
      <c r="A981" s="14"/>
      <c r="B981" s="79"/>
      <c r="C981" s="80" t="s">
        <v>220</v>
      </c>
      <c r="D981" s="1806" t="s">
        <v>1456</v>
      </c>
      <c r="E981" s="1807"/>
      <c r="F981" s="1807"/>
      <c r="G981" s="1807"/>
      <c r="H981" s="1807"/>
      <c r="I981" s="1807"/>
      <c r="J981" s="1807"/>
      <c r="K981" s="1807"/>
      <c r="L981" s="1807"/>
      <c r="M981" s="1807"/>
      <c r="N981" s="1807"/>
      <c r="O981" s="1807"/>
      <c r="P981" s="1807"/>
      <c r="Q981" s="1807"/>
      <c r="R981" s="1807"/>
      <c r="S981" s="1807"/>
      <c r="T981" s="1807"/>
      <c r="U981" s="1807"/>
      <c r="V981" s="1807"/>
      <c r="W981" s="1807"/>
      <c r="X981" s="1807"/>
      <c r="Y981" s="1807"/>
      <c r="Z981" s="1807"/>
      <c r="AA981" s="1807"/>
      <c r="AB981" s="1807"/>
      <c r="AC981" s="1807"/>
      <c r="AD981" s="1807"/>
      <c r="AE981" s="1808"/>
      <c r="AF981" s="79"/>
      <c r="AG981" s="1779" t="s">
        <v>679</v>
      </c>
      <c r="AH981" s="1780"/>
      <c r="AI981" s="87"/>
      <c r="AJ981" s="1786">
        <f>IF(AG981="yes",AJ961*BA981,0)</f>
        <v>0</v>
      </c>
      <c r="AK981" s="1787"/>
      <c r="AL981" s="1787"/>
      <c r="AM981" s="1787"/>
      <c r="AN981" s="1787"/>
      <c r="AO981" s="1787"/>
      <c r="AP981" s="1787"/>
      <c r="AQ981" s="1788"/>
      <c r="AR981" s="68"/>
      <c r="AS981" s="68"/>
      <c r="AT981" s="68"/>
      <c r="AU981" s="68"/>
      <c r="AV981" s="68"/>
      <c r="AW981" s="68"/>
      <c r="AX981" s="68"/>
      <c r="AY981" s="68"/>
      <c r="BA981" s="215">
        <f>IF(SUM(BA983:BA991)&lt;=0.1,SUM(BA983:BA991),0.1)</f>
        <v>0</v>
      </c>
    </row>
    <row r="982" spans="1:58" ht="12.95" customHeight="1">
      <c r="A982" s="14"/>
      <c r="B982" s="73"/>
      <c r="C982" s="74"/>
      <c r="D982" s="1770" t="s">
        <v>1457</v>
      </c>
      <c r="E982" s="1771"/>
      <c r="F982" s="1771"/>
      <c r="G982" s="1771"/>
      <c r="H982" s="1771"/>
      <c r="I982" s="1771"/>
      <c r="J982" s="1771"/>
      <c r="K982" s="1771"/>
      <c r="L982" s="1771"/>
      <c r="M982" s="1771"/>
      <c r="N982" s="1771"/>
      <c r="O982" s="1771"/>
      <c r="P982" s="1771"/>
      <c r="Q982" s="1771"/>
      <c r="R982" s="1771"/>
      <c r="S982" s="1771"/>
      <c r="T982" s="1771"/>
      <c r="U982" s="1771"/>
      <c r="V982" s="1771"/>
      <c r="W982" s="1771"/>
      <c r="X982" s="1771"/>
      <c r="Y982" s="1771"/>
      <c r="Z982" s="1771"/>
      <c r="AA982" s="1771"/>
      <c r="AB982" s="1771"/>
      <c r="AC982" s="1771"/>
      <c r="AD982" s="1771"/>
      <c r="AE982" s="1772"/>
      <c r="AF982" s="73"/>
      <c r="AG982" s="14"/>
      <c r="AH982" s="14"/>
      <c r="AI982" s="83"/>
      <c r="AJ982" s="1789"/>
      <c r="AK982" s="1790"/>
      <c r="AL982" s="1790"/>
      <c r="AM982" s="1790"/>
      <c r="AN982" s="1790"/>
      <c r="AO982" s="1790"/>
      <c r="AP982" s="1790"/>
      <c r="AQ982" s="1791"/>
      <c r="AR982" s="68"/>
      <c r="AS982" s="68"/>
      <c r="AT982" s="68"/>
      <c r="AU982" s="68"/>
      <c r="AV982" s="68"/>
      <c r="AW982" s="68"/>
      <c r="AX982" s="68"/>
      <c r="AY982" s="68"/>
    </row>
    <row r="983" spans="1:58" ht="12.95" customHeight="1">
      <c r="A983" s="14"/>
      <c r="B983" s="73"/>
      <c r="C983" s="74"/>
      <c r="D983" s="1770"/>
      <c r="E983" s="1771"/>
      <c r="F983" s="1771"/>
      <c r="G983" s="1771"/>
      <c r="H983" s="1771"/>
      <c r="I983" s="1771"/>
      <c r="J983" s="1771"/>
      <c r="K983" s="1771"/>
      <c r="L983" s="1771"/>
      <c r="M983" s="1771"/>
      <c r="N983" s="1771"/>
      <c r="O983" s="1771"/>
      <c r="P983" s="1771"/>
      <c r="Q983" s="1771"/>
      <c r="R983" s="1771"/>
      <c r="S983" s="1771"/>
      <c r="T983" s="1771"/>
      <c r="U983" s="1771"/>
      <c r="V983" s="1771"/>
      <c r="W983" s="1771"/>
      <c r="X983" s="1771"/>
      <c r="Y983" s="1771"/>
      <c r="Z983" s="1771"/>
      <c r="AA983" s="1771"/>
      <c r="AB983" s="1771"/>
      <c r="AC983" s="1771"/>
      <c r="AD983" s="1771"/>
      <c r="AE983" s="1772"/>
      <c r="AF983" s="73"/>
      <c r="AG983" s="14"/>
      <c r="AH983" s="14"/>
      <c r="AI983" s="83"/>
      <c r="AJ983" s="1789"/>
      <c r="AK983" s="1790"/>
      <c r="AL983" s="1790"/>
      <c r="AM983" s="1790"/>
      <c r="AN983" s="1790"/>
      <c r="AO983" s="1790"/>
      <c r="AP983" s="1790"/>
      <c r="AQ983" s="1791"/>
      <c r="AR983" s="68"/>
      <c r="AS983" s="68"/>
      <c r="AT983" s="68"/>
      <c r="AU983" s="68"/>
      <c r="AV983" s="68"/>
      <c r="AW983" s="68"/>
      <c r="AX983" s="68"/>
      <c r="AY983" s="68"/>
      <c r="BA983" s="213">
        <f>IF(A1030="Yes",0.05,0)</f>
        <v>0</v>
      </c>
    </row>
    <row r="984" spans="1:58" ht="12.95" customHeight="1">
      <c r="A984" s="14"/>
      <c r="B984" s="81"/>
      <c r="C984" s="82"/>
      <c r="D984" s="1783"/>
      <c r="E984" s="1784"/>
      <c r="F984" s="1784"/>
      <c r="G984" s="1784"/>
      <c r="H984" s="1784"/>
      <c r="I984" s="1784"/>
      <c r="J984" s="1784"/>
      <c r="K984" s="1784"/>
      <c r="L984" s="1784"/>
      <c r="M984" s="1784"/>
      <c r="N984" s="1784"/>
      <c r="O984" s="1784"/>
      <c r="P984" s="1784"/>
      <c r="Q984" s="1784"/>
      <c r="R984" s="1784"/>
      <c r="S984" s="1784"/>
      <c r="T984" s="1784"/>
      <c r="U984" s="1784"/>
      <c r="V984" s="1784"/>
      <c r="W984" s="1784"/>
      <c r="X984" s="1784"/>
      <c r="Y984" s="1784"/>
      <c r="Z984" s="1784"/>
      <c r="AA984" s="1784"/>
      <c r="AB984" s="1784"/>
      <c r="AC984" s="1784"/>
      <c r="AD984" s="1784"/>
      <c r="AE984" s="1785"/>
      <c r="AF984" s="77"/>
      <c r="AG984" s="7"/>
      <c r="AH984" s="7"/>
      <c r="AI984" s="78"/>
      <c r="AJ984" s="1792"/>
      <c r="AK984" s="1793"/>
      <c r="AL984" s="1793"/>
      <c r="AM984" s="1793"/>
      <c r="AN984" s="1793"/>
      <c r="AO984" s="1793"/>
      <c r="AP984" s="1793"/>
      <c r="AQ984" s="1794"/>
      <c r="AR984" s="68"/>
      <c r="AS984" s="68"/>
      <c r="AT984" s="68"/>
      <c r="AU984" s="68"/>
      <c r="AV984" s="68"/>
      <c r="AW984" s="68"/>
      <c r="AX984" s="68"/>
      <c r="AY984" s="68"/>
      <c r="BA984" s="213">
        <f>IF(A1036="Yes",0.02,0)</f>
        <v>0</v>
      </c>
    </row>
    <row r="985" spans="1:58" ht="12.95" customHeight="1">
      <c r="A985" s="14"/>
      <c r="B985" s="79"/>
      <c r="C985" s="80" t="s">
        <v>225</v>
      </c>
      <c r="D985" s="1831" t="s">
        <v>1458</v>
      </c>
      <c r="E985" s="1832"/>
      <c r="F985" s="1832"/>
      <c r="G985" s="1832"/>
      <c r="H985" s="1832"/>
      <c r="I985" s="1832"/>
      <c r="J985" s="1832"/>
      <c r="K985" s="1832"/>
      <c r="L985" s="1832"/>
      <c r="M985" s="1832"/>
      <c r="N985" s="1832"/>
      <c r="O985" s="1832"/>
      <c r="P985" s="1832"/>
      <c r="Q985" s="1832"/>
      <c r="R985" s="1832"/>
      <c r="S985" s="1832"/>
      <c r="T985" s="1832"/>
      <c r="U985" s="1832"/>
      <c r="V985" s="1832"/>
      <c r="W985" s="1832"/>
      <c r="X985" s="1832"/>
      <c r="Y985" s="1832"/>
      <c r="Z985" s="1832"/>
      <c r="AA985" s="1832"/>
      <c r="AB985" s="1832"/>
      <c r="AC985" s="1832"/>
      <c r="AD985" s="1832"/>
      <c r="AE985" s="1833"/>
      <c r="AF985" s="79"/>
      <c r="AG985" s="1779" t="s">
        <v>679</v>
      </c>
      <c r="AH985" s="1780"/>
      <c r="AI985" s="87"/>
      <c r="AJ985" s="1786">
        <f>ROUND(IF(AG985="Yes",MIN(AF988,(0.15*AJ961)),0),0)</f>
        <v>0</v>
      </c>
      <c r="AK985" s="1787"/>
      <c r="AL985" s="1787"/>
      <c r="AM985" s="1787"/>
      <c r="AN985" s="1787"/>
      <c r="AO985" s="1787"/>
      <c r="AP985" s="1787"/>
      <c r="AQ985" s="1788"/>
      <c r="AR985" s="68"/>
      <c r="AS985" s="68"/>
      <c r="AT985" s="68"/>
      <c r="AU985" s="68"/>
      <c r="AV985" s="68"/>
      <c r="AW985" s="68"/>
      <c r="AX985" s="68"/>
      <c r="AY985" s="68"/>
      <c r="BA985" s="213">
        <f>IF(A1042="Yes",0.04,0)</f>
        <v>0</v>
      </c>
    </row>
    <row r="986" spans="1:58" ht="12.95" customHeight="1">
      <c r="A986" s="14"/>
      <c r="B986" s="81"/>
      <c r="C986" s="84"/>
      <c r="D986" s="1834"/>
      <c r="E986" s="1835"/>
      <c r="F986" s="1835"/>
      <c r="G986" s="1835"/>
      <c r="H986" s="1835"/>
      <c r="I986" s="1835"/>
      <c r="J986" s="1835"/>
      <c r="K986" s="1835"/>
      <c r="L986" s="1835"/>
      <c r="M986" s="1835"/>
      <c r="N986" s="1835"/>
      <c r="O986" s="1835"/>
      <c r="P986" s="1835"/>
      <c r="Q986" s="1835"/>
      <c r="R986" s="1835"/>
      <c r="S986" s="1835"/>
      <c r="T986" s="1835"/>
      <c r="U986" s="1835"/>
      <c r="V986" s="1835"/>
      <c r="W986" s="1835"/>
      <c r="X986" s="1835"/>
      <c r="Y986" s="1835"/>
      <c r="Z986" s="1835"/>
      <c r="AA986" s="1835"/>
      <c r="AB986" s="1835"/>
      <c r="AC986" s="1835"/>
      <c r="AD986" s="1835"/>
      <c r="AE986" s="1836"/>
      <c r="AF986" s="1845" t="str">
        <f>IF(AG985="yes","Please Select Type and Enter Amount:","")</f>
        <v/>
      </c>
      <c r="AG986" s="1846"/>
      <c r="AH986" s="1846"/>
      <c r="AI986" s="1847"/>
      <c r="AJ986" s="1789"/>
      <c r="AK986" s="1790"/>
      <c r="AL986" s="1790"/>
      <c r="AM986" s="1790"/>
      <c r="AN986" s="1790"/>
      <c r="AO986" s="1790"/>
      <c r="AP986" s="1790"/>
      <c r="AQ986" s="1791"/>
      <c r="AR986" s="68"/>
      <c r="AS986" s="68"/>
      <c r="AT986" s="68"/>
      <c r="AU986" s="68"/>
      <c r="AV986" s="68"/>
      <c r="AW986" s="68"/>
      <c r="AX986" s="68"/>
      <c r="AY986" s="68"/>
      <c r="BA986" s="213">
        <f>IF(A1049="Yes",0.04,0)</f>
        <v>0</v>
      </c>
    </row>
    <row r="987" spans="1:58" ht="12.95" customHeight="1">
      <c r="A987" s="14"/>
      <c r="B987" s="81"/>
      <c r="C987" s="84"/>
      <c r="D987" s="1770" t="s">
        <v>1459</v>
      </c>
      <c r="E987" s="1771"/>
      <c r="F987" s="1771"/>
      <c r="G987" s="1771"/>
      <c r="H987" s="1771"/>
      <c r="I987" s="1771"/>
      <c r="J987" s="1771"/>
      <c r="K987" s="1771"/>
      <c r="L987" s="1771"/>
      <c r="M987" s="1771"/>
      <c r="N987" s="1771"/>
      <c r="O987" s="1771"/>
      <c r="P987" s="1771"/>
      <c r="Q987" s="1771"/>
      <c r="R987" s="1771"/>
      <c r="S987" s="1771"/>
      <c r="T987" s="1771"/>
      <c r="U987" s="1771"/>
      <c r="V987" s="1771"/>
      <c r="W987" s="1771"/>
      <c r="X987" s="1771"/>
      <c r="Y987" s="1771"/>
      <c r="Z987" s="1771"/>
      <c r="AA987" s="1771"/>
      <c r="AB987" s="1771"/>
      <c r="AC987" s="1771"/>
      <c r="AD987" s="1771"/>
      <c r="AE987" s="1772"/>
      <c r="AF987" s="1845"/>
      <c r="AG987" s="1846"/>
      <c r="AH987" s="1846"/>
      <c r="AI987" s="1847"/>
      <c r="AJ987" s="1789"/>
      <c r="AK987" s="1790"/>
      <c r="AL987" s="1790"/>
      <c r="AM987" s="1790"/>
      <c r="AN987" s="1790"/>
      <c r="AO987" s="1790"/>
      <c r="AP987" s="1790"/>
      <c r="AQ987" s="1791"/>
      <c r="AR987" s="68"/>
      <c r="AS987" s="68"/>
      <c r="AT987" s="68"/>
      <c r="AU987" s="68"/>
      <c r="AV987" s="68"/>
      <c r="AW987" s="68"/>
      <c r="AX987" s="68"/>
      <c r="AY987" s="68"/>
      <c r="BA987" s="213">
        <f>IF(A1052="Yes",0.01,0)</f>
        <v>0</v>
      </c>
    </row>
    <row r="988" spans="1:58" ht="12.95" customHeight="1">
      <c r="A988" s="14"/>
      <c r="B988" s="81"/>
      <c r="C988" s="84"/>
      <c r="D988" s="1770"/>
      <c r="E988" s="1771"/>
      <c r="F988" s="1771"/>
      <c r="G988" s="1771"/>
      <c r="H988" s="1771"/>
      <c r="I988" s="1771"/>
      <c r="J988" s="1771"/>
      <c r="K988" s="1771"/>
      <c r="L988" s="1771"/>
      <c r="M988" s="1771"/>
      <c r="N988" s="1771"/>
      <c r="O988" s="1771"/>
      <c r="P988" s="1771"/>
      <c r="Q988" s="1771"/>
      <c r="R988" s="1771"/>
      <c r="S988" s="1771"/>
      <c r="T988" s="1771"/>
      <c r="U988" s="1771"/>
      <c r="V988" s="1771"/>
      <c r="W988" s="1771"/>
      <c r="X988" s="1771"/>
      <c r="Y988" s="1771"/>
      <c r="Z988" s="1771"/>
      <c r="AA988" s="1771"/>
      <c r="AB988" s="1771"/>
      <c r="AC988" s="1771"/>
      <c r="AD988" s="1771"/>
      <c r="AE988" s="1772"/>
      <c r="AF988" s="1848"/>
      <c r="AG988" s="1848"/>
      <c r="AH988" s="1848"/>
      <c r="AI988" s="1848"/>
      <c r="AJ988" s="1789"/>
      <c r="AK988" s="1790"/>
      <c r="AL988" s="1790"/>
      <c r="AM988" s="1790"/>
      <c r="AN988" s="1790"/>
      <c r="AO988" s="1790"/>
      <c r="AP988" s="1790"/>
      <c r="AQ988" s="179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54" t="s">
        <v>601</v>
      </c>
      <c r="K989" s="1855"/>
      <c r="L989" s="1855"/>
      <c r="M989" s="1855"/>
      <c r="N989" s="1855"/>
      <c r="O989" s="1855"/>
      <c r="P989" s="1855"/>
      <c r="Q989" s="1855"/>
      <c r="R989" s="1855"/>
      <c r="S989" s="1855"/>
      <c r="T989" s="1855"/>
      <c r="U989" s="1855"/>
      <c r="V989" s="1855"/>
      <c r="W989" s="1855"/>
      <c r="X989" s="1855"/>
      <c r="Y989" s="1855"/>
      <c r="Z989" s="1855"/>
      <c r="AA989" s="1855"/>
      <c r="AB989" s="1855"/>
      <c r="AC989" s="1855"/>
      <c r="AD989" s="1855"/>
      <c r="AE989" s="1856"/>
      <c r="AF989" s="1848"/>
      <c r="AG989" s="1848"/>
      <c r="AH989" s="1848"/>
      <c r="AI989" s="1848"/>
      <c r="AJ989" s="1792"/>
      <c r="AK989" s="1793"/>
      <c r="AL989" s="1793"/>
      <c r="AM989" s="1793"/>
      <c r="AN989" s="1793"/>
      <c r="AO989" s="1793"/>
      <c r="AP989" s="1793"/>
      <c r="AQ989" s="1794"/>
      <c r="AR989" s="68"/>
      <c r="AS989" s="68"/>
      <c r="AT989" s="68"/>
      <c r="AU989" s="68"/>
      <c r="AV989" s="68"/>
      <c r="AW989" s="68"/>
      <c r="AX989" s="68"/>
      <c r="AY989" s="68"/>
      <c r="BA989" s="213">
        <f>IF(A1060="Yes",0.01,0)</f>
        <v>0</v>
      </c>
    </row>
    <row r="990" spans="1:58" ht="12.95" customHeight="1">
      <c r="A990" s="14"/>
      <c r="B990" s="79"/>
      <c r="C990" s="80" t="s">
        <v>231</v>
      </c>
      <c r="D990" s="1758" t="s">
        <v>1460</v>
      </c>
      <c r="E990" s="1759"/>
      <c r="F990" s="1759"/>
      <c r="G990" s="1759"/>
      <c r="H990" s="1759"/>
      <c r="I990" s="1759"/>
      <c r="J990" s="1759"/>
      <c r="K990" s="1759"/>
      <c r="L990" s="1759"/>
      <c r="M990" s="1759"/>
      <c r="N990" s="1759"/>
      <c r="O990" s="1759"/>
      <c r="P990" s="1759"/>
      <c r="Q990" s="1759"/>
      <c r="R990" s="1759"/>
      <c r="S990" s="1759"/>
      <c r="T990" s="1759"/>
      <c r="U990" s="1759"/>
      <c r="V990" s="1759"/>
      <c r="W990" s="1759"/>
      <c r="X990" s="1759"/>
      <c r="Y990" s="1759"/>
      <c r="Z990" s="1759"/>
      <c r="AA990" s="1759"/>
      <c r="AB990" s="1759"/>
      <c r="AC990" s="1759"/>
      <c r="AD990" s="1759"/>
      <c r="AE990" s="1760"/>
      <c r="AF990" s="79"/>
      <c r="AG990" s="1779" t="s">
        <v>555</v>
      </c>
      <c r="AH990" s="1780"/>
      <c r="AI990" s="87"/>
      <c r="AJ990" s="1786">
        <f>ROUND(IF(AG990="Yes",AF992,0),0)</f>
        <v>1374843</v>
      </c>
      <c r="AK990" s="1787"/>
      <c r="AL990" s="1787"/>
      <c r="AM990" s="1787"/>
      <c r="AN990" s="1787"/>
      <c r="AO990" s="1787"/>
      <c r="AP990" s="1787"/>
      <c r="AQ990" s="1788"/>
      <c r="AR990" s="68"/>
      <c r="AS990" s="68"/>
      <c r="AT990" s="68"/>
      <c r="AU990" s="68"/>
      <c r="AV990" s="68"/>
      <c r="AW990" s="68"/>
      <c r="AX990" s="68"/>
      <c r="AY990" s="68"/>
      <c r="BA990" s="213">
        <f>IF(A1064="Yes",0.02,0)</f>
        <v>0</v>
      </c>
    </row>
    <row r="991" spans="1:58" ht="12.95" customHeight="1">
      <c r="A991" s="14"/>
      <c r="B991" s="73"/>
      <c r="C991" s="74"/>
      <c r="D991" s="1770" t="s">
        <v>1951</v>
      </c>
      <c r="E991" s="1771"/>
      <c r="F991" s="1771"/>
      <c r="G991" s="1771"/>
      <c r="H991" s="1771"/>
      <c r="I991" s="1771"/>
      <c r="J991" s="1771"/>
      <c r="K991" s="1771"/>
      <c r="L991" s="1771"/>
      <c r="M991" s="1771"/>
      <c r="N991" s="1771"/>
      <c r="O991" s="1771"/>
      <c r="P991" s="1771"/>
      <c r="Q991" s="1771"/>
      <c r="R991" s="1771"/>
      <c r="S991" s="1771"/>
      <c r="T991" s="1771"/>
      <c r="U991" s="1771"/>
      <c r="V991" s="1771"/>
      <c r="W991" s="1771"/>
      <c r="X991" s="1771"/>
      <c r="Y991" s="1771"/>
      <c r="Z991" s="1771"/>
      <c r="AA991" s="1771"/>
      <c r="AB991" s="1771"/>
      <c r="AC991" s="1771"/>
      <c r="AD991" s="1771"/>
      <c r="AE991" s="1772"/>
      <c r="AF991" s="1849" t="str">
        <f>IF(AG990="yes","Enter Amount:","")</f>
        <v>Enter Amount:</v>
      </c>
      <c r="AG991" s="1850"/>
      <c r="AH991" s="1850"/>
      <c r="AI991" s="1851"/>
      <c r="AJ991" s="1789"/>
      <c r="AK991" s="1790"/>
      <c r="AL991" s="1790"/>
      <c r="AM991" s="1790"/>
      <c r="AN991" s="1790"/>
      <c r="AO991" s="1790"/>
      <c r="AP991" s="1790"/>
      <c r="AQ991" s="1791"/>
      <c r="AR991" s="68"/>
      <c r="AS991" s="68"/>
      <c r="AT991" s="68"/>
      <c r="AU991" s="68"/>
      <c r="AV991" s="68"/>
      <c r="AW991" s="68"/>
      <c r="AX991" s="68"/>
      <c r="AY991" s="68"/>
      <c r="BA991" s="214">
        <f>IF(A1068="Yes",0.02,0)</f>
        <v>0</v>
      </c>
    </row>
    <row r="992" spans="1:58" ht="12.95" customHeight="1">
      <c r="A992" s="14"/>
      <c r="B992" s="73"/>
      <c r="C992" s="74"/>
      <c r="D992" s="1770"/>
      <c r="E992" s="1771"/>
      <c r="F992" s="1771"/>
      <c r="G992" s="1771"/>
      <c r="H992" s="1771"/>
      <c r="I992" s="1771"/>
      <c r="J992" s="1771"/>
      <c r="K992" s="1771"/>
      <c r="L992" s="1771"/>
      <c r="M992" s="1771"/>
      <c r="N992" s="1771"/>
      <c r="O992" s="1771"/>
      <c r="P992" s="1771"/>
      <c r="Q992" s="1771"/>
      <c r="R992" s="1771"/>
      <c r="S992" s="1771"/>
      <c r="T992" s="1771"/>
      <c r="U992" s="1771"/>
      <c r="V992" s="1771"/>
      <c r="W992" s="1771"/>
      <c r="X992" s="1771"/>
      <c r="Y992" s="1771"/>
      <c r="Z992" s="1771"/>
      <c r="AA992" s="1771"/>
      <c r="AB992" s="1771"/>
      <c r="AC992" s="1771"/>
      <c r="AD992" s="1771"/>
      <c r="AE992" s="1772"/>
      <c r="AF992" s="1848">
        <v>1374843</v>
      </c>
      <c r="AG992" s="1848"/>
      <c r="AH992" s="1848"/>
      <c r="AI992" s="1848"/>
      <c r="AJ992" s="1789"/>
      <c r="AK992" s="1790"/>
      <c r="AL992" s="1790"/>
      <c r="AM992" s="1790"/>
      <c r="AN992" s="1790"/>
      <c r="AO992" s="1790"/>
      <c r="AP992" s="1790"/>
      <c r="AQ992" s="1791"/>
      <c r="AR992" s="68"/>
      <c r="AS992" s="68"/>
      <c r="AT992" s="68"/>
      <c r="AU992" s="68"/>
      <c r="AV992" s="68"/>
      <c r="AW992" s="68"/>
      <c r="AX992" s="68"/>
      <c r="AY992" s="68"/>
    </row>
    <row r="993" spans="1:51" ht="12.95" customHeight="1">
      <c r="A993" s="14"/>
      <c r="B993" s="85"/>
      <c r="C993" s="84"/>
      <c r="D993" s="1783"/>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1848"/>
      <c r="AG993" s="1848"/>
      <c r="AH993" s="1848"/>
      <c r="AI993" s="1848"/>
      <c r="AJ993" s="1792"/>
      <c r="AK993" s="1793"/>
      <c r="AL993" s="1793"/>
      <c r="AM993" s="1793"/>
      <c r="AN993" s="1793"/>
      <c r="AO993" s="1793"/>
      <c r="AP993" s="1793"/>
      <c r="AQ993" s="1794"/>
      <c r="AR993" s="68"/>
      <c r="AS993" s="68"/>
      <c r="AT993" s="68"/>
      <c r="AU993" s="68"/>
      <c r="AV993" s="68"/>
      <c r="AW993" s="68"/>
      <c r="AX993" s="68"/>
      <c r="AY993" s="68"/>
    </row>
    <row r="994" spans="1:51" ht="12.95" customHeight="1">
      <c r="A994" s="14"/>
      <c r="B994" s="79"/>
      <c r="C994" s="80" t="s">
        <v>236</v>
      </c>
      <c r="D994" s="1806" t="s">
        <v>1461</v>
      </c>
      <c r="E994" s="1807"/>
      <c r="F994" s="1807"/>
      <c r="G994" s="1807"/>
      <c r="H994" s="1807"/>
      <c r="I994" s="1807"/>
      <c r="J994" s="1807"/>
      <c r="K994" s="1807"/>
      <c r="L994" s="1807"/>
      <c r="M994" s="1807"/>
      <c r="N994" s="1807"/>
      <c r="O994" s="1807"/>
      <c r="P994" s="1807"/>
      <c r="Q994" s="1807"/>
      <c r="R994" s="1807"/>
      <c r="S994" s="1807"/>
      <c r="T994" s="1807"/>
      <c r="U994" s="1807"/>
      <c r="V994" s="1807"/>
      <c r="W994" s="1807"/>
      <c r="X994" s="1807"/>
      <c r="Y994" s="1807"/>
      <c r="Z994" s="1807"/>
      <c r="AA994" s="1807"/>
      <c r="AB994" s="1807"/>
      <c r="AC994" s="1807"/>
      <c r="AD994" s="1807"/>
      <c r="AE994" s="1808"/>
      <c r="AF994" s="79"/>
      <c r="AG994" s="1779" t="s">
        <v>679</v>
      </c>
      <c r="AH994" s="1780"/>
      <c r="AI994" s="87"/>
      <c r="AJ994" s="1786">
        <f>ROUND(IF(AG994="yes",(AJ961*0.1),0),0)</f>
        <v>0</v>
      </c>
      <c r="AK994" s="1787"/>
      <c r="AL994" s="1787"/>
      <c r="AM994" s="1787"/>
      <c r="AN994" s="1787"/>
      <c r="AO994" s="1787"/>
      <c r="AP994" s="1787"/>
      <c r="AQ994" s="1788"/>
      <c r="AR994" s="68"/>
      <c r="AS994" s="68"/>
      <c r="AT994" s="68"/>
      <c r="AU994" s="68"/>
      <c r="AV994" s="68"/>
      <c r="AW994" s="68"/>
      <c r="AX994" s="68"/>
      <c r="AY994" s="68"/>
    </row>
    <row r="995" spans="1:51" ht="12.95" customHeight="1">
      <c r="A995" s="14"/>
      <c r="B995" s="73"/>
      <c r="C995" s="74"/>
      <c r="D995" s="1770" t="s">
        <v>1462</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89"/>
      <c r="AK995" s="1790"/>
      <c r="AL995" s="1790"/>
      <c r="AM995" s="1790"/>
      <c r="AN995" s="1790"/>
      <c r="AO995" s="1790"/>
      <c r="AP995" s="1790"/>
      <c r="AQ995" s="1791"/>
      <c r="AR995" s="68"/>
      <c r="AS995" s="68"/>
      <c r="AT995" s="68"/>
      <c r="AU995" s="68"/>
      <c r="AV995" s="68"/>
      <c r="AW995" s="68"/>
      <c r="AX995" s="68"/>
      <c r="AY995" s="68"/>
    </row>
    <row r="996" spans="1:51" ht="12.95" customHeight="1">
      <c r="A996" s="14"/>
      <c r="B996" s="77"/>
      <c r="C996" s="74"/>
      <c r="D996" s="1783"/>
      <c r="E996" s="1784"/>
      <c r="F996" s="1784"/>
      <c r="G996" s="1784"/>
      <c r="H996" s="1784"/>
      <c r="I996" s="1784"/>
      <c r="J996" s="1784"/>
      <c r="K996" s="1784"/>
      <c r="L996" s="1784"/>
      <c r="M996" s="1784"/>
      <c r="N996" s="1784"/>
      <c r="O996" s="1784"/>
      <c r="P996" s="1784"/>
      <c r="Q996" s="1784"/>
      <c r="R996" s="1784"/>
      <c r="S996" s="1784"/>
      <c r="T996" s="1784"/>
      <c r="U996" s="1784"/>
      <c r="V996" s="1784"/>
      <c r="W996" s="1784"/>
      <c r="X996" s="1784"/>
      <c r="Y996" s="1784"/>
      <c r="Z996" s="1784"/>
      <c r="AA996" s="1784"/>
      <c r="AB996" s="1784"/>
      <c r="AC996" s="1784"/>
      <c r="AD996" s="1784"/>
      <c r="AE996" s="1785"/>
      <c r="AF996" s="73"/>
      <c r="AG996" s="14"/>
      <c r="AH996" s="14"/>
      <c r="AI996" s="83"/>
      <c r="AJ996" s="1792"/>
      <c r="AK996" s="1793"/>
      <c r="AL996" s="1793"/>
      <c r="AM996" s="1793"/>
      <c r="AN996" s="1793"/>
      <c r="AO996" s="1793"/>
      <c r="AP996" s="1793"/>
      <c r="AQ996" s="1794"/>
      <c r="AR996" s="68"/>
      <c r="AS996" s="68"/>
      <c r="AT996" s="68"/>
      <c r="AU996" s="68"/>
      <c r="AV996" s="68"/>
      <c r="AW996" s="68"/>
      <c r="AX996" s="68"/>
      <c r="AY996" s="68"/>
    </row>
    <row r="997" spans="1:51" ht="12.95" customHeight="1">
      <c r="A997" s="14"/>
      <c r="B997" s="73"/>
      <c r="C997" s="368" t="s">
        <v>698</v>
      </c>
      <c r="D997" s="1758" t="s">
        <v>1947</v>
      </c>
      <c r="E997" s="1759"/>
      <c r="F997" s="1759"/>
      <c r="G997" s="1759"/>
      <c r="H997" s="1759"/>
      <c r="I997" s="1759"/>
      <c r="J997" s="1759"/>
      <c r="K997" s="1759"/>
      <c r="L997" s="1759"/>
      <c r="M997" s="1759"/>
      <c r="N997" s="1759"/>
      <c r="O997" s="1759"/>
      <c r="P997" s="1759"/>
      <c r="Q997" s="1759"/>
      <c r="R997" s="1759"/>
      <c r="S997" s="1759"/>
      <c r="T997" s="1759"/>
      <c r="U997" s="1759"/>
      <c r="V997" s="1759"/>
      <c r="W997" s="1759"/>
      <c r="X997" s="1759"/>
      <c r="Y997" s="1759"/>
      <c r="Z997" s="1759"/>
      <c r="AA997" s="1759"/>
      <c r="AB997" s="1759"/>
      <c r="AC997" s="1759"/>
      <c r="AD997" s="1759"/>
      <c r="AE997" s="1760"/>
      <c r="AF997" s="79"/>
      <c r="AG997" s="1779" t="s">
        <v>679</v>
      </c>
      <c r="AH997" s="1780"/>
      <c r="AI997" s="87"/>
      <c r="AJ997" s="1786">
        <f>ROUND(IF(AG997="yes",(AJ961*0.15),0),0)</f>
        <v>0</v>
      </c>
      <c r="AK997" s="1787"/>
      <c r="AL997" s="1787"/>
      <c r="AM997" s="1787"/>
      <c r="AN997" s="1787"/>
      <c r="AO997" s="1787"/>
      <c r="AP997" s="1787"/>
      <c r="AQ997" s="1788"/>
      <c r="AR997" s="68"/>
      <c r="AS997" s="68"/>
      <c r="AT997" s="68"/>
      <c r="AU997" s="68"/>
      <c r="AV997" s="68"/>
      <c r="AW997" s="68"/>
      <c r="AX997" s="68"/>
      <c r="AY997" s="68"/>
    </row>
    <row r="998" spans="1:51" ht="12.95" customHeight="1">
      <c r="A998" s="14"/>
      <c r="B998" s="73"/>
      <c r="C998" s="74"/>
      <c r="D998" s="1798"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9"/>
      <c r="AF998" s="952"/>
      <c r="AG998" s="953"/>
      <c r="AH998" s="953"/>
      <c r="AI998" s="954"/>
      <c r="AJ998" s="1789"/>
      <c r="AK998" s="1790"/>
      <c r="AL998" s="1790"/>
      <c r="AM998" s="1790"/>
      <c r="AN998" s="1790"/>
      <c r="AO998" s="1790"/>
      <c r="AP998" s="1790"/>
      <c r="AQ998" s="1791"/>
      <c r="AR998" s="68"/>
      <c r="AS998" s="68"/>
      <c r="AT998" s="68"/>
      <c r="AU998" s="68"/>
      <c r="AV998" s="68"/>
      <c r="AW998" s="68"/>
      <c r="AX998" s="68"/>
      <c r="AY998" s="68"/>
    </row>
    <row r="999" spans="1:51" ht="12.95" customHeight="1">
      <c r="A999" s="14"/>
      <c r="B999" s="73"/>
      <c r="C999" s="74"/>
      <c r="D999" s="1798"/>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9"/>
      <c r="AF999" s="952"/>
      <c r="AG999" s="953"/>
      <c r="AH999" s="953"/>
      <c r="AI999" s="954"/>
      <c r="AJ999" s="1789"/>
      <c r="AK999" s="1790"/>
      <c r="AL999" s="1790"/>
      <c r="AM999" s="1790"/>
      <c r="AN999" s="1790"/>
      <c r="AO999" s="1790"/>
      <c r="AP999" s="1790"/>
      <c r="AQ999" s="1791"/>
      <c r="AR999" s="68"/>
      <c r="AS999" s="68"/>
      <c r="AT999" s="68"/>
      <c r="AU999" s="68"/>
      <c r="AV999" s="68"/>
      <c r="AW999" s="68"/>
      <c r="AX999" s="68"/>
      <c r="AY999" s="68"/>
    </row>
    <row r="1000" spans="1:51" ht="12.95" customHeight="1">
      <c r="A1000" s="14"/>
      <c r="B1000" s="73"/>
      <c r="C1000" s="74"/>
      <c r="D1000" s="1800"/>
      <c r="E1000" s="1801"/>
      <c r="F1000" s="1801"/>
      <c r="G1000" s="1801"/>
      <c r="H1000" s="1801"/>
      <c r="I1000" s="1801"/>
      <c r="J1000" s="1801"/>
      <c r="K1000" s="1801"/>
      <c r="L1000" s="1801"/>
      <c r="M1000" s="1801"/>
      <c r="N1000" s="1801"/>
      <c r="O1000" s="1801"/>
      <c r="P1000" s="1801"/>
      <c r="Q1000" s="1801"/>
      <c r="R1000" s="1801"/>
      <c r="S1000" s="1801"/>
      <c r="T1000" s="1801"/>
      <c r="U1000" s="1801"/>
      <c r="V1000" s="1801"/>
      <c r="W1000" s="1801"/>
      <c r="X1000" s="1801"/>
      <c r="Y1000" s="1801"/>
      <c r="Z1000" s="1801"/>
      <c r="AA1000" s="1801"/>
      <c r="AB1000" s="1801"/>
      <c r="AC1000" s="1801"/>
      <c r="AD1000" s="1801"/>
      <c r="AE1000" s="1802"/>
      <c r="AF1000" s="955"/>
      <c r="AG1000" s="956"/>
      <c r="AH1000" s="956"/>
      <c r="AI1000" s="957"/>
      <c r="AJ1000" s="1792"/>
      <c r="AK1000" s="1793"/>
      <c r="AL1000" s="1793"/>
      <c r="AM1000" s="1793"/>
      <c r="AN1000" s="1793"/>
      <c r="AO1000" s="1793"/>
      <c r="AP1000" s="1793"/>
      <c r="AQ1000" s="1794"/>
      <c r="AR1000" s="68"/>
      <c r="AS1000" s="68"/>
      <c r="AT1000" s="68"/>
      <c r="AU1000" s="68"/>
      <c r="AV1000" s="68"/>
      <c r="AW1000" s="68"/>
      <c r="AX1000" s="68"/>
      <c r="AY1000" s="68"/>
    </row>
    <row r="1001" spans="1:51" ht="12.95" customHeight="1">
      <c r="A1001" s="14"/>
      <c r="B1001" s="73"/>
      <c r="C1001" s="368" t="s">
        <v>698</v>
      </c>
      <c r="D1001" s="1806" t="s">
        <v>1949</v>
      </c>
      <c r="E1001" s="1807"/>
      <c r="F1001" s="1807"/>
      <c r="G1001" s="1807"/>
      <c r="H1001" s="1807"/>
      <c r="I1001" s="1807"/>
      <c r="J1001" s="1807"/>
      <c r="K1001" s="1807"/>
      <c r="L1001" s="1807"/>
      <c r="M1001" s="1807"/>
      <c r="N1001" s="1807"/>
      <c r="O1001" s="1807"/>
      <c r="P1001" s="1807"/>
      <c r="Q1001" s="1807"/>
      <c r="R1001" s="1807"/>
      <c r="S1001" s="1807"/>
      <c r="T1001" s="1807"/>
      <c r="U1001" s="1807"/>
      <c r="V1001" s="1807"/>
      <c r="W1001" s="1807"/>
      <c r="X1001" s="1807"/>
      <c r="Y1001" s="1807"/>
      <c r="Z1001" s="1807"/>
      <c r="AA1001" s="1807"/>
      <c r="AB1001" s="1807"/>
      <c r="AC1001" s="1807"/>
      <c r="AD1001" s="1807"/>
      <c r="AE1001" s="1808"/>
      <c r="AF1001" s="73"/>
      <c r="AG1001" s="1781" t="s">
        <v>679</v>
      </c>
      <c r="AH1001" s="1782"/>
      <c r="AI1001" s="83"/>
      <c r="AJ1001" s="1786">
        <f>ROUND(IF(AND(AG1001="yes",AJ997=0),(AJ961*0.1),0),0)</f>
        <v>0</v>
      </c>
      <c r="AK1001" s="1787"/>
      <c r="AL1001" s="1787"/>
      <c r="AM1001" s="1787"/>
      <c r="AN1001" s="1787"/>
      <c r="AO1001" s="1787"/>
      <c r="AP1001" s="1787"/>
      <c r="AQ1001" s="1788"/>
      <c r="AR1001" s="68"/>
      <c r="AS1001" s="68"/>
      <c r="AT1001" s="68"/>
      <c r="AU1001" s="68"/>
      <c r="AV1001" s="68"/>
      <c r="AW1001" s="68"/>
      <c r="AX1001" s="68"/>
      <c r="AY1001" s="68"/>
    </row>
    <row r="1002" spans="1:51" ht="12.95" customHeight="1">
      <c r="A1002" s="14"/>
      <c r="B1002" s="73"/>
      <c r="C1002" s="74"/>
      <c r="D1002" s="1798"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9"/>
      <c r="AF1002" s="73"/>
      <c r="AG1002" s="14"/>
      <c r="AH1002" s="14"/>
      <c r="AI1002" s="83"/>
      <c r="AJ1002" s="1789"/>
      <c r="AK1002" s="1790"/>
      <c r="AL1002" s="1790"/>
      <c r="AM1002" s="1790"/>
      <c r="AN1002" s="1790"/>
      <c r="AO1002" s="1790"/>
      <c r="AP1002" s="1790"/>
      <c r="AQ1002" s="1791"/>
      <c r="AR1002" s="68"/>
      <c r="AS1002" s="68"/>
      <c r="AT1002" s="68"/>
      <c r="AU1002" s="68"/>
      <c r="AV1002" s="68"/>
      <c r="AW1002" s="68"/>
      <c r="AX1002" s="68"/>
      <c r="AY1002" s="68"/>
    </row>
    <row r="1003" spans="1:51" ht="12.95" customHeight="1">
      <c r="A1003" s="14"/>
      <c r="B1003" s="73"/>
      <c r="C1003" s="74"/>
      <c r="D1003" s="1798"/>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9"/>
      <c r="AF1003" s="73"/>
      <c r="AG1003" s="14"/>
      <c r="AH1003" s="14"/>
      <c r="AI1003" s="83"/>
      <c r="AJ1003" s="1789"/>
      <c r="AK1003" s="1790"/>
      <c r="AL1003" s="1790"/>
      <c r="AM1003" s="1790"/>
      <c r="AN1003" s="1790"/>
      <c r="AO1003" s="1790"/>
      <c r="AP1003" s="1790"/>
      <c r="AQ1003" s="1791"/>
      <c r="AR1003" s="68"/>
      <c r="AS1003" s="68"/>
      <c r="AT1003" s="68"/>
      <c r="AU1003" s="68"/>
      <c r="AV1003" s="68"/>
      <c r="AW1003" s="68"/>
      <c r="AX1003" s="68"/>
      <c r="AY1003" s="68"/>
    </row>
    <row r="1004" spans="1:51" ht="12.95" customHeight="1">
      <c r="A1004" s="14"/>
      <c r="B1004" s="73"/>
      <c r="C1004" s="74"/>
      <c r="D1004" s="1798"/>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9"/>
      <c r="AF1004" s="73"/>
      <c r="AG1004" s="14"/>
      <c r="AH1004" s="14"/>
      <c r="AI1004" s="83"/>
      <c r="AJ1004" s="1789"/>
      <c r="AK1004" s="1790"/>
      <c r="AL1004" s="1790"/>
      <c r="AM1004" s="1790"/>
      <c r="AN1004" s="1790"/>
      <c r="AO1004" s="1790"/>
      <c r="AP1004" s="1790"/>
      <c r="AQ1004" s="1791"/>
      <c r="AR1004" s="68"/>
      <c r="AS1004" s="68"/>
      <c r="AT1004" s="68"/>
      <c r="AU1004" s="68"/>
      <c r="AV1004" s="68"/>
      <c r="AW1004" s="68"/>
      <c r="AX1004" s="68"/>
      <c r="AY1004" s="68"/>
    </row>
    <row r="1005" spans="1:51" ht="12.95" customHeight="1">
      <c r="A1005" s="14"/>
      <c r="B1005" s="73"/>
      <c r="C1005" s="74"/>
      <c r="D1005" s="1800"/>
      <c r="E1005" s="1801"/>
      <c r="F1005" s="1801"/>
      <c r="G1005" s="1801"/>
      <c r="H1005" s="1801"/>
      <c r="I1005" s="1801"/>
      <c r="J1005" s="1801"/>
      <c r="K1005" s="1801"/>
      <c r="L1005" s="1801"/>
      <c r="M1005" s="1801"/>
      <c r="N1005" s="1801"/>
      <c r="O1005" s="1801"/>
      <c r="P1005" s="1801"/>
      <c r="Q1005" s="1801"/>
      <c r="R1005" s="1801"/>
      <c r="S1005" s="1801"/>
      <c r="T1005" s="1801"/>
      <c r="U1005" s="1801"/>
      <c r="V1005" s="1801"/>
      <c r="W1005" s="1801"/>
      <c r="X1005" s="1801"/>
      <c r="Y1005" s="1801"/>
      <c r="Z1005" s="1801"/>
      <c r="AA1005" s="1801"/>
      <c r="AB1005" s="1801"/>
      <c r="AC1005" s="1801"/>
      <c r="AD1005" s="1801"/>
      <c r="AE1005" s="1802"/>
      <c r="AF1005" s="73"/>
      <c r="AG1005" s="14"/>
      <c r="AH1005" s="14"/>
      <c r="AI1005" s="83"/>
      <c r="AJ1005" s="1789"/>
      <c r="AK1005" s="1790"/>
      <c r="AL1005" s="1790"/>
      <c r="AM1005" s="1790"/>
      <c r="AN1005" s="1790"/>
      <c r="AO1005" s="1790"/>
      <c r="AP1005" s="1790"/>
      <c r="AQ1005" s="1791"/>
      <c r="AR1005" s="68"/>
      <c r="AS1005" s="68"/>
      <c r="AT1005" s="68"/>
      <c r="AU1005" s="68"/>
      <c r="AV1005" s="68"/>
      <c r="AW1005" s="68"/>
      <c r="AX1005" s="68"/>
      <c r="AY1005" s="68"/>
    </row>
    <row r="1006" spans="1:51" ht="12.95" customHeight="1">
      <c r="A1006" s="14"/>
      <c r="B1006" s="79"/>
      <c r="C1006" s="131" t="s">
        <v>1068</v>
      </c>
      <c r="D1006" s="1758" t="s">
        <v>1463</v>
      </c>
      <c r="E1006" s="1759"/>
      <c r="F1006" s="1759"/>
      <c r="G1006" s="1759"/>
      <c r="H1006" s="1759"/>
      <c r="I1006" s="1759"/>
      <c r="J1006" s="1759"/>
      <c r="K1006" s="1759"/>
      <c r="L1006" s="1759"/>
      <c r="M1006" s="1759"/>
      <c r="N1006" s="1759"/>
      <c r="O1006" s="1759"/>
      <c r="P1006" s="1759"/>
      <c r="Q1006" s="1759"/>
      <c r="R1006" s="1759"/>
      <c r="S1006" s="1759"/>
      <c r="T1006" s="1759"/>
      <c r="U1006" s="1759"/>
      <c r="V1006" s="1759"/>
      <c r="W1006" s="1759"/>
      <c r="X1006" s="1759"/>
      <c r="Y1006" s="1759"/>
      <c r="Z1006" s="1759"/>
      <c r="AA1006" s="1759"/>
      <c r="AB1006" s="1759"/>
      <c r="AC1006" s="1759"/>
      <c r="AD1006" s="1759"/>
      <c r="AE1006" s="1760"/>
      <c r="AF1006" s="79"/>
      <c r="AG1006" s="1779" t="s">
        <v>555</v>
      </c>
      <c r="AH1006" s="1780"/>
      <c r="AI1006" s="87"/>
      <c r="AJ1006" s="1786">
        <f>ROUND(IF(AG1006="yes",(AJ961*0.1),0),0)</f>
        <v>3868661</v>
      </c>
      <c r="AK1006" s="1787"/>
      <c r="AL1006" s="1787"/>
      <c r="AM1006" s="1787"/>
      <c r="AN1006" s="1787"/>
      <c r="AO1006" s="1787"/>
      <c r="AP1006" s="1787"/>
      <c r="AQ1006" s="1788"/>
      <c r="AR1006" s="68"/>
      <c r="AS1006" s="68"/>
      <c r="AT1006" s="68"/>
      <c r="AU1006" s="68"/>
      <c r="AV1006" s="68"/>
      <c r="AW1006" s="68"/>
      <c r="AX1006" s="68"/>
      <c r="AY1006" s="68"/>
    </row>
    <row r="1007" spans="1:51" ht="12.95" customHeight="1">
      <c r="A1007" s="14"/>
      <c r="B1007" s="73"/>
      <c r="C1007" s="74"/>
      <c r="D1007" s="1770" t="s">
        <v>2516</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73"/>
      <c r="AG1007" s="14"/>
      <c r="AH1007" s="14"/>
      <c r="AI1007" s="83"/>
      <c r="AJ1007" s="1789"/>
      <c r="AK1007" s="1790"/>
      <c r="AL1007" s="1790"/>
      <c r="AM1007" s="1790"/>
      <c r="AN1007" s="1790"/>
      <c r="AO1007" s="1790"/>
      <c r="AP1007" s="1790"/>
      <c r="AQ1007" s="1791"/>
      <c r="AR1007" s="68"/>
      <c r="AS1007" s="68"/>
      <c r="AT1007" s="68"/>
      <c r="AU1007" s="68"/>
      <c r="AV1007" s="68"/>
      <c r="AW1007" s="68"/>
      <c r="AX1007" s="68"/>
      <c r="AY1007" s="68"/>
    </row>
    <row r="1008" spans="1:51" ht="12.95" customHeight="1">
      <c r="A1008" s="14"/>
      <c r="B1008" s="73"/>
      <c r="C1008" s="74"/>
      <c r="D1008" s="1770"/>
      <c r="E1008" s="1771"/>
      <c r="F1008" s="1771"/>
      <c r="G1008" s="1771"/>
      <c r="H1008" s="1771"/>
      <c r="I1008" s="1771"/>
      <c r="J1008" s="1771"/>
      <c r="K1008" s="1771"/>
      <c r="L1008" s="1771"/>
      <c r="M1008" s="1771"/>
      <c r="N1008" s="1771"/>
      <c r="O1008" s="1771"/>
      <c r="P1008" s="1771"/>
      <c r="Q1008" s="1771"/>
      <c r="R1008" s="1771"/>
      <c r="S1008" s="1771"/>
      <c r="T1008" s="1771"/>
      <c r="U1008" s="1771"/>
      <c r="V1008" s="1771"/>
      <c r="W1008" s="1771"/>
      <c r="X1008" s="1771"/>
      <c r="Y1008" s="1771"/>
      <c r="Z1008" s="1771"/>
      <c r="AA1008" s="1771"/>
      <c r="AB1008" s="1771"/>
      <c r="AC1008" s="1771"/>
      <c r="AD1008" s="1771"/>
      <c r="AE1008" s="1772"/>
      <c r="AF1008" s="73"/>
      <c r="AG1008" s="14"/>
      <c r="AH1008" s="14"/>
      <c r="AI1008" s="83"/>
      <c r="AJ1008" s="1789"/>
      <c r="AK1008" s="1790"/>
      <c r="AL1008" s="1790"/>
      <c r="AM1008" s="1790"/>
      <c r="AN1008" s="1790"/>
      <c r="AO1008" s="1790"/>
      <c r="AP1008" s="1790"/>
      <c r="AQ1008" s="1791"/>
      <c r="AR1008" s="68"/>
      <c r="AS1008" s="68"/>
      <c r="AT1008" s="68"/>
      <c r="AU1008" s="68"/>
      <c r="AV1008" s="68"/>
      <c r="AW1008" s="68"/>
      <c r="AX1008" s="68"/>
      <c r="AY1008" s="68"/>
    </row>
    <row r="1009" spans="1:51" ht="12.95" customHeight="1">
      <c r="A1009" s="14"/>
      <c r="B1009" s="73"/>
      <c r="C1009" s="74"/>
      <c r="D1009" s="1783"/>
      <c r="E1009" s="1784"/>
      <c r="F1009" s="1784"/>
      <c r="G1009" s="1784"/>
      <c r="H1009" s="1784"/>
      <c r="I1009" s="1784"/>
      <c r="J1009" s="1784"/>
      <c r="K1009" s="1784"/>
      <c r="L1009" s="1784"/>
      <c r="M1009" s="1784"/>
      <c r="N1009" s="1784"/>
      <c r="O1009" s="1784"/>
      <c r="P1009" s="1784"/>
      <c r="Q1009" s="1784"/>
      <c r="R1009" s="1784"/>
      <c r="S1009" s="1784"/>
      <c r="T1009" s="1784"/>
      <c r="U1009" s="1784"/>
      <c r="V1009" s="1784"/>
      <c r="W1009" s="1784"/>
      <c r="X1009" s="1784"/>
      <c r="Y1009" s="1784"/>
      <c r="Z1009" s="1784"/>
      <c r="AA1009" s="1784"/>
      <c r="AB1009" s="1784"/>
      <c r="AC1009" s="1784"/>
      <c r="AD1009" s="1784"/>
      <c r="AE1009" s="1785"/>
      <c r="AF1009" s="73"/>
      <c r="AG1009" s="14"/>
      <c r="AH1009" s="14"/>
      <c r="AI1009" s="83"/>
      <c r="AJ1009" s="1792"/>
      <c r="AK1009" s="1793"/>
      <c r="AL1009" s="1793"/>
      <c r="AM1009" s="1793"/>
      <c r="AN1009" s="1793"/>
      <c r="AO1009" s="1793"/>
      <c r="AP1009" s="1793"/>
      <c r="AQ1009" s="1794"/>
      <c r="AR1009" s="68"/>
      <c r="AS1009" s="68"/>
      <c r="AT1009" s="68"/>
      <c r="AU1009" s="68"/>
      <c r="AV1009" s="68"/>
      <c r="AW1009" s="68"/>
      <c r="AX1009" s="68"/>
      <c r="AY1009" s="68"/>
    </row>
    <row r="1010" spans="1:51" ht="12.95" customHeight="1">
      <c r="A1010" s="14"/>
      <c r="B1010" s="79"/>
      <c r="C1010" s="131" t="s">
        <v>1945</v>
      </c>
      <c r="D1010" s="1806" t="s">
        <v>2129</v>
      </c>
      <c r="E1010" s="1807"/>
      <c r="F1010" s="1807"/>
      <c r="G1010" s="1807"/>
      <c r="H1010" s="1807"/>
      <c r="I1010" s="1807"/>
      <c r="J1010" s="1807"/>
      <c r="K1010" s="1807"/>
      <c r="L1010" s="1807"/>
      <c r="M1010" s="1807"/>
      <c r="N1010" s="1807"/>
      <c r="O1010" s="1807"/>
      <c r="P1010" s="1807"/>
      <c r="Q1010" s="1807"/>
      <c r="R1010" s="1807"/>
      <c r="S1010" s="1807"/>
      <c r="T1010" s="1807"/>
      <c r="U1010" s="1807"/>
      <c r="V1010" s="1807"/>
      <c r="W1010" s="1807"/>
      <c r="X1010" s="1807"/>
      <c r="Y1010" s="1807"/>
      <c r="Z1010" s="1807"/>
      <c r="AA1010" s="1807"/>
      <c r="AB1010" s="1807"/>
      <c r="AC1010" s="1807"/>
      <c r="AD1010" s="1807"/>
      <c r="AE1010" s="1808"/>
      <c r="AF1010" s="79"/>
      <c r="AG1010" s="1777" t="str">
        <f>IF(X1013&gt;0,"Yes","No")</f>
        <v>Yes</v>
      </c>
      <c r="AH1010" s="1778"/>
      <c r="AI1010" s="87"/>
      <c r="AJ1010" s="1786">
        <f>IF((X1013=0),0,BA975*AJ961)</f>
        <v>25533161.280000001</v>
      </c>
      <c r="AK1010" s="1787"/>
      <c r="AL1010" s="1787"/>
      <c r="AM1010" s="1787"/>
      <c r="AN1010" s="1787"/>
      <c r="AO1010" s="1787"/>
      <c r="AP1010" s="1787"/>
      <c r="AQ1010" s="1788"/>
      <c r="AR1010" s="68"/>
      <c r="AS1010" s="68"/>
      <c r="AT1010" s="68"/>
      <c r="AU1010" s="68"/>
      <c r="AV1010" s="68"/>
      <c r="AW1010" s="68"/>
      <c r="AX1010" s="68"/>
      <c r="AY1010" s="68"/>
    </row>
    <row r="1011" spans="1:51" ht="12.95" customHeight="1">
      <c r="A1011" s="14"/>
      <c r="B1011" s="73"/>
      <c r="C1011" s="477"/>
      <c r="D1011" s="1770" t="s">
        <v>1465</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3"/>
      <c r="AG1011" s="478"/>
      <c r="AH1011" s="478"/>
      <c r="AI1011" s="83"/>
      <c r="AJ1011" s="1789"/>
      <c r="AK1011" s="1790"/>
      <c r="AL1011" s="1790"/>
      <c r="AM1011" s="1790"/>
      <c r="AN1011" s="1790"/>
      <c r="AO1011" s="1790"/>
      <c r="AP1011" s="1790"/>
      <c r="AQ1011" s="1791"/>
      <c r="AR1011" s="68"/>
      <c r="AS1011" s="68"/>
      <c r="AT1011" s="68"/>
      <c r="AU1011" s="68"/>
      <c r="AV1011" s="68"/>
      <c r="AW1011" s="68"/>
      <c r="AX1011" s="68"/>
      <c r="AY1011" s="68"/>
    </row>
    <row r="1012" spans="1:51" ht="12.95" customHeight="1">
      <c r="A1012" s="14"/>
      <c r="B1012" s="73"/>
      <c r="C1012" s="477"/>
      <c r="D1012" s="1770"/>
      <c r="E1012" s="1771"/>
      <c r="F1012" s="1771"/>
      <c r="G1012" s="1771"/>
      <c r="H1012" s="1771"/>
      <c r="I1012" s="1771"/>
      <c r="J1012" s="1771"/>
      <c r="K1012" s="1771"/>
      <c r="L1012" s="1771"/>
      <c r="M1012" s="1771"/>
      <c r="N1012" s="1771"/>
      <c r="O1012" s="1771"/>
      <c r="P1012" s="1771"/>
      <c r="Q1012" s="1771"/>
      <c r="R1012" s="1771"/>
      <c r="S1012" s="1771"/>
      <c r="T1012" s="1771"/>
      <c r="U1012" s="1771"/>
      <c r="V1012" s="1771"/>
      <c r="W1012" s="1771"/>
      <c r="X1012" s="1771"/>
      <c r="Y1012" s="1771"/>
      <c r="Z1012" s="1771"/>
      <c r="AA1012" s="1771"/>
      <c r="AB1012" s="1771"/>
      <c r="AC1012" s="1771"/>
      <c r="AD1012" s="1771"/>
      <c r="AE1012" s="1772"/>
      <c r="AF1012" s="73"/>
      <c r="AG1012" s="478"/>
      <c r="AH1012" s="478"/>
      <c r="AI1012" s="83"/>
      <c r="AJ1012" s="1789"/>
      <c r="AK1012" s="1790"/>
      <c r="AL1012" s="1790"/>
      <c r="AM1012" s="1790"/>
      <c r="AN1012" s="1790"/>
      <c r="AO1012" s="1790"/>
      <c r="AP1012" s="1790"/>
      <c r="AQ1012" s="179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75">
        <f>BA973</f>
        <v>74</v>
      </c>
      <c r="J1013" s="1776"/>
      <c r="K1013" s="7"/>
      <c r="L1013" s="133"/>
      <c r="M1013" s="133"/>
      <c r="N1013" s="133"/>
      <c r="O1013" s="133"/>
      <c r="P1013" s="133"/>
      <c r="Q1013" s="133"/>
      <c r="R1013" s="133"/>
      <c r="S1013" s="133"/>
      <c r="T1013" s="133"/>
      <c r="U1013" s="133"/>
      <c r="V1013" s="134" t="s">
        <v>1014</v>
      </c>
      <c r="W1013" s="48"/>
      <c r="X1013" s="1773">
        <f>BG621</f>
        <v>49</v>
      </c>
      <c r="Y1013" s="1774"/>
      <c r="Z1013" s="48"/>
      <c r="AA1013" s="48"/>
      <c r="AB1013" s="48"/>
      <c r="AC1013" s="48"/>
      <c r="AD1013" s="48"/>
      <c r="AE1013" s="49"/>
      <c r="AF1013" s="961"/>
      <c r="AG1013" s="962"/>
      <c r="AH1013" s="962"/>
      <c r="AI1013" s="963"/>
      <c r="AJ1013" s="1792"/>
      <c r="AK1013" s="1793"/>
      <c r="AL1013" s="1793"/>
      <c r="AM1013" s="1793"/>
      <c r="AN1013" s="1793"/>
      <c r="AO1013" s="1793"/>
      <c r="AP1013" s="1793"/>
      <c r="AQ1013" s="1794"/>
      <c r="AR1013" s="68"/>
      <c r="AS1013" s="68"/>
      <c r="AT1013" s="68"/>
      <c r="AU1013" s="68"/>
      <c r="AV1013" s="68"/>
      <c r="AW1013" s="68"/>
      <c r="AX1013" s="68"/>
      <c r="AY1013" s="68"/>
    </row>
    <row r="1014" spans="1:51" ht="12.95" customHeight="1">
      <c r="A1014" s="14"/>
      <c r="B1014" s="79"/>
      <c r="C1014" s="131" t="s">
        <v>1946</v>
      </c>
      <c r="D1014" s="1758" t="s">
        <v>2130</v>
      </c>
      <c r="E1014" s="1759"/>
      <c r="F1014" s="1759"/>
      <c r="G1014" s="1759"/>
      <c r="H1014" s="1759"/>
      <c r="I1014" s="1759"/>
      <c r="J1014" s="1759"/>
      <c r="K1014" s="1759"/>
      <c r="L1014" s="1759"/>
      <c r="M1014" s="1759"/>
      <c r="N1014" s="1759"/>
      <c r="O1014" s="1759"/>
      <c r="P1014" s="1759"/>
      <c r="Q1014" s="1759"/>
      <c r="R1014" s="1759"/>
      <c r="S1014" s="1759"/>
      <c r="T1014" s="1759"/>
      <c r="U1014" s="1759"/>
      <c r="V1014" s="1759"/>
      <c r="W1014" s="1759"/>
      <c r="X1014" s="1759"/>
      <c r="Y1014" s="1759"/>
      <c r="Z1014" s="1759"/>
      <c r="AA1014" s="1759"/>
      <c r="AB1014" s="1759"/>
      <c r="AC1014" s="1759"/>
      <c r="AD1014" s="1759"/>
      <c r="AE1014" s="1760"/>
      <c r="AF1014" s="73"/>
      <c r="AG1014" s="1777" t="str">
        <f>IF(X1017&gt;0,"Yes","No")</f>
        <v>Yes</v>
      </c>
      <c r="AH1014" s="1778"/>
      <c r="AI1014" s="83"/>
      <c r="AJ1014" s="1786">
        <f>IF((X1017=0),0,(2*BA976)*AJ961)</f>
        <v>21664500.48</v>
      </c>
      <c r="AK1014" s="1787"/>
      <c r="AL1014" s="1787"/>
      <c r="AM1014" s="1787"/>
      <c r="AN1014" s="1787"/>
      <c r="AO1014" s="1787"/>
      <c r="AP1014" s="1787"/>
      <c r="AQ1014" s="1788"/>
      <c r="AR1014" s="68"/>
      <c r="AS1014" s="68"/>
      <c r="AT1014" s="68"/>
      <c r="AU1014" s="68"/>
      <c r="AV1014" s="68"/>
      <c r="AW1014" s="68"/>
      <c r="AX1014" s="68"/>
      <c r="AY1014" s="68"/>
    </row>
    <row r="1015" spans="1:51" ht="12.95" customHeight="1">
      <c r="A1015" s="14"/>
      <c r="B1015" s="73"/>
      <c r="C1015" s="477"/>
      <c r="D1015" s="1770" t="s">
        <v>1464</v>
      </c>
      <c r="E1015" s="1771"/>
      <c r="F1015" s="1771"/>
      <c r="G1015" s="1771"/>
      <c r="H1015" s="1771"/>
      <c r="I1015" s="1771"/>
      <c r="J1015" s="1771"/>
      <c r="K1015" s="1771"/>
      <c r="L1015" s="1771"/>
      <c r="M1015" s="1771"/>
      <c r="N1015" s="1771"/>
      <c r="O1015" s="1771"/>
      <c r="P1015" s="1771"/>
      <c r="Q1015" s="1771"/>
      <c r="R1015" s="1771"/>
      <c r="S1015" s="1771"/>
      <c r="T1015" s="1771"/>
      <c r="U1015" s="1771"/>
      <c r="V1015" s="1771"/>
      <c r="W1015" s="1771"/>
      <c r="X1015" s="1771"/>
      <c r="Y1015" s="1771"/>
      <c r="Z1015" s="1771"/>
      <c r="AA1015" s="1771"/>
      <c r="AB1015" s="1771"/>
      <c r="AC1015" s="1771"/>
      <c r="AD1015" s="1771"/>
      <c r="AE1015" s="1772"/>
      <c r="AF1015" s="73"/>
      <c r="AG1015" s="478"/>
      <c r="AH1015" s="478"/>
      <c r="AI1015" s="83"/>
      <c r="AJ1015" s="1789"/>
      <c r="AK1015" s="1790"/>
      <c r="AL1015" s="1790"/>
      <c r="AM1015" s="1790"/>
      <c r="AN1015" s="1790"/>
      <c r="AO1015" s="1790"/>
      <c r="AP1015" s="1790"/>
      <c r="AQ1015" s="1791"/>
      <c r="AR1015" s="68"/>
      <c r="AS1015" s="68"/>
      <c r="AT1015" s="68"/>
      <c r="AU1015" s="68"/>
      <c r="AV1015" s="68"/>
      <c r="AW1015" s="68"/>
      <c r="AX1015" s="68"/>
      <c r="AY1015" s="68"/>
    </row>
    <row r="1016" spans="1:51" ht="12.95" customHeight="1">
      <c r="A1016" s="14"/>
      <c r="B1016" s="73"/>
      <c r="C1016" s="83"/>
      <c r="D1016" s="1770"/>
      <c r="E1016" s="1771"/>
      <c r="F1016" s="1771"/>
      <c r="G1016" s="1771"/>
      <c r="H1016" s="1771"/>
      <c r="I1016" s="1771"/>
      <c r="J1016" s="1771"/>
      <c r="K1016" s="1771"/>
      <c r="L1016" s="1771"/>
      <c r="M1016" s="1771"/>
      <c r="N1016" s="1771"/>
      <c r="O1016" s="1771"/>
      <c r="P1016" s="1771"/>
      <c r="Q1016" s="1771"/>
      <c r="R1016" s="1771"/>
      <c r="S1016" s="1771"/>
      <c r="T1016" s="1771"/>
      <c r="U1016" s="1771"/>
      <c r="V1016" s="1771"/>
      <c r="W1016" s="1771"/>
      <c r="X1016" s="1771"/>
      <c r="Y1016" s="1771"/>
      <c r="Z1016" s="1771"/>
      <c r="AA1016" s="1771"/>
      <c r="AB1016" s="1771"/>
      <c r="AC1016" s="1771"/>
      <c r="AD1016" s="1771"/>
      <c r="AE1016" s="1772"/>
      <c r="AF1016" s="958"/>
      <c r="AG1016" s="959"/>
      <c r="AH1016" s="959"/>
      <c r="AI1016" s="960"/>
      <c r="AJ1016" s="1789"/>
      <c r="AK1016" s="1790"/>
      <c r="AL1016" s="1790"/>
      <c r="AM1016" s="1790"/>
      <c r="AN1016" s="1790"/>
      <c r="AO1016" s="1790"/>
      <c r="AP1016" s="1790"/>
      <c r="AQ1016" s="179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75">
        <f>BA973</f>
        <v>74</v>
      </c>
      <c r="J1017" s="1776"/>
      <c r="K1017" s="14"/>
      <c r="L1017" s="133"/>
      <c r="M1017" s="133"/>
      <c r="N1017" s="133"/>
      <c r="O1017" s="133"/>
      <c r="P1017" s="133"/>
      <c r="Q1017" s="133"/>
      <c r="R1017" s="133"/>
      <c r="S1017" s="133"/>
      <c r="T1017" s="133"/>
      <c r="U1017" s="133"/>
      <c r="V1017" s="134" t="s">
        <v>1015</v>
      </c>
      <c r="X1017" s="1773">
        <f>BK621</f>
        <v>21</v>
      </c>
      <c r="Y1017" s="1774"/>
      <c r="AF1017" s="961"/>
      <c r="AG1017" s="962"/>
      <c r="AH1017" s="962"/>
      <c r="AI1017" s="963"/>
      <c r="AJ1017" s="1792"/>
      <c r="AK1017" s="1793"/>
      <c r="AL1017" s="1793"/>
      <c r="AM1017" s="1793"/>
      <c r="AN1017" s="1793"/>
      <c r="AO1017" s="1793"/>
      <c r="AP1017" s="1793"/>
      <c r="AQ1017" s="1794"/>
      <c r="AR1017" s="68"/>
      <c r="AS1017" s="68"/>
      <c r="AT1017" s="68"/>
      <c r="AU1017" s="68"/>
      <c r="AV1017" s="68"/>
      <c r="AW1017" s="68"/>
      <c r="AX1017" s="68"/>
      <c r="AY1017" s="68"/>
    </row>
    <row r="1018" spans="1:51" ht="12.95" customHeight="1">
      <c r="A1018" s="14"/>
      <c r="B1018" s="102"/>
      <c r="C1018" s="103"/>
      <c r="D1018" s="1768" t="s">
        <v>523</v>
      </c>
      <c r="E1018" s="1768"/>
      <c r="F1018" s="1768"/>
      <c r="G1018" s="1768"/>
      <c r="H1018" s="1768"/>
      <c r="I1018" s="1768"/>
      <c r="J1018" s="1768"/>
      <c r="K1018" s="1768"/>
      <c r="L1018" s="1768"/>
      <c r="M1018" s="1768"/>
      <c r="N1018" s="1768"/>
      <c r="O1018" s="1768"/>
      <c r="P1018" s="1768"/>
      <c r="Q1018" s="1768"/>
      <c r="R1018" s="1768"/>
      <c r="S1018" s="1768"/>
      <c r="T1018" s="1768"/>
      <c r="U1018" s="1768"/>
      <c r="V1018" s="1768"/>
      <c r="W1018" s="1768"/>
      <c r="X1018" s="1768"/>
      <c r="Y1018" s="1768"/>
      <c r="Z1018" s="1768"/>
      <c r="AA1018" s="1768"/>
      <c r="AB1018" s="1768"/>
      <c r="AC1018" s="1768"/>
      <c r="AD1018" s="1768"/>
      <c r="AE1018" s="1768"/>
      <c r="AF1018" s="1768"/>
      <c r="AG1018" s="1768"/>
      <c r="AH1018" s="1768"/>
      <c r="AI1018" s="1769"/>
      <c r="AJ1018" s="1795">
        <f>SUM(AJ961:AQ1017)</f>
        <v>99638827.760000005</v>
      </c>
      <c r="AK1018" s="1796"/>
      <c r="AL1018" s="1796"/>
      <c r="AM1018" s="1796"/>
      <c r="AN1018" s="1796"/>
      <c r="AO1018" s="1796"/>
      <c r="AP1018" s="1796"/>
      <c r="AQ1018" s="179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4">
        <f>IF(ISNA(IF((AJ985&gt;(AJ961*0.15)),"(f) cannot be greater than 15% of unadjusted eligible basis.",0)),"",(IF((AJ985&gt;(AJ961*0.15)),"(f) cannot be greater than 15% of unadjusted eligible basis.",0)))</f>
        <v>0</v>
      </c>
      <c r="C1025" s="1724"/>
      <c r="D1025" s="1724"/>
      <c r="E1025" s="1724"/>
      <c r="F1025" s="1724"/>
      <c r="G1025" s="1724"/>
      <c r="H1025" s="1724"/>
      <c r="I1025" s="1724"/>
      <c r="J1025" s="1724"/>
      <c r="K1025" s="1724"/>
      <c r="L1025" s="1724"/>
      <c r="M1025" s="1724"/>
      <c r="N1025" s="1724"/>
      <c r="O1025" s="1724"/>
      <c r="P1025" s="1724"/>
      <c r="Q1025" s="1724"/>
      <c r="R1025" s="1724"/>
      <c r="S1025" s="1724"/>
      <c r="T1025" s="1724"/>
      <c r="U1025" s="1724"/>
      <c r="V1025" s="1724"/>
      <c r="W1025" s="1724"/>
      <c r="X1025" s="1724"/>
      <c r="Y1025" s="1724"/>
      <c r="Z1025" s="1724"/>
      <c r="AA1025" s="1724"/>
      <c r="AB1025" s="1724"/>
      <c r="AC1025" s="1724"/>
      <c r="AD1025" s="1724"/>
      <c r="AE1025" s="1724"/>
      <c r="AF1025" s="1724"/>
      <c r="AG1025" s="1724"/>
      <c r="AH1025" s="1724"/>
      <c r="AI1025" s="1724"/>
      <c r="AJ1025" s="1724"/>
      <c r="AK1025" s="1724"/>
      <c r="AL1025" s="68"/>
      <c r="AM1025" s="68"/>
      <c r="AN1025" s="68"/>
      <c r="AO1025" s="68"/>
      <c r="AP1025" s="68"/>
      <c r="AQ1025" s="68"/>
      <c r="AR1025" s="68"/>
      <c r="AS1025" s="68"/>
      <c r="AT1025" s="68"/>
      <c r="AU1025" s="68"/>
      <c r="AV1025" s="68"/>
      <c r="AW1025" s="68"/>
      <c r="AX1025" s="68"/>
      <c r="AY1025" s="68"/>
    </row>
    <row r="1026" spans="1:51" ht="12.95" customHeight="1" thickBot="1">
      <c r="A1026" s="1677" t="s">
        <v>819</v>
      </c>
      <c r="B1026" s="1677"/>
      <c r="C1026" s="1677"/>
      <c r="D1026" s="1677"/>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7"/>
      <c r="AF1026" s="1677"/>
      <c r="AG1026" s="1677"/>
      <c r="AH1026" s="1677"/>
      <c r="AI1026" s="1677"/>
      <c r="AJ1026" s="1677"/>
      <c r="AK1026" s="1677"/>
      <c r="AL1026" s="1677"/>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97" t="s">
        <v>601</v>
      </c>
      <c r="B1030" s="1397"/>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97" t="s">
        <v>601</v>
      </c>
      <c r="B1036" s="1397"/>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97" t="s">
        <v>601</v>
      </c>
      <c r="B1042" s="1397"/>
      <c r="C1042" s="8">
        <v>3</v>
      </c>
      <c r="D1042" s="1260" t="s">
        <v>2567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97" t="s">
        <v>601</v>
      </c>
      <c r="B1049" s="1397"/>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97" t="s">
        <v>601</v>
      </c>
      <c r="B1052" s="1397"/>
      <c r="C1052" s="8">
        <v>5</v>
      </c>
      <c r="D1052" s="1260" t="s">
        <v>2568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97" t="s">
        <v>601</v>
      </c>
      <c r="B1057" s="1397"/>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97" t="s">
        <v>601</v>
      </c>
      <c r="B1060" s="1397"/>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97" t="s">
        <v>601</v>
      </c>
      <c r="B1064" s="1397"/>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97" t="s">
        <v>601</v>
      </c>
      <c r="B1068" s="1397"/>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W634:Y634"/>
    <mergeCell ref="C555:L555"/>
    <mergeCell ref="M555:P555"/>
    <mergeCell ref="C556:L556"/>
    <mergeCell ref="M556:P556"/>
    <mergeCell ref="C557:L557"/>
    <mergeCell ref="W620:Y622"/>
    <mergeCell ref="T620:V622"/>
    <mergeCell ref="C558:L558"/>
    <mergeCell ref="M558:P558"/>
    <mergeCell ref="C559:L559"/>
    <mergeCell ref="M559:P559"/>
    <mergeCell ref="C560:L560"/>
    <mergeCell ref="M560:P560"/>
    <mergeCell ref="C561:L561"/>
    <mergeCell ref="M561:P561"/>
    <mergeCell ref="B620:L622"/>
    <mergeCell ref="C623:L623"/>
    <mergeCell ref="C631:L631"/>
    <mergeCell ref="C632:L632"/>
    <mergeCell ref="C633:L633"/>
    <mergeCell ref="C634:L634"/>
    <mergeCell ref="P609:R609"/>
    <mergeCell ref="G573:R573"/>
    <mergeCell ref="G590:R590"/>
    <mergeCell ref="W556:Y556"/>
    <mergeCell ref="T623:V623"/>
    <mergeCell ref="G568:L568"/>
    <mergeCell ref="G607:R607"/>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CS616:CW616"/>
    <mergeCell ref="CX616:DB616"/>
    <mergeCell ref="DC616:DG616"/>
    <mergeCell ref="DH616:DL616"/>
    <mergeCell ref="CH634:CL634"/>
    <mergeCell ref="DC635:DG635"/>
    <mergeCell ref="DH617:DL617"/>
    <mergeCell ref="BS617:BW617"/>
    <mergeCell ref="DR620:DV620"/>
    <mergeCell ref="BX616:CB616"/>
    <mergeCell ref="DM619:DQ619"/>
    <mergeCell ref="BX620:CB620"/>
    <mergeCell ref="DR621:DV621"/>
    <mergeCell ref="CC635:CG635"/>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DR615:DV615"/>
    <mergeCell ref="CX615:DB615"/>
    <mergeCell ref="DC621:DG621"/>
    <mergeCell ref="DH621:DL621"/>
    <mergeCell ref="CM618:CQ618"/>
    <mergeCell ref="CH618:CL618"/>
    <mergeCell ref="CM622:CQ622"/>
    <mergeCell ref="CC621:CG621"/>
    <mergeCell ref="CM619:CQ619"/>
    <mergeCell ref="CM620:CQ620"/>
    <mergeCell ref="W629:Y629"/>
    <mergeCell ref="W630:Y630"/>
    <mergeCell ref="W631:Y631"/>
    <mergeCell ref="W632:Y632"/>
    <mergeCell ref="W633:Y633"/>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CC634:CG634"/>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DX598:EB598"/>
    <mergeCell ref="DX610:EB610"/>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M861:V861"/>
    <mergeCell ref="AC878:AH878"/>
    <mergeCell ref="AA910:AF910"/>
    <mergeCell ref="M945:S945"/>
    <mergeCell ref="D954:Q954"/>
    <mergeCell ref="D955:Q955"/>
    <mergeCell ref="D956:Q956"/>
    <mergeCell ref="Z883:AE883"/>
    <mergeCell ref="W853:AC853"/>
    <mergeCell ref="M858:V858"/>
    <mergeCell ref="D957:Q957"/>
    <mergeCell ref="D958:Q958"/>
    <mergeCell ref="D959:Q959"/>
    <mergeCell ref="AJ954:AQ954"/>
    <mergeCell ref="AJ955:AQ955"/>
    <mergeCell ref="AJ956:AQ956"/>
    <mergeCell ref="AJ957:AQ957"/>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AC736:AG736"/>
    <mergeCell ref="AC737:AG737"/>
    <mergeCell ref="AC733:AG733"/>
    <mergeCell ref="T728:W728"/>
    <mergeCell ref="T727:W727"/>
    <mergeCell ref="AD744:AF744"/>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B738:F738"/>
    <mergeCell ref="G735:J735"/>
    <mergeCell ref="AC739:AG739"/>
    <mergeCell ref="O739:S739"/>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0:AJ720"/>
    <mergeCell ref="T716:W716"/>
    <mergeCell ref="K716:N716"/>
    <mergeCell ref="AH722:AJ722"/>
    <mergeCell ref="G715:J715"/>
    <mergeCell ref="AC723:AG723"/>
    <mergeCell ref="AC724:AG724"/>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30:AJ73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5:AA955"/>
    <mergeCell ref="M929:S929"/>
    <mergeCell ref="J927:S92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A919:AF919"/>
    <mergeCell ref="B725:F725"/>
    <mergeCell ref="AF625:AJ625"/>
    <mergeCell ref="AO624:AS624"/>
    <mergeCell ref="AO627:AS6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H287:R287"/>
    <mergeCell ref="AA289:AK289"/>
    <mergeCell ref="AI298:AK298"/>
    <mergeCell ref="H296:R296"/>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BX609:CB609"/>
    <mergeCell ref="BN613:BR613"/>
    <mergeCell ref="CH614:CL614"/>
    <mergeCell ref="CH602:CL602"/>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BI613:BJ613"/>
    <mergeCell ref="BG608:BH608"/>
    <mergeCell ref="AC625:AE625"/>
    <mergeCell ref="AG611:AH611"/>
    <mergeCell ref="BS619:BW619"/>
    <mergeCell ref="BN628:BR628"/>
    <mergeCell ref="BN629:BR629"/>
    <mergeCell ref="BN630:BR630"/>
    <mergeCell ref="CH611:CL611"/>
    <mergeCell ref="CH612:CL612"/>
    <mergeCell ref="CH610:CL61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CH615:CL615"/>
    <mergeCell ref="Z649:AK649"/>
    <mergeCell ref="Z643:AE643"/>
    <mergeCell ref="Z648:AK648"/>
    <mergeCell ref="P643:R643"/>
    <mergeCell ref="AI643:AK643"/>
    <mergeCell ref="AO620:AS622"/>
    <mergeCell ref="T715:W715"/>
    <mergeCell ref="G710:J713"/>
    <mergeCell ref="K710:N713"/>
    <mergeCell ref="CC614:CG614"/>
    <mergeCell ref="BK618:BL618"/>
    <mergeCell ref="BK613:BL613"/>
    <mergeCell ref="BI612:BJ612"/>
    <mergeCell ref="BK612:BL612"/>
    <mergeCell ref="BS610:BW610"/>
    <mergeCell ref="N611:O611"/>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X610:CB610"/>
    <mergeCell ref="BX613:CB613"/>
    <mergeCell ref="BS612:BW612"/>
    <mergeCell ref="BI610:BJ610"/>
    <mergeCell ref="BX611:CB611"/>
    <mergeCell ref="BX614:CB614"/>
    <mergeCell ref="BK609:BL609"/>
    <mergeCell ref="H652:R65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BE612:BF612"/>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AH724:AJ724"/>
    <mergeCell ref="B718:F718"/>
    <mergeCell ref="T710:W713"/>
    <mergeCell ref="O715:S715"/>
    <mergeCell ref="X720:AB720"/>
    <mergeCell ref="AH718:AJ718"/>
    <mergeCell ref="AC720:AG720"/>
    <mergeCell ref="T719:W719"/>
    <mergeCell ref="T720:W720"/>
    <mergeCell ref="B714:F714"/>
    <mergeCell ref="AH721:AJ721"/>
    <mergeCell ref="G716:J716"/>
    <mergeCell ref="B717:F717"/>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AA937:AG937"/>
    <mergeCell ref="AA943:AG943"/>
    <mergeCell ref="AE932:AK932"/>
    <mergeCell ref="AA908:AF908"/>
    <mergeCell ref="AE928:AK928"/>
    <mergeCell ref="T780:W780"/>
    <mergeCell ref="C816:L816"/>
    <mergeCell ref="T725:W725"/>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U913:Z913"/>
    <mergeCell ref="U909:Z909"/>
    <mergeCell ref="AA902:AF902"/>
    <mergeCell ref="U907:Z907"/>
    <mergeCell ref="AA906:AF906"/>
    <mergeCell ref="AB900:AE900"/>
    <mergeCell ref="C814:H814"/>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AA905:AF905"/>
    <mergeCell ref="M941:S941"/>
    <mergeCell ref="AA942:AG942"/>
    <mergeCell ref="M928:S928"/>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45:V845"/>
    <mergeCell ref="W850:AC850"/>
    <mergeCell ref="C878:AB878"/>
    <mergeCell ref="X731:AB731"/>
    <mergeCell ref="X732:AB732"/>
    <mergeCell ref="X733:AB733"/>
    <mergeCell ref="AH777:AL777"/>
    <mergeCell ref="T732:W732"/>
    <mergeCell ref="U811:X811"/>
    <mergeCell ref="Y810:AB810"/>
    <mergeCell ref="AC810:AF810"/>
    <mergeCell ref="AC811:AF811"/>
    <mergeCell ref="AC762:AG762"/>
    <mergeCell ref="Q807:T808"/>
    <mergeCell ref="Z793:AE793"/>
    <mergeCell ref="AG812:AJ812"/>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Z791:AE791"/>
    <mergeCell ref="AG815:AJ815"/>
    <mergeCell ref="Y815:AB815"/>
    <mergeCell ref="O738:S738"/>
    <mergeCell ref="M830:V830"/>
    <mergeCell ref="AZ840:BA840"/>
    <mergeCell ref="W860:AC860"/>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J781:N781"/>
    <mergeCell ref="J762:N762"/>
    <mergeCell ref="T778:W778"/>
    <mergeCell ref="M816:P816"/>
    <mergeCell ref="U815:X815"/>
    <mergeCell ref="Q815:T815"/>
    <mergeCell ref="AC815:AF815"/>
    <mergeCell ref="Y813:AB813"/>
    <mergeCell ref="AC813:AF813"/>
    <mergeCell ref="Q814:T814"/>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G813:AJ813"/>
    <mergeCell ref="AG811:AJ811"/>
    <mergeCell ref="M810:P810"/>
    <mergeCell ref="O782:S782"/>
    <mergeCell ref="T776:W776"/>
    <mergeCell ref="U813:X813"/>
    <mergeCell ref="T772:W772"/>
    <mergeCell ref="T773:W773"/>
    <mergeCell ref="O774:S774"/>
    <mergeCell ref="J760:N760"/>
    <mergeCell ref="AC759:AG759"/>
    <mergeCell ref="AC760:AG760"/>
    <mergeCell ref="AC768:AG771"/>
    <mergeCell ref="X779:AB779"/>
    <mergeCell ref="T781:W781"/>
    <mergeCell ref="X759:AB759"/>
    <mergeCell ref="J776:N776"/>
    <mergeCell ref="X777:AB777"/>
    <mergeCell ref="X778:AB778"/>
    <mergeCell ref="AC754:AG757"/>
    <mergeCell ref="T779:W779"/>
    <mergeCell ref="T777:W777"/>
    <mergeCell ref="O762:S762"/>
    <mergeCell ref="X773:AB773"/>
    <mergeCell ref="X774:AB774"/>
    <mergeCell ref="X775:AB775"/>
    <mergeCell ref="X776:AB776"/>
    <mergeCell ref="H337:R337"/>
    <mergeCell ref="P344:AE344"/>
    <mergeCell ref="AA340:AK340"/>
    <mergeCell ref="AA334:AK334"/>
    <mergeCell ref="N371:Q371"/>
    <mergeCell ref="B635:AN635"/>
    <mergeCell ref="B636:AN636"/>
    <mergeCell ref="B637:AN637"/>
    <mergeCell ref="AC626:AE626"/>
    <mergeCell ref="AC627:AE627"/>
    <mergeCell ref="AC628:AE628"/>
    <mergeCell ref="Z642:AK642"/>
    <mergeCell ref="G642:R642"/>
    <mergeCell ref="A613:AS614"/>
    <mergeCell ref="AF620:AJ622"/>
    <mergeCell ref="AF623:AJ623"/>
    <mergeCell ref="Q364:AG364"/>
    <mergeCell ref="P417:R417"/>
    <mergeCell ref="S391:U391"/>
    <mergeCell ref="M356:N356"/>
    <mergeCell ref="J384:U384"/>
    <mergeCell ref="V380:W380"/>
    <mergeCell ref="AC346:AE346"/>
    <mergeCell ref="Q390:U390"/>
    <mergeCell ref="AD376:AE376"/>
    <mergeCell ref="AA602:AK602"/>
    <mergeCell ref="AC370:AF370"/>
    <mergeCell ref="G597:R597"/>
    <mergeCell ref="Q389:U389"/>
    <mergeCell ref="E367:AH368"/>
    <mergeCell ref="AA339:AF339"/>
    <mergeCell ref="I391:N391"/>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AA323:AF323"/>
    <mergeCell ref="H315:M315"/>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H297:R297"/>
    <mergeCell ref="H311:R311"/>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I190:N190"/>
    <mergeCell ref="T190:AE190"/>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M235:R235"/>
    <mergeCell ref="Z235:AE235"/>
    <mergeCell ref="AF250:AK250"/>
    <mergeCell ref="M243:AE243"/>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A290:AF290"/>
    <mergeCell ref="AI290:AK29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M231:AK231"/>
    <mergeCell ref="M232:AE232"/>
    <mergeCell ref="N191:AE192"/>
    <mergeCell ref="D210:M210"/>
    <mergeCell ref="AI227:AJ227"/>
    <mergeCell ref="AI225:AJ225"/>
    <mergeCell ref="T194:U194"/>
    <mergeCell ref="Y198:Z198"/>
    <mergeCell ref="AC233:AE233"/>
    <mergeCell ref="AH196:AI196"/>
    <mergeCell ref="A13:AL14"/>
    <mergeCell ref="A12:AL12"/>
    <mergeCell ref="G122:H122"/>
    <mergeCell ref="L122:N122"/>
    <mergeCell ref="Y129:AK129"/>
    <mergeCell ref="M26:Q26"/>
    <mergeCell ref="H16:AJ16"/>
    <mergeCell ref="AA287:AK287"/>
    <mergeCell ref="H286:R286"/>
    <mergeCell ref="AA256:AK256"/>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Q489:AK489"/>
    <mergeCell ref="V275:W275"/>
    <mergeCell ref="K402:AJ402"/>
    <mergeCell ref="AG448:AJ448"/>
    <mergeCell ref="D464:V464"/>
    <mergeCell ref="W467:Y467"/>
    <mergeCell ref="AF429:AG42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S404:AJ404"/>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C124:K124"/>
    <mergeCell ref="O160:T160"/>
    <mergeCell ref="O161:AH161"/>
    <mergeCell ref="D164:AH164"/>
    <mergeCell ref="P423:Q423"/>
    <mergeCell ref="Q490:AK490"/>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AM552:AS552"/>
    <mergeCell ref="H569:R569"/>
    <mergeCell ref="B562:AL562"/>
    <mergeCell ref="T561:V561"/>
    <mergeCell ref="Z585:AE585"/>
    <mergeCell ref="Z575:AK575"/>
    <mergeCell ref="AC513:AF513"/>
    <mergeCell ref="AC512:AF51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AM551:AS551"/>
    <mergeCell ref="T557:V557"/>
    <mergeCell ref="T558:V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I577:AK577"/>
    <mergeCell ref="AG587:AH587"/>
    <mergeCell ref="T559:V559"/>
    <mergeCell ref="Z584:AK584"/>
    <mergeCell ref="Z560:AD560"/>
    <mergeCell ref="Z561:AD561"/>
    <mergeCell ref="Z568:AE568"/>
    <mergeCell ref="Z574:AK574"/>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BI596:BJ596"/>
    <mergeCell ref="BK595:BL595"/>
    <mergeCell ref="BI606:BJ606"/>
    <mergeCell ref="BK606:BL606"/>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N617:BR617"/>
    <mergeCell ref="BK616:BL616"/>
    <mergeCell ref="BG620:BH620"/>
    <mergeCell ref="BI620:BJ620"/>
    <mergeCell ref="CH613:CL613"/>
    <mergeCell ref="BN619:BR619"/>
    <mergeCell ref="BE619:BF619"/>
    <mergeCell ref="BS616:BW61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CC605:CG605"/>
    <mergeCell ref="BX606:CB606"/>
    <mergeCell ref="BS597:BW597"/>
    <mergeCell ref="BS598:BW598"/>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Z593:AE593"/>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Z599:AK599"/>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T553:V553"/>
    <mergeCell ref="D445:AF445"/>
    <mergeCell ref="D446:AF446"/>
    <mergeCell ref="AC516:AF516"/>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AC511:AF511"/>
    <mergeCell ref="AH511:AK511"/>
    <mergeCell ref="AH503:AK503"/>
    <mergeCell ref="B501:H506"/>
    <mergeCell ref="AC506:AF506"/>
    <mergeCell ref="AH514:AK514"/>
    <mergeCell ref="I185:AE185"/>
    <mergeCell ref="E187:AE188"/>
    <mergeCell ref="I189:P189"/>
    <mergeCell ref="T189:AE189"/>
    <mergeCell ref="AC530:AF530"/>
    <mergeCell ref="O533:AA533"/>
    <mergeCell ref="AH534:AK534"/>
    <mergeCell ref="AH521:AK521"/>
    <mergeCell ref="W554:Y554"/>
    <mergeCell ref="Q553:S553"/>
    <mergeCell ref="Q554:S554"/>
    <mergeCell ref="AG393:AJ393"/>
    <mergeCell ref="Z557:AD557"/>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O530:AA530"/>
    <mergeCell ref="AH502:AK502"/>
    <mergeCell ref="AH515:AK515"/>
    <mergeCell ref="AG447:AJ447"/>
    <mergeCell ref="AH533:AK533"/>
    <mergeCell ref="AC455:AF455"/>
    <mergeCell ref="D443:AF443"/>
    <mergeCell ref="D467:V467"/>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H525:AK525"/>
    <mergeCell ref="AC515:AF515"/>
    <mergeCell ref="AH499:AK499"/>
    <mergeCell ref="AJ354:AK354"/>
    <mergeCell ref="AH504:AK504"/>
    <mergeCell ref="AC501:AF501"/>
    <mergeCell ref="AC524:AF524"/>
    <mergeCell ref="AH529:AK529"/>
    <mergeCell ref="AH538:AK538"/>
    <mergeCell ref="AI601:AK601"/>
    <mergeCell ref="AM553:AS553"/>
    <mergeCell ref="AE553:AH553"/>
    <mergeCell ref="AC503:AF503"/>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E559:AH559"/>
    <mergeCell ref="AE557:AH557"/>
    <mergeCell ref="AH530:AK530"/>
    <mergeCell ref="AH513:AK513"/>
    <mergeCell ref="AC514:AF514"/>
    <mergeCell ref="AC519:AF519"/>
    <mergeCell ref="Q392:U392"/>
    <mergeCell ref="AH507:AK507"/>
    <mergeCell ref="AC508:AF508"/>
    <mergeCell ref="AH508:AK508"/>
    <mergeCell ref="AC510:AF510"/>
    <mergeCell ref="AH510:AK510"/>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I549:AL549"/>
    <mergeCell ref="AM550:AS550"/>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s>
  <phoneticPr fontId="0" type="noConversion"/>
  <conditionalFormatting sqref="AF986">
    <cfRule type="cellIs" dxfId="71" priority="36" stopIfTrue="1" operator="equal">
      <formula>"Please Enter Amount:"</formula>
    </cfRule>
  </conditionalFormatting>
  <conditionalFormatting sqref="AJ1010">
    <cfRule type="cellIs" dxfId="70" priority="39" stopIfTrue="1" operator="equal">
      <formula>"#DIV/0!"</formula>
    </cfRule>
  </conditionalFormatting>
  <conditionalFormatting sqref="AG440:AJ440">
    <cfRule type="expression" dxfId="69" priority="40" stopIfTrue="1">
      <formula>"iserror(d31)"</formula>
    </cfRule>
  </conditionalFormatting>
  <conditionalFormatting sqref="AF998">
    <cfRule type="cellIs" dxfId="68" priority="34" stopIfTrue="1" operator="equal">
      <formula>"Please Enter Amount:"</formula>
    </cfRule>
  </conditionalFormatting>
  <conditionalFormatting sqref="AF991">
    <cfRule type="cellIs" dxfId="67" priority="33" stopIfTrue="1" operator="equal">
      <formula>"Please Enter Amount:"</formula>
    </cfRule>
  </conditionalFormatting>
  <conditionalFormatting sqref="D211:X211">
    <cfRule type="expression" dxfId="66" priority="32">
      <formula>NOT($D$210="Special Needs")</formula>
    </cfRule>
  </conditionalFormatting>
  <conditionalFormatting sqref="Y211:AC211">
    <cfRule type="expression" dxfId="65" priority="31">
      <formula>NOT($D$210="Special Needs")</formula>
    </cfRule>
  </conditionalFormatting>
  <conditionalFormatting sqref="D214:U214">
    <cfRule type="expression" dxfId="64" priority="29">
      <formula>NOT(OR($D$213="Seniors",$D$210="Seniors"))</formula>
    </cfRule>
  </conditionalFormatting>
  <conditionalFormatting sqref="AA214:AO214">
    <cfRule type="expression" dxfId="63" priority="30">
      <formula>NOT(OR($D$213="Seniors",$D$210="Seniors"))</formula>
    </cfRule>
  </conditionalFormatting>
  <conditionalFormatting sqref="D212">
    <cfRule type="expression" dxfId="62" priority="28">
      <formula>AND($Y$211&gt;0,$AB$211&lt;75%)</formula>
    </cfRule>
  </conditionalFormatting>
  <conditionalFormatting sqref="D213:Z213">
    <cfRule type="expression" dxfId="61" priority="27">
      <formula>AND($Y$211&gt;0,$AB$211&lt;75%)</formula>
    </cfRule>
  </conditionalFormatting>
  <conditionalFormatting sqref="D215">
    <cfRule type="expression" dxfId="60" priority="25">
      <formula>NOT($D$210="At-Risk")</formula>
    </cfRule>
  </conditionalFormatting>
  <conditionalFormatting sqref="AB215:AM215">
    <cfRule type="expression" dxfId="59" priority="26">
      <formula>NOT($D$210="At-Risk")</formula>
    </cfRule>
  </conditionalFormatting>
  <conditionalFormatting sqref="L506:AB506">
    <cfRule type="expression" dxfId="58" priority="24">
      <formula>AND(NOT(AC506="N/A"),AH506&lt;&gt;"",OR(L506="(specify here)",L506=""))</formula>
    </cfRule>
  </conditionalFormatting>
  <conditionalFormatting sqref="O518:AA518">
    <cfRule type="expression" dxfId="57" priority="23">
      <formula>AND(OR(AND(NOT(AC518="N/A"),AH518&lt;&gt;""),AND(NOT(AC519="N/A"),AH519&lt;&gt;""),AND(NOT(AC520="N/A"),AH520&lt;&gt;"")),OR(O518="(specify here)",O518=""))</formula>
    </cfRule>
  </conditionalFormatting>
  <conditionalFormatting sqref="O521:AA521">
    <cfRule type="expression" dxfId="56" priority="22">
      <formula>AND(OR(AND(NOT(AC521="N/A"),AH521&lt;&gt;""),AND(NOT(AC522="N/A"),AH522&lt;&gt;""),AND(NOT(AC523="N/A"),AH523&lt;&gt;"")),OR(O521="(specify here)",O521=""))</formula>
    </cfRule>
  </conditionalFormatting>
  <conditionalFormatting sqref="O524:AA524">
    <cfRule type="expression" dxfId="55" priority="21">
      <formula>AND(OR(AND(NOT(AC524="N/A"),AH524&lt;&gt;""),AND(NOT(AC525="N/A"),AH525&lt;&gt;""),AND(NOT(AC526="N/A"),AH526&lt;&gt;"")),OR(O524="(specify here)",O524=""))</formula>
    </cfRule>
  </conditionalFormatting>
  <conditionalFormatting sqref="O527:AA527">
    <cfRule type="expression" dxfId="54" priority="20">
      <formula>AND(OR(AND(NOT(AC527="N/A"),AH527&lt;&gt;""),AND(NOT(AC528="N/A"),AH528&lt;&gt;""),AND(NOT(AC529="N/A"),AH529&lt;&gt;"")),OR(O527="(specify here)",O527=""))</formula>
    </cfRule>
  </conditionalFormatting>
  <conditionalFormatting sqref="O530:AA530">
    <cfRule type="expression" dxfId="53" priority="19">
      <formula>AND(OR(AND(NOT(AC530="N/A"),AH530&lt;&gt;""),AND(NOT(AC531="N/A"),AH531&lt;&gt;""),AND(NOT(AC532="N/A"),AH532&lt;&gt;"")),OR(O530="(specify here)",O530=""))</formula>
    </cfRule>
  </conditionalFormatting>
  <conditionalFormatting sqref="O533:AA533">
    <cfRule type="expression" dxfId="52" priority="18">
      <formula>AND(OR(AND(NOT(AC533="N/A"),AH533&lt;&gt;""),AND(NOT(AC534="N/A"),AH534&lt;&gt;""),AND(NOT(AC535="N/A"),AH535&lt;&gt;"")),OR(O533="(specify here)",O533=""))</formula>
    </cfRule>
  </conditionalFormatting>
  <conditionalFormatting sqref="Q551:AS561 C551:C561 AC624:AS634 Q624:Z634">
    <cfRule type="expression" dxfId="51" priority="17">
      <formula>$AT551="!"</formula>
    </cfRule>
  </conditionalFormatting>
  <conditionalFormatting sqref="C624:C634">
    <cfRule type="expression" dxfId="50" priority="16">
      <formula>$AT624="!"</formula>
    </cfRule>
  </conditionalFormatting>
  <conditionalFormatting sqref="E703:AK703">
    <cfRule type="expression" dxfId="49" priority="15">
      <formula>AND($W$702="Other",OR($E$703="(specify here)",$E$703=""))</formula>
    </cfRule>
  </conditionalFormatting>
  <conditionalFormatting sqref="B740:AH741">
    <cfRule type="expression" dxfId="48" priority="14">
      <formula>NOT($D$210="Special Needs")</formula>
    </cfRule>
  </conditionalFormatting>
  <conditionalFormatting sqref="AG742:AJ742">
    <cfRule type="expression" dxfId="47" priority="12">
      <formula>NOT($D$210="Special Needs")</formula>
    </cfRule>
  </conditionalFormatting>
  <conditionalFormatting sqref="U742">
    <cfRule type="expression" dxfId="46" priority="13">
      <formula>NOT($D$210="Special Needs")</formula>
    </cfRule>
  </conditionalFormatting>
  <conditionalFormatting sqref="P800:Y800">
    <cfRule type="expression" dxfId="45" priority="11">
      <formula>AND(Z800&lt;&gt;"",OR(P800="(specify here)",P800=""))</formula>
    </cfRule>
  </conditionalFormatting>
  <conditionalFormatting sqref="F815:L815">
    <cfRule type="expression" dxfId="44" priority="10">
      <formula>AND(OR(M815&lt;&gt;"",$Q$795&lt;&gt;"",$U$795&lt;&gt;"",$Y$795&lt;&gt;"",$AC$795&lt;&gt;"",$AG$795&lt;&gt;"",SUM($M$815:$AJ$815)&gt;0),OR(F815="(specify here)",F815=""))</formula>
    </cfRule>
  </conditionalFormatting>
  <conditionalFormatting sqref="M830:V830">
    <cfRule type="expression" dxfId="43" priority="9">
      <formula>AND(W830&lt;&gt;"",OR(M830="(specify here)",M830=""))</formula>
    </cfRule>
  </conditionalFormatting>
  <conditionalFormatting sqref="M845:V845">
    <cfRule type="expression" dxfId="42" priority="8">
      <formula>AND(W845&lt;&gt;"",OR(M845="(specify here)",M845=""))</formula>
    </cfRule>
  </conditionalFormatting>
  <conditionalFormatting sqref="M855:V855">
    <cfRule type="expression" dxfId="41" priority="7">
      <formula>AND(W855&lt;&gt;"",OR(M855="(specify here)",M855=""))</formula>
    </cfRule>
  </conditionalFormatting>
  <conditionalFormatting sqref="M858:V862">
    <cfRule type="expression" dxfId="40" priority="6">
      <formula>AND(W858&lt;&gt;"",OR(M858="(specify here)",M858=""))</formula>
    </cfRule>
  </conditionalFormatting>
  <conditionalFormatting sqref="C877:AB877">
    <cfRule type="expression" dxfId="39" priority="4">
      <formula>AND(AC877&lt;&gt;"",OR(C877="Other (Specify):",C877=""))</formula>
    </cfRule>
  </conditionalFormatting>
  <conditionalFormatting sqref="C878:AB878">
    <cfRule type="expression" dxfId="38" priority="2">
      <formula>AND(AC878&lt;&gt;"",OR(C878="Other (Specify):",C878=""))</formula>
    </cfRule>
  </conditionalFormatting>
  <conditionalFormatting sqref="W944:AG944">
    <cfRule type="expression" dxfId="37"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3" zoomScaleNormal="100" zoomScaleSheetLayoutView="100" workbookViewId="0">
      <selection activeCell="H50" sqref="H50"/>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7" t="s">
        <v>1375</v>
      </c>
      <c r="B1" s="1868"/>
      <c r="C1" s="1868"/>
      <c r="D1" s="1868"/>
      <c r="E1" s="1868"/>
      <c r="F1" s="1868"/>
      <c r="G1" s="1868"/>
      <c r="H1" s="1868"/>
      <c r="I1" s="1868"/>
      <c r="J1" s="1869"/>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2700000</v>
      </c>
      <c r="C4" s="394">
        <f>+B4</f>
        <v>2700000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10000</v>
      </c>
      <c r="C6" s="394">
        <f>+B6</f>
        <v>10000</v>
      </c>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2710000</v>
      </c>
      <c r="C8" s="393">
        <f>SUM(C4:C7)</f>
        <v>2710000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2710000</v>
      </c>
      <c r="C12" s="393">
        <f>SUM(C8+C11)</f>
        <v>2710000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1813754</v>
      </c>
      <c r="C29" s="394">
        <f>+B29</f>
        <v>1813754</v>
      </c>
      <c r="D29" s="394"/>
      <c r="E29" s="393">
        <f>'Sources and Uses Budget'!S29</f>
        <v>1813754</v>
      </c>
      <c r="F29" s="394">
        <f>+E29</f>
        <v>1813754</v>
      </c>
      <c r="G29" s="394"/>
      <c r="H29" s="393">
        <f>'Sources and Uses Budget'!T29</f>
        <v>0</v>
      </c>
      <c r="I29" s="394"/>
      <c r="J29" s="394"/>
      <c r="K29" s="391"/>
    </row>
    <row r="30" spans="1:11" s="392" customFormat="1">
      <c r="A30" s="145" t="s">
        <v>609</v>
      </c>
      <c r="B30" s="393">
        <f>'Sources and Uses Budget'!C30</f>
        <v>21424487</v>
      </c>
      <c r="C30" s="394">
        <f>+B30</f>
        <v>21424487</v>
      </c>
      <c r="D30" s="394"/>
      <c r="E30" s="393">
        <f>'Sources and Uses Budget'!S30</f>
        <v>21424487</v>
      </c>
      <c r="F30" s="394">
        <f t="shared" ref="F30:F36" si="0">+E30</f>
        <v>21424487</v>
      </c>
      <c r="G30" s="394"/>
      <c r="H30" s="393">
        <f>'Sources and Uses Budget'!T30</f>
        <v>0</v>
      </c>
      <c r="I30" s="394"/>
      <c r="J30" s="394"/>
      <c r="K30" s="391"/>
    </row>
    <row r="31" spans="1:11" s="392" customFormat="1">
      <c r="A31" s="145" t="s">
        <v>610</v>
      </c>
      <c r="B31" s="393">
        <f>'Sources and Uses Budget'!C31</f>
        <v>1394294</v>
      </c>
      <c r="C31" s="394">
        <f t="shared" ref="C31:C36" si="1">+B31</f>
        <v>1394294</v>
      </c>
      <c r="D31" s="394"/>
      <c r="E31" s="393">
        <f>'Sources and Uses Budget'!S31</f>
        <v>1394294</v>
      </c>
      <c r="F31" s="394">
        <f t="shared" si="0"/>
        <v>1394294</v>
      </c>
      <c r="G31" s="394"/>
      <c r="H31" s="393">
        <f>'Sources and Uses Budget'!T31</f>
        <v>0</v>
      </c>
      <c r="I31" s="394"/>
      <c r="J31" s="394"/>
      <c r="K31" s="391"/>
    </row>
    <row r="32" spans="1:11" s="392" customFormat="1">
      <c r="A32" s="145" t="s">
        <v>138</v>
      </c>
      <c r="B32" s="393">
        <f>'Sources and Uses Budget'!C32</f>
        <v>492651</v>
      </c>
      <c r="C32" s="394">
        <f t="shared" si="1"/>
        <v>492651</v>
      </c>
      <c r="D32" s="394"/>
      <c r="E32" s="393">
        <f>'Sources and Uses Budget'!S32</f>
        <v>492651</v>
      </c>
      <c r="F32" s="394">
        <f t="shared" si="0"/>
        <v>492651</v>
      </c>
      <c r="G32" s="394"/>
      <c r="H32" s="393">
        <f>'Sources and Uses Budget'!T32</f>
        <v>0</v>
      </c>
      <c r="I32" s="394"/>
      <c r="J32" s="394"/>
      <c r="K32" s="391"/>
    </row>
    <row r="33" spans="1:11" s="392" customFormat="1">
      <c r="A33" s="145" t="s">
        <v>139</v>
      </c>
      <c r="B33" s="393">
        <f>'Sources and Uses Budget'!C33</f>
        <v>1477952</v>
      </c>
      <c r="C33" s="394">
        <f t="shared" si="1"/>
        <v>1477952</v>
      </c>
      <c r="D33" s="394"/>
      <c r="E33" s="393">
        <f>'Sources and Uses Budget'!S33</f>
        <v>1477952</v>
      </c>
      <c r="F33" s="394">
        <f t="shared" si="0"/>
        <v>1477952</v>
      </c>
      <c r="G33" s="394"/>
      <c r="H33" s="393">
        <f>'Sources and Uses Budget'!T33</f>
        <v>0</v>
      </c>
      <c r="I33" s="394"/>
      <c r="J33" s="394"/>
      <c r="K33" s="391"/>
    </row>
    <row r="34" spans="1:11" s="392" customFormat="1">
      <c r="A34" s="145" t="s">
        <v>140</v>
      </c>
      <c r="B34" s="393">
        <f>'Sources and Uses Budget'!C34</f>
        <v>0</v>
      </c>
      <c r="C34" s="394">
        <f t="shared" si="1"/>
        <v>0</v>
      </c>
      <c r="D34" s="394"/>
      <c r="E34" s="393">
        <f>'Sources and Uses Budget'!S34</f>
        <v>0</v>
      </c>
      <c r="F34" s="394">
        <f t="shared" si="0"/>
        <v>0</v>
      </c>
      <c r="G34" s="394"/>
      <c r="H34" s="393">
        <f>'Sources and Uses Budget'!T34</f>
        <v>0</v>
      </c>
      <c r="I34" s="394"/>
      <c r="J34" s="394"/>
      <c r="K34" s="391"/>
    </row>
    <row r="35" spans="1:11" s="392" customFormat="1">
      <c r="A35" s="145" t="s">
        <v>141</v>
      </c>
      <c r="B35" s="393">
        <f>'Sources and Uses Budget'!C35</f>
        <v>340520</v>
      </c>
      <c r="C35" s="394">
        <f t="shared" si="1"/>
        <v>340520</v>
      </c>
      <c r="D35" s="394"/>
      <c r="E35" s="393">
        <f>'Sources and Uses Budget'!S35</f>
        <v>340520</v>
      </c>
      <c r="F35" s="394">
        <f t="shared" si="0"/>
        <v>340520</v>
      </c>
      <c r="G35" s="394"/>
      <c r="H35" s="393">
        <f>'Sources and Uses Budget'!T35</f>
        <v>0</v>
      </c>
      <c r="I35" s="394"/>
      <c r="J35" s="394"/>
      <c r="K35" s="391"/>
    </row>
    <row r="36" spans="1:11" s="392" customFormat="1">
      <c r="A36" s="543" t="s">
        <v>1821</v>
      </c>
      <c r="B36" s="393">
        <f>'Sources and Uses Budget'!C36</f>
        <v>0</v>
      </c>
      <c r="C36" s="394">
        <f t="shared" si="1"/>
        <v>0</v>
      </c>
      <c r="D36" s="394"/>
      <c r="E36" s="393">
        <f>'Sources and Uses Budget'!S36</f>
        <v>0</v>
      </c>
      <c r="F36" s="394">
        <f t="shared" si="0"/>
        <v>0</v>
      </c>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26943658</v>
      </c>
      <c r="C38" s="393">
        <f>SUM(C29:C37)</f>
        <v>26943658</v>
      </c>
      <c r="D38" s="393">
        <f>SUM(D29:D37)</f>
        <v>0</v>
      </c>
      <c r="E38" s="393">
        <f>'Sources and Uses Budget'!S38</f>
        <v>26943658</v>
      </c>
      <c r="F38" s="399">
        <f>SUM(F29:F37)</f>
        <v>26943658</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532063</v>
      </c>
      <c r="C40" s="394">
        <f>+B40</f>
        <v>532063</v>
      </c>
      <c r="D40" s="394"/>
      <c r="E40" s="393">
        <f>'Sources and Uses Budget'!S40</f>
        <v>532063</v>
      </c>
      <c r="F40" s="394" cm="1">
        <f t="array" ref="F40:F41">+E40:E41</f>
        <v>532063</v>
      </c>
      <c r="G40" s="394"/>
      <c r="H40" s="393">
        <f>'Sources and Uses Budget'!T40</f>
        <v>0</v>
      </c>
      <c r="I40" s="394"/>
      <c r="J40" s="394"/>
      <c r="K40" s="391"/>
    </row>
    <row r="41" spans="1:11" s="392" customFormat="1">
      <c r="A41" s="396" t="s">
        <v>147</v>
      </c>
      <c r="B41" s="393">
        <f>'Sources and Uses Budget'!C41</f>
        <v>266031</v>
      </c>
      <c r="C41" s="394">
        <f>+B41</f>
        <v>266031</v>
      </c>
      <c r="D41" s="394"/>
      <c r="E41" s="393">
        <f>'Sources and Uses Budget'!S41</f>
        <v>266031</v>
      </c>
      <c r="F41" s="394">
        <v>266031</v>
      </c>
      <c r="G41" s="394"/>
      <c r="H41" s="393">
        <f>'Sources and Uses Budget'!T41</f>
        <v>0</v>
      </c>
      <c r="I41" s="394"/>
      <c r="J41" s="394"/>
      <c r="K41" s="391"/>
    </row>
    <row r="42" spans="1:11" s="392" customFormat="1">
      <c r="A42" s="397" t="s">
        <v>148</v>
      </c>
      <c r="B42" s="393">
        <f>'Sources and Uses Budget'!C42</f>
        <v>798094</v>
      </c>
      <c r="C42" s="393">
        <f>SUM(C39:C41)</f>
        <v>798094</v>
      </c>
      <c r="D42" s="393">
        <f>SUM(D39:D41)</f>
        <v>0</v>
      </c>
      <c r="E42" s="393">
        <f>'Sources and Uses Budget'!S42</f>
        <v>798094</v>
      </c>
      <c r="F42" s="399">
        <f>SUM(F40:F41)</f>
        <v>798094</v>
      </c>
      <c r="G42" s="399">
        <f>SUM(G40:G41)</f>
        <v>0</v>
      </c>
      <c r="H42" s="393">
        <f>'Sources and Uses Budget'!T42</f>
        <v>0</v>
      </c>
      <c r="I42" s="399">
        <f>SUM(I40:I41)</f>
        <v>0</v>
      </c>
      <c r="J42" s="399">
        <f>SUM(J40:J41)</f>
        <v>0</v>
      </c>
      <c r="K42" s="391"/>
    </row>
    <row r="43" spans="1:11" s="392" customFormat="1">
      <c r="A43" s="397" t="s">
        <v>149</v>
      </c>
      <c r="B43" s="393">
        <f>'Sources and Uses Budget'!C43</f>
        <v>150000</v>
      </c>
      <c r="C43" s="394">
        <f>+B43</f>
        <v>150000</v>
      </c>
      <c r="D43" s="394"/>
      <c r="E43" s="393">
        <f>'Sources and Uses Budget'!S43</f>
        <v>150000</v>
      </c>
      <c r="F43" s="394">
        <f>+E43</f>
        <v>150000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1141881</v>
      </c>
      <c r="C45" s="394">
        <f>+B45</f>
        <v>1141881</v>
      </c>
      <c r="D45" s="394"/>
      <c r="E45" s="393">
        <f>'Sources and Uses Budget'!S45</f>
        <v>952571</v>
      </c>
      <c r="F45" s="394">
        <f>+E45</f>
        <v>952571</v>
      </c>
      <c r="G45" s="394"/>
      <c r="H45" s="393">
        <f>'Sources and Uses Budget'!T45</f>
        <v>0</v>
      </c>
      <c r="I45" s="394"/>
      <c r="J45" s="394"/>
      <c r="K45" s="391"/>
    </row>
    <row r="46" spans="1:11" s="392" customFormat="1">
      <c r="A46" s="396" t="s">
        <v>152</v>
      </c>
      <c r="B46" s="393">
        <f>'Sources and Uses Budget'!C46</f>
        <v>215011</v>
      </c>
      <c r="C46" s="394">
        <f t="shared" ref="C46:C53" si="2">+B46</f>
        <v>215011</v>
      </c>
      <c r="D46" s="394"/>
      <c r="E46" s="393">
        <f>'Sources and Uses Budget'!S46</f>
        <v>215011</v>
      </c>
      <c r="F46" s="394">
        <f t="shared" ref="F46:F53" si="3">+E46</f>
        <v>215011</v>
      </c>
      <c r="G46" s="394"/>
      <c r="H46" s="393">
        <f>'Sources and Uses Budget'!T46</f>
        <v>0</v>
      </c>
      <c r="I46" s="394"/>
      <c r="J46" s="394"/>
      <c r="K46" s="391"/>
    </row>
    <row r="47" spans="1:11" s="392" customFormat="1" ht="12" customHeight="1">
      <c r="A47" s="396" t="s">
        <v>153</v>
      </c>
      <c r="B47" s="393">
        <f>'Sources and Uses Budget'!C47</f>
        <v>35000</v>
      </c>
      <c r="C47" s="394">
        <f t="shared" si="2"/>
        <v>35000</v>
      </c>
      <c r="D47" s="394"/>
      <c r="E47" s="393">
        <f>'Sources and Uses Budget'!S47</f>
        <v>35000</v>
      </c>
      <c r="F47" s="394">
        <f t="shared" si="3"/>
        <v>35000</v>
      </c>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f t="shared" si="3"/>
        <v>0</v>
      </c>
      <c r="G48" s="394"/>
      <c r="H48" s="393">
        <f>'Sources and Uses Budget'!T48</f>
        <v>0</v>
      </c>
      <c r="I48" s="394"/>
      <c r="J48" s="394"/>
      <c r="K48" s="391"/>
    </row>
    <row r="49" spans="1:11" s="392" customFormat="1">
      <c r="A49" s="304" t="s">
        <v>57</v>
      </c>
      <c r="B49" s="393">
        <f>'Sources and Uses Budget'!C49</f>
        <v>181526</v>
      </c>
      <c r="C49" s="394">
        <f t="shared" si="2"/>
        <v>181526</v>
      </c>
      <c r="D49" s="394"/>
      <c r="E49" s="393">
        <f>'Sources and Uses Budget'!S49</f>
        <v>0</v>
      </c>
      <c r="F49" s="394">
        <f t="shared" si="3"/>
        <v>0</v>
      </c>
      <c r="G49" s="394"/>
      <c r="H49" s="393">
        <f>'Sources and Uses Budget'!T49</f>
        <v>0</v>
      </c>
      <c r="I49" s="394"/>
      <c r="J49" s="394"/>
      <c r="K49" s="391"/>
    </row>
    <row r="50" spans="1:11" s="392" customFormat="1">
      <c r="A50" s="396" t="s">
        <v>157</v>
      </c>
      <c r="B50" s="393">
        <f>'Sources and Uses Budget'!C50</f>
        <v>40000</v>
      </c>
      <c r="C50" s="394">
        <f t="shared" si="2"/>
        <v>40000</v>
      </c>
      <c r="D50" s="394"/>
      <c r="E50" s="393">
        <f>'Sources and Uses Budget'!S50</f>
        <v>40000</v>
      </c>
      <c r="F50" s="394">
        <f t="shared" si="3"/>
        <v>40000</v>
      </c>
      <c r="G50" s="394"/>
      <c r="H50" s="393">
        <f>'Sources and Uses Budget'!T50</f>
        <v>0</v>
      </c>
      <c r="I50" s="394"/>
      <c r="J50" s="394"/>
      <c r="K50" s="391"/>
    </row>
    <row r="51" spans="1:11" s="392" customFormat="1">
      <c r="A51" s="396" t="s">
        <v>155</v>
      </c>
      <c r="B51" s="393">
        <f>'Sources and Uses Budget'!C51</f>
        <v>54000</v>
      </c>
      <c r="C51" s="394">
        <f t="shared" si="2"/>
        <v>54000</v>
      </c>
      <c r="D51" s="394"/>
      <c r="E51" s="393">
        <f>'Sources and Uses Budget'!S51</f>
        <v>54000</v>
      </c>
      <c r="F51" s="394">
        <f t="shared" si="3"/>
        <v>54000</v>
      </c>
      <c r="G51" s="394"/>
      <c r="H51" s="393">
        <f>'Sources and Uses Budget'!T51</f>
        <v>0</v>
      </c>
      <c r="I51" s="394"/>
      <c r="J51" s="394"/>
      <c r="K51" s="391"/>
    </row>
    <row r="52" spans="1:11" s="392" customFormat="1">
      <c r="A52" s="396" t="s">
        <v>156</v>
      </c>
      <c r="B52" s="393">
        <f>'Sources and Uses Budget'!C52</f>
        <v>0</v>
      </c>
      <c r="C52" s="394">
        <f t="shared" si="2"/>
        <v>0</v>
      </c>
      <c r="D52" s="394"/>
      <c r="E52" s="393">
        <f>'Sources and Uses Budget'!S52</f>
        <v>0</v>
      </c>
      <c r="F52" s="394">
        <f t="shared" si="3"/>
        <v>0</v>
      </c>
      <c r="G52" s="394"/>
      <c r="H52" s="393">
        <f>'Sources and Uses Budget'!T52</f>
        <v>0</v>
      </c>
      <c r="I52" s="394"/>
      <c r="J52" s="394"/>
      <c r="K52" s="391"/>
    </row>
    <row r="53" spans="1:11" s="392" customFormat="1">
      <c r="A53" s="396" t="str">
        <f>'Sources and Uses Budget'!$A53</f>
        <v>Inspection Fees</v>
      </c>
      <c r="B53" s="393">
        <f>'Sources and Uses Budget'!C53</f>
        <v>20000</v>
      </c>
      <c r="C53" s="394">
        <f t="shared" si="2"/>
        <v>20000</v>
      </c>
      <c r="D53" s="394"/>
      <c r="E53" s="393">
        <f>'Sources and Uses Budget'!S53</f>
        <v>20000</v>
      </c>
      <c r="F53" s="394">
        <f t="shared" si="3"/>
        <v>20000</v>
      </c>
      <c r="G53" s="394"/>
      <c r="H53" s="393">
        <f>'Sources and Uses Budget'!T53</f>
        <v>0</v>
      </c>
      <c r="I53" s="394"/>
      <c r="J53" s="394"/>
      <c r="K53" s="391"/>
    </row>
    <row r="54" spans="1:11" s="401" customFormat="1">
      <c r="A54" s="397" t="s">
        <v>158</v>
      </c>
      <c r="B54" s="393">
        <f>'Sources and Uses Budget'!C54</f>
        <v>1687418</v>
      </c>
      <c r="C54" s="399">
        <f>SUM(C45:C53)</f>
        <v>1687418</v>
      </c>
      <c r="D54" s="399">
        <f>SUM(D45:D53)</f>
        <v>0</v>
      </c>
      <c r="E54" s="393">
        <f>'Sources and Uses Budget'!S54</f>
        <v>1316582</v>
      </c>
      <c r="F54" s="399">
        <f>SUM(F45:F53)</f>
        <v>1316582</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10000</v>
      </c>
      <c r="C57" s="394">
        <f>+B57</f>
        <v>10000</v>
      </c>
      <c r="D57" s="394"/>
      <c r="E57" s="395"/>
      <c r="F57" s="395"/>
      <c r="G57" s="395"/>
      <c r="H57" s="395"/>
      <c r="I57" s="395"/>
      <c r="J57" s="395"/>
      <c r="K57" s="391"/>
    </row>
    <row r="58" spans="1:11" s="392" customFormat="1">
      <c r="A58" s="396" t="s">
        <v>157</v>
      </c>
      <c r="B58" s="393">
        <f>'Sources and Uses Budget'!C58</f>
        <v>5000</v>
      </c>
      <c r="C58" s="394">
        <f>+B58</f>
        <v>5000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15000</v>
      </c>
      <c r="C62" s="393">
        <f>SUM(C56:C61)</f>
        <v>15000</v>
      </c>
      <c r="D62" s="393">
        <f>SUM(D56:D61)</f>
        <v>0</v>
      </c>
      <c r="E62" s="395"/>
      <c r="F62" s="395"/>
      <c r="G62" s="395"/>
      <c r="H62" s="395"/>
      <c r="I62" s="395"/>
      <c r="J62" s="395"/>
      <c r="K62" s="391"/>
    </row>
    <row r="63" spans="1:11" s="392" customFormat="1">
      <c r="A63" s="402" t="s">
        <v>304</v>
      </c>
      <c r="B63" s="393">
        <f>'Sources and Uses Budget'!C63</f>
        <v>32304170</v>
      </c>
      <c r="C63" s="393">
        <f>SUM(C8+C11+C13+C14+C15+C26+C27+C38+C42+C43+C54+C62)</f>
        <v>32304170</v>
      </c>
      <c r="D63" s="393">
        <f>SUM(D8+D11+D13+D14+D15+D26+D27+D38+D42+D43+D54+D62)</f>
        <v>0</v>
      </c>
      <c r="E63" s="393">
        <f>'Sources and Uses Budget'!S63</f>
        <v>29208334</v>
      </c>
      <c r="F63" s="393">
        <f>SUM(F10+F13+F14+F15+F26+F27+F38+F42+F43+F54)</f>
        <v>29208334</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65000</v>
      </c>
      <c r="C65" s="394">
        <f>+B65</f>
        <v>65000</v>
      </c>
      <c r="D65" s="394"/>
      <c r="E65" s="393">
        <f>'Sources and Uses Budget'!S65</f>
        <v>65000</v>
      </c>
      <c r="F65" s="394">
        <f>+E65</f>
        <v>65000</v>
      </c>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f t="shared" ref="F66:F69" si="4">+E66</f>
        <v>0</v>
      </c>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f t="shared" si="4"/>
        <v>0</v>
      </c>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f t="shared" si="4"/>
        <v>0</v>
      </c>
      <c r="G68" s="394"/>
      <c r="H68" s="393">
        <f>'Sources and Uses Budget'!T68</f>
        <v>0</v>
      </c>
      <c r="I68" s="394"/>
      <c r="J68" s="394"/>
      <c r="K68" s="391"/>
    </row>
    <row r="69" spans="1:11" s="392" customFormat="1">
      <c r="A69" s="396" t="str">
        <f>'Sources and Uses Budget'!$A69</f>
        <v>Borrower's Attorney</v>
      </c>
      <c r="B69" s="393">
        <f>'Sources and Uses Budget'!C69</f>
        <v>50000</v>
      </c>
      <c r="C69" s="394">
        <f>+B69</f>
        <v>50000</v>
      </c>
      <c r="D69" s="394"/>
      <c r="E69" s="393">
        <f>'Sources and Uses Budget'!S69</f>
        <v>50000</v>
      </c>
      <c r="F69" s="394">
        <f t="shared" si="4"/>
        <v>50000</v>
      </c>
      <c r="G69" s="394"/>
      <c r="H69" s="393">
        <f>'Sources and Uses Budget'!T69</f>
        <v>0</v>
      </c>
      <c r="I69" s="394"/>
      <c r="J69" s="394"/>
      <c r="K69" s="391"/>
    </row>
    <row r="70" spans="1:11" s="392" customFormat="1">
      <c r="A70" s="397" t="s">
        <v>611</v>
      </c>
      <c r="B70" s="393">
        <f>'Sources and Uses Budget'!C70</f>
        <v>115000</v>
      </c>
      <c r="C70" s="393">
        <f>SUM(C64:C69)</f>
        <v>115000</v>
      </c>
      <c r="D70" s="393">
        <f>SUM(D64:D69)</f>
        <v>0</v>
      </c>
      <c r="E70" s="393">
        <f>'Sources and Uses Budget'!S70</f>
        <v>115000</v>
      </c>
      <c r="F70" s="399">
        <f>SUM(F65:F69)</f>
        <v>115000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30000</v>
      </c>
      <c r="C72" s="394">
        <f>+B72</f>
        <v>30000</v>
      </c>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158760</v>
      </c>
      <c r="C75" s="394">
        <f>+B75</f>
        <v>158760</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188760</v>
      </c>
      <c r="C77" s="393">
        <f>SUM(C72:C76)</f>
        <v>188760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1886056</v>
      </c>
      <c r="C79" s="394">
        <f>+B79</f>
        <v>1886056</v>
      </c>
      <c r="D79" s="394"/>
      <c r="E79" s="393">
        <f>'Sources and Uses Budget'!S79</f>
        <v>1886056</v>
      </c>
      <c r="F79" s="394">
        <f>+E79</f>
        <v>1886056</v>
      </c>
      <c r="G79" s="394"/>
      <c r="H79" s="393">
        <f>'Sources and Uses Budget'!T79</f>
        <v>0</v>
      </c>
      <c r="I79" s="394"/>
      <c r="J79" s="394"/>
      <c r="K79" s="391"/>
    </row>
    <row r="80" spans="1:11" s="392" customFormat="1">
      <c r="A80" s="396" t="s">
        <v>58</v>
      </c>
      <c r="B80" s="393">
        <f>'Sources and Uses Budget'!C80</f>
        <v>209613</v>
      </c>
      <c r="C80" s="394">
        <f>+B80</f>
        <v>209613</v>
      </c>
      <c r="D80" s="394"/>
      <c r="E80" s="393">
        <f>'Sources and Uses Budget'!S80</f>
        <v>209613</v>
      </c>
      <c r="F80" s="394">
        <f>+E80</f>
        <v>209613</v>
      </c>
      <c r="G80" s="394"/>
      <c r="H80" s="393">
        <f>'Sources and Uses Budget'!T80</f>
        <v>0</v>
      </c>
      <c r="I80" s="394"/>
      <c r="J80" s="394"/>
      <c r="K80" s="391"/>
    </row>
    <row r="81" spans="1:11" s="392" customFormat="1">
      <c r="A81" s="397" t="s">
        <v>1353</v>
      </c>
      <c r="B81" s="393">
        <f>'Sources and Uses Budget'!C81</f>
        <v>2095669</v>
      </c>
      <c r="C81" s="393">
        <f>SUM(C79:C80)</f>
        <v>2095669</v>
      </c>
      <c r="D81" s="393">
        <f>SUM(D79:D80)</f>
        <v>0</v>
      </c>
      <c r="E81" s="393">
        <f>'Sources and Uses Budget'!S81</f>
        <v>2095669</v>
      </c>
      <c r="F81" s="393">
        <f>SUM(F79:F80)</f>
        <v>2095669</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2519</v>
      </c>
      <c r="B83" s="393">
        <f>'Sources and Uses Budget'!C83</f>
        <v>120178</v>
      </c>
      <c r="C83" s="394">
        <f>+B83</f>
        <v>120178</v>
      </c>
      <c r="D83" s="394"/>
      <c r="E83" s="395"/>
      <c r="F83" s="395"/>
      <c r="G83" s="395"/>
      <c r="H83" s="395"/>
      <c r="I83" s="395"/>
      <c r="J83" s="395"/>
      <c r="K83" s="391"/>
    </row>
    <row r="84" spans="1:11" s="392" customFormat="1">
      <c r="A84" s="145" t="s">
        <v>792</v>
      </c>
      <c r="B84" s="393">
        <f>'Sources and Uses Budget'!C84</f>
        <v>7000</v>
      </c>
      <c r="C84" s="394">
        <f t="shared" ref="C84:C94" si="5">+B84</f>
        <v>7000</v>
      </c>
      <c r="D84" s="394"/>
      <c r="E84" s="393">
        <f>'Sources and Uses Budget'!S84</f>
        <v>7000</v>
      </c>
      <c r="F84" s="394">
        <f>+E84</f>
        <v>7000</v>
      </c>
      <c r="G84" s="394"/>
      <c r="H84" s="393">
        <f>'Sources and Uses Budget'!T84</f>
        <v>0</v>
      </c>
      <c r="I84" s="394"/>
      <c r="J84" s="394"/>
      <c r="K84" s="391"/>
    </row>
    <row r="85" spans="1:11" s="392" customFormat="1">
      <c r="A85" s="145" t="s">
        <v>793</v>
      </c>
      <c r="B85" s="393">
        <f>'Sources and Uses Budget'!C85</f>
        <v>1836525</v>
      </c>
      <c r="C85" s="394">
        <f t="shared" si="5"/>
        <v>1836525</v>
      </c>
      <c r="D85" s="394"/>
      <c r="E85" s="393">
        <f>'Sources and Uses Budget'!S85</f>
        <v>1836525</v>
      </c>
      <c r="F85" s="394">
        <f t="shared" ref="F85:F87" si="6">+E85</f>
        <v>1836525</v>
      </c>
      <c r="G85" s="394"/>
      <c r="H85" s="393">
        <f>'Sources and Uses Budget'!T85</f>
        <v>0</v>
      </c>
      <c r="I85" s="394"/>
      <c r="J85" s="394"/>
      <c r="K85" s="391"/>
    </row>
    <row r="86" spans="1:11" s="392" customFormat="1">
      <c r="A86" s="145" t="s">
        <v>794</v>
      </c>
      <c r="B86" s="393">
        <f>'Sources and Uses Budget'!C86</f>
        <v>750000</v>
      </c>
      <c r="C86" s="394">
        <f t="shared" si="5"/>
        <v>750000</v>
      </c>
      <c r="D86" s="394"/>
      <c r="E86" s="393">
        <f>'Sources and Uses Budget'!S86</f>
        <v>750000</v>
      </c>
      <c r="F86" s="394">
        <f t="shared" si="6"/>
        <v>750000</v>
      </c>
      <c r="G86" s="394"/>
      <c r="H86" s="393">
        <f>'Sources and Uses Budget'!T86</f>
        <v>0</v>
      </c>
      <c r="I86" s="394"/>
      <c r="J86" s="394"/>
      <c r="K86" s="391"/>
    </row>
    <row r="87" spans="1:11" s="392" customFormat="1">
      <c r="A87" s="145" t="s">
        <v>795</v>
      </c>
      <c r="B87" s="393">
        <f>'Sources and Uses Budget'!C87</f>
        <v>0</v>
      </c>
      <c r="C87" s="394">
        <f t="shared" si="5"/>
        <v>0</v>
      </c>
      <c r="D87" s="394"/>
      <c r="E87" s="393">
        <f>'Sources and Uses Budget'!S87</f>
        <v>0</v>
      </c>
      <c r="F87" s="394">
        <f t="shared" si="6"/>
        <v>0</v>
      </c>
      <c r="G87" s="394"/>
      <c r="H87" s="393">
        <f>'Sources and Uses Budget'!T87</f>
        <v>0</v>
      </c>
      <c r="I87" s="394"/>
      <c r="J87" s="394"/>
      <c r="K87" s="391"/>
    </row>
    <row r="88" spans="1:11" s="392" customFormat="1">
      <c r="A88" s="145" t="s">
        <v>796</v>
      </c>
      <c r="B88" s="393">
        <f>'Sources and Uses Budget'!C88</f>
        <v>38625</v>
      </c>
      <c r="C88" s="394">
        <f t="shared" si="5"/>
        <v>38625</v>
      </c>
      <c r="D88" s="394"/>
      <c r="E88" s="395"/>
      <c r="F88" s="395"/>
      <c r="G88" s="395"/>
      <c r="H88" s="395"/>
      <c r="I88" s="395"/>
      <c r="J88" s="395"/>
      <c r="K88" s="391"/>
    </row>
    <row r="89" spans="1:11" s="392" customFormat="1">
      <c r="A89" s="145" t="s">
        <v>797</v>
      </c>
      <c r="B89" s="393">
        <f>'Sources and Uses Budget'!C89</f>
        <v>60000</v>
      </c>
      <c r="C89" s="394">
        <f t="shared" si="5"/>
        <v>60000</v>
      </c>
      <c r="D89" s="394"/>
      <c r="E89" s="393">
        <f>'Sources and Uses Budget'!S89</f>
        <v>60000</v>
      </c>
      <c r="F89" s="394">
        <f>+E89</f>
        <v>60000</v>
      </c>
      <c r="G89" s="394"/>
      <c r="H89" s="393">
        <f>'Sources and Uses Budget'!T89</f>
        <v>0</v>
      </c>
      <c r="I89" s="394"/>
      <c r="J89" s="394"/>
      <c r="K89" s="391"/>
    </row>
    <row r="90" spans="1:11" s="392" customFormat="1">
      <c r="A90" s="145" t="s">
        <v>798</v>
      </c>
      <c r="B90" s="393">
        <f>'Sources and Uses Budget'!C90</f>
        <v>10000</v>
      </c>
      <c r="C90" s="394">
        <f t="shared" si="5"/>
        <v>10000</v>
      </c>
      <c r="D90" s="394"/>
      <c r="E90" s="393">
        <f>'Sources and Uses Budget'!S90</f>
        <v>10000</v>
      </c>
      <c r="F90" s="394">
        <f t="shared" ref="F90:F93" si="7">+E90</f>
        <v>10000</v>
      </c>
      <c r="G90" s="394"/>
      <c r="H90" s="393">
        <f>'Sources and Uses Budget'!T90</f>
        <v>0</v>
      </c>
      <c r="I90" s="394"/>
      <c r="J90" s="394"/>
      <c r="K90" s="391"/>
    </row>
    <row r="91" spans="1:11" s="392" customFormat="1">
      <c r="A91" s="155" t="s">
        <v>374</v>
      </c>
      <c r="B91" s="393">
        <f>'Sources and Uses Budget'!C91</f>
        <v>45000</v>
      </c>
      <c r="C91" s="394">
        <f t="shared" si="5"/>
        <v>45000</v>
      </c>
      <c r="D91" s="394"/>
      <c r="E91" s="393">
        <f>'Sources and Uses Budget'!S91</f>
        <v>45000</v>
      </c>
      <c r="F91" s="394">
        <f t="shared" si="7"/>
        <v>45000</v>
      </c>
      <c r="G91" s="394"/>
      <c r="H91" s="393">
        <f>'Sources and Uses Budget'!T91</f>
        <v>0</v>
      </c>
      <c r="I91" s="394"/>
      <c r="J91" s="394"/>
      <c r="K91" s="391"/>
    </row>
    <row r="92" spans="1:11" s="392" customFormat="1">
      <c r="A92" s="543" t="s">
        <v>1355</v>
      </c>
      <c r="B92" s="393">
        <f>'Sources and Uses Budget'!C92</f>
        <v>7500</v>
      </c>
      <c r="C92" s="394">
        <f t="shared" si="5"/>
        <v>7500</v>
      </c>
      <c r="D92" s="394"/>
      <c r="E92" s="393">
        <f>'Sources and Uses Budget'!S92</f>
        <v>7500</v>
      </c>
      <c r="F92" s="394">
        <f t="shared" si="7"/>
        <v>7500</v>
      </c>
      <c r="G92" s="394"/>
      <c r="H92" s="393">
        <f>'Sources and Uses Budget'!T92</f>
        <v>0</v>
      </c>
      <c r="I92" s="394"/>
      <c r="J92" s="394"/>
      <c r="K92" s="391"/>
    </row>
    <row r="93" spans="1:11" s="392" customFormat="1">
      <c r="A93" s="396" t="str">
        <f>'Sources and Uses Budget'!$A93</f>
        <v>Other: (Specify)</v>
      </c>
      <c r="B93" s="393">
        <f>'Sources and Uses Budget'!C93</f>
        <v>0</v>
      </c>
      <c r="C93" s="394">
        <f t="shared" si="5"/>
        <v>0</v>
      </c>
      <c r="D93" s="394"/>
      <c r="E93" s="393">
        <f>'Sources and Uses Budget'!S93</f>
        <v>0</v>
      </c>
      <c r="F93" s="394">
        <f t="shared" si="7"/>
        <v>0</v>
      </c>
      <c r="G93" s="394"/>
      <c r="H93" s="393">
        <f>'Sources and Uses Budget'!T93</f>
        <v>0</v>
      </c>
      <c r="I93" s="394"/>
      <c r="J93" s="394"/>
      <c r="K93" s="391"/>
    </row>
    <row r="94" spans="1:11" s="392" customFormat="1">
      <c r="A94" s="396" t="str">
        <f>'Sources and Uses Budget'!$A94</f>
        <v>Other: (Specify)</v>
      </c>
      <c r="B94" s="393">
        <f>'Sources and Uses Budget'!C94</f>
        <v>0</v>
      </c>
      <c r="C94" s="394">
        <f t="shared" si="5"/>
        <v>0</v>
      </c>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2874828</v>
      </c>
      <c r="C96" s="393">
        <f>SUM(C83:C95)</f>
        <v>2874828</v>
      </c>
      <c r="D96" s="393">
        <f>SUM(D83:D95)</f>
        <v>0</v>
      </c>
      <c r="E96" s="393">
        <f>'Sources and Uses Budget'!S96</f>
        <v>2716025</v>
      </c>
      <c r="F96" s="399">
        <f>SUM(F84:F87,F89:F95)</f>
        <v>2716025</v>
      </c>
      <c r="G96" s="399">
        <f>SUM(G84:G87,G89:G95)</f>
        <v>0</v>
      </c>
      <c r="H96" s="393">
        <f>'Sources and Uses Budget'!T96</f>
        <v>0</v>
      </c>
      <c r="I96" s="393">
        <f>SUM(I84:I87,I89:I95)</f>
        <v>0</v>
      </c>
      <c r="J96" s="393">
        <f>SUM(J84:J87,J89:J95)</f>
        <v>0</v>
      </c>
      <c r="K96" s="391"/>
    </row>
    <row r="97" spans="1:11" s="392" customFormat="1">
      <c r="A97" s="397" t="s">
        <v>1091</v>
      </c>
      <c r="B97" s="393">
        <f>'Sources and Uses Budget'!C97</f>
        <v>37578427</v>
      </c>
      <c r="C97" s="393">
        <f>SUM(C63+C70+C77+C81+C96)</f>
        <v>37578427</v>
      </c>
      <c r="D97" s="393">
        <f>SUM(D63+D70+D77+D81+D96)</f>
        <v>0</v>
      </c>
      <c r="E97" s="393">
        <f>'Sources and Uses Budget'!S97</f>
        <v>34135028</v>
      </c>
      <c r="F97" s="399">
        <f>SUM(+F63+F70+F81+F96)</f>
        <v>34135028</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2591850</v>
      </c>
      <c r="C99" s="394">
        <f>+B99</f>
        <v>2591850</v>
      </c>
      <c r="D99" s="394"/>
      <c r="E99" s="393">
        <f>'Sources and Uses Budget'!S99</f>
        <v>2591850</v>
      </c>
      <c r="F99" s="394">
        <f>+E99</f>
        <v>2591850</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2591850</v>
      </c>
      <c r="C104" s="393">
        <f>SUM(C99:C103)</f>
        <v>2591850</v>
      </c>
      <c r="D104" s="393">
        <f>SUM(D99:D103)</f>
        <v>0</v>
      </c>
      <c r="E104" s="393">
        <f>'Sources and Uses Budget'!S104</f>
        <v>2591850</v>
      </c>
      <c r="F104" s="399">
        <f>SUM(F99:F103)</f>
        <v>2591850</v>
      </c>
      <c r="G104" s="399">
        <f>SUM(G99:G103)</f>
        <v>0</v>
      </c>
      <c r="H104" s="393">
        <f>'Sources and Uses Budget'!T104</f>
        <v>0</v>
      </c>
      <c r="I104" s="399">
        <f>SUM(I99:I103)</f>
        <v>0</v>
      </c>
      <c r="J104" s="399">
        <f>SUM(J99:J103)</f>
        <v>0</v>
      </c>
      <c r="K104" s="391"/>
    </row>
    <row r="105" spans="1:11" s="392" customFormat="1">
      <c r="A105" s="397" t="s">
        <v>1092</v>
      </c>
      <c r="B105" s="393">
        <f>'Sources and Uses Budget'!C105</f>
        <v>40170277</v>
      </c>
      <c r="C105" s="399">
        <f>SUM(C97+C104)</f>
        <v>40170277</v>
      </c>
      <c r="D105" s="399">
        <f>SUM(D97+D104)</f>
        <v>0</v>
      </c>
      <c r="E105" s="393">
        <f>'Sources and Uses Budget'!S105</f>
        <v>36726878</v>
      </c>
      <c r="F105" s="399">
        <f>F97+F104</f>
        <v>36726878</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36726878</v>
      </c>
      <c r="F107" s="399">
        <f>F105+F106</f>
        <v>36726878</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5"/>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6"/>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53" zoomScaleNormal="100" zoomScaleSheetLayoutView="100" workbookViewId="0">
      <selection activeCell="AM79" sqref="A79:AM7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4" t="s">
        <v>1473</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571"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0" t="s">
        <v>1478</v>
      </c>
      <c r="AF7" s="1910"/>
      <c r="AG7" s="1910"/>
      <c r="AH7" s="1910"/>
      <c r="AI7" s="1910"/>
      <c r="AJ7" s="1910"/>
      <c r="AK7" s="1910"/>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8" t="s">
        <v>601</v>
      </c>
      <c r="C13" s="2088"/>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6"/>
      <c r="AH13" s="2096"/>
      <c r="AI13" s="2096"/>
      <c r="AJ13" s="209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8" t="s">
        <v>601</v>
      </c>
      <c r="C16" s="2088"/>
      <c r="D16" s="582"/>
      <c r="E16" s="2080" t="s">
        <v>1480</v>
      </c>
      <c r="F16" s="2081"/>
      <c r="G16" s="2081"/>
      <c r="H16" s="2081"/>
      <c r="I16" s="2081"/>
      <c r="J16" s="2081"/>
      <c r="K16" s="2081"/>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c r="AH16" s="2081"/>
      <c r="AI16" s="2081"/>
      <c r="AJ16" s="2082"/>
      <c r="AK16" s="575"/>
      <c r="AL16" s="575"/>
      <c r="AM16" s="575"/>
      <c r="AN16" s="570"/>
      <c r="AO16" s="585">
        <f>IF($B25="yes",20,0)</f>
        <v>0</v>
      </c>
      <c r="AP16" s="14"/>
    </row>
    <row r="17" spans="1:42" s="571" customFormat="1" ht="12.75" customHeight="1">
      <c r="A17" s="575"/>
      <c r="B17" s="575"/>
      <c r="C17" s="575"/>
      <c r="D17" s="586"/>
      <c r="E17" s="2083"/>
      <c r="F17" s="2084"/>
      <c r="G17" s="2084"/>
      <c r="H17" s="2084"/>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5"/>
      <c r="AK17" s="575"/>
      <c r="AL17" s="575"/>
      <c r="AM17" s="575"/>
      <c r="AN17" s="570"/>
      <c r="AO17" s="571">
        <f>IF(SUM(AO13:AO16)&gt;20,20,(SUM(AO13:AO16)))</f>
        <v>0</v>
      </c>
      <c r="AP17" s="571" t="s">
        <v>1481</v>
      </c>
    </row>
    <row r="18" spans="1:42" s="571" customFormat="1" ht="12.75" customHeight="1">
      <c r="A18" s="575"/>
      <c r="B18" s="575"/>
      <c r="C18" s="575"/>
      <c r="D18" s="586"/>
      <c r="E18" s="2083"/>
      <c r="F18" s="2084"/>
      <c r="G18" s="2084"/>
      <c r="H18" s="2084"/>
      <c r="I18" s="2084"/>
      <c r="J18" s="2084"/>
      <c r="K18" s="2084"/>
      <c r="L18" s="2084"/>
      <c r="M18" s="2084"/>
      <c r="N18" s="2084"/>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5"/>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4"/>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8" t="s">
        <v>601</v>
      </c>
      <c r="C22" s="2088"/>
      <c r="D22" s="582"/>
      <c r="E22" s="2098" t="s">
        <v>1483</v>
      </c>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c r="AG22" s="2099"/>
      <c r="AH22" s="2099"/>
      <c r="AI22" s="2099"/>
      <c r="AJ22" s="2100"/>
      <c r="AK22" s="575"/>
      <c r="AL22" s="575"/>
      <c r="AM22" s="575"/>
      <c r="AN22" s="570"/>
      <c r="AO22" s="571">
        <f>IF(SUM(AO20:AO21)&gt;14,14,SUM(AO20:AO21))</f>
        <v>0</v>
      </c>
      <c r="AP22" s="571" t="s">
        <v>1481</v>
      </c>
    </row>
    <row r="23" spans="1:42" s="571" customFormat="1" ht="12.75" customHeight="1">
      <c r="A23" s="575"/>
      <c r="B23" s="575"/>
      <c r="C23" s="575"/>
      <c r="D23" s="585"/>
      <c r="E23" s="2101"/>
      <c r="F23" s="2102"/>
      <c r="G23" s="2102"/>
      <c r="H23" s="2102"/>
      <c r="I23" s="2102"/>
      <c r="J23" s="2102"/>
      <c r="K23" s="2102"/>
      <c r="L23" s="2102"/>
      <c r="M23" s="2102"/>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8" t="s">
        <v>601</v>
      </c>
      <c r="C25" s="2088"/>
      <c r="D25" s="582"/>
      <c r="E25" s="2016" t="s">
        <v>2432</v>
      </c>
      <c r="F25" s="2017"/>
      <c r="G25" s="2017"/>
      <c r="H25" s="2017"/>
      <c r="I25" s="2017"/>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8"/>
      <c r="AK25" s="575"/>
      <c r="AL25" s="575"/>
      <c r="AM25" s="575"/>
      <c r="AN25" s="570"/>
      <c r="AO25" s="571">
        <f>IF(AO24&gt;6,6,AO24)</f>
        <v>0</v>
      </c>
      <c r="AP25" s="571" t="s">
        <v>1481</v>
      </c>
    </row>
    <row r="26" spans="1:42" s="571" customFormat="1" ht="12.75" customHeight="1">
      <c r="A26" s="575"/>
      <c r="B26" s="575"/>
      <c r="C26" s="575"/>
      <c r="D26" s="585"/>
      <c r="E26" s="2041"/>
      <c r="F26" s="2042"/>
      <c r="G26" s="2042"/>
      <c r="H26" s="2042"/>
      <c r="I26" s="2042"/>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8" t="s">
        <v>601</v>
      </c>
      <c r="C30" s="2088"/>
      <c r="D30" s="582"/>
      <c r="E30" s="2098" t="s">
        <v>2404</v>
      </c>
      <c r="F30" s="2099"/>
      <c r="G30" s="2099"/>
      <c r="H30" s="2099"/>
      <c r="I30" s="2099"/>
      <c r="J30" s="2099"/>
      <c r="K30" s="2099"/>
      <c r="L30" s="2099"/>
      <c r="M30" s="2099"/>
      <c r="N30" s="2099"/>
      <c r="O30" s="2099"/>
      <c r="P30" s="2099"/>
      <c r="Q30" s="2099"/>
      <c r="R30" s="2099"/>
      <c r="S30" s="2099"/>
      <c r="T30" s="2099"/>
      <c r="U30" s="2099"/>
      <c r="V30" s="2099"/>
      <c r="W30" s="2099"/>
      <c r="X30" s="2099"/>
      <c r="Y30" s="2099"/>
      <c r="Z30" s="2099"/>
      <c r="AA30" s="2099"/>
      <c r="AB30" s="2099"/>
      <c r="AC30" s="2099"/>
      <c r="AD30" s="2099"/>
      <c r="AE30" s="2099"/>
      <c r="AF30" s="2099"/>
      <c r="AG30" s="2099"/>
      <c r="AH30" s="2099"/>
      <c r="AI30" s="2099"/>
      <c r="AJ30" s="2100"/>
      <c r="AK30" s="575"/>
      <c r="AL30" s="575"/>
      <c r="AM30" s="575"/>
      <c r="AN30" s="570"/>
      <c r="AO30" s="585"/>
    </row>
    <row r="31" spans="1:42" s="571" customFormat="1" ht="12.75" customHeight="1">
      <c r="A31" s="575"/>
      <c r="B31" s="575"/>
      <c r="C31" s="575"/>
      <c r="E31" s="2101"/>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8" t="s">
        <v>601</v>
      </c>
      <c r="C33" s="2088"/>
      <c r="D33" s="582"/>
      <c r="E33" s="2016" t="s">
        <v>2405</v>
      </c>
      <c r="F33" s="2017"/>
      <c r="G33" s="2017"/>
      <c r="H33" s="2017"/>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8"/>
      <c r="AK33" s="575"/>
      <c r="AL33" s="575"/>
      <c r="AM33" s="575"/>
      <c r="AN33" s="570"/>
    </row>
    <row r="34" spans="1:41" s="571" customFormat="1" ht="12.75" customHeight="1">
      <c r="A34" s="575"/>
      <c r="B34" s="575"/>
      <c r="C34" s="575"/>
      <c r="E34" s="2019"/>
      <c r="F34" s="2020"/>
      <c r="G34" s="2020"/>
      <c r="H34" s="2020"/>
      <c r="I34" s="2020"/>
      <c r="J34" s="2020"/>
      <c r="K34" s="2020"/>
      <c r="L34" s="2020"/>
      <c r="M34" s="2020"/>
      <c r="N34" s="2020"/>
      <c r="O34" s="2020"/>
      <c r="P34" s="2020"/>
      <c r="Q34" s="2020"/>
      <c r="R34" s="2020"/>
      <c r="S34" s="2020"/>
      <c r="T34" s="2020"/>
      <c r="U34" s="2020"/>
      <c r="V34" s="2020"/>
      <c r="W34" s="2020"/>
      <c r="X34" s="2020"/>
      <c r="Y34" s="2020"/>
      <c r="Z34" s="2020"/>
      <c r="AA34" s="2020"/>
      <c r="AB34" s="2020"/>
      <c r="AC34" s="2020"/>
      <c r="AD34" s="2020"/>
      <c r="AE34" s="2020"/>
      <c r="AF34" s="2020"/>
      <c r="AG34" s="2020"/>
      <c r="AH34" s="2020"/>
      <c r="AI34" s="2020"/>
      <c r="AJ34" s="2021"/>
      <c r="AK34" s="575"/>
      <c r="AL34" s="575"/>
      <c r="AM34" s="575"/>
      <c r="AN34" s="570"/>
    </row>
    <row r="35" spans="1:41" s="571" customFormat="1" ht="12.75" customHeight="1">
      <c r="A35" s="575"/>
      <c r="B35" s="575"/>
      <c r="C35" s="575"/>
      <c r="E35" s="2041"/>
      <c r="F35" s="2042"/>
      <c r="G35" s="2042"/>
      <c r="H35" s="2042"/>
      <c r="I35" s="2042"/>
      <c r="J35" s="2042"/>
      <c r="K35" s="2042"/>
      <c r="L35" s="2042"/>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8" t="s">
        <v>601</v>
      </c>
      <c r="C39" s="2088"/>
      <c r="D39" s="1195"/>
      <c r="E39" s="2016" t="s">
        <v>2406</v>
      </c>
      <c r="F39" s="2017"/>
      <c r="G39" s="2017"/>
      <c r="H39" s="2017"/>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8"/>
      <c r="AK39" s="1195"/>
      <c r="AL39" s="575"/>
      <c r="AM39" s="575"/>
      <c r="AN39" s="570"/>
    </row>
    <row r="40" spans="1:41" s="571" customFormat="1" ht="12.75" customHeight="1">
      <c r="A40" s="575"/>
      <c r="B40" s="575"/>
      <c r="C40" s="575"/>
      <c r="E40" s="2019"/>
      <c r="F40" s="2020"/>
      <c r="G40" s="2020"/>
      <c r="H40" s="2020"/>
      <c r="I40" s="2020"/>
      <c r="J40" s="2020"/>
      <c r="K40" s="2020"/>
      <c r="L40" s="2020"/>
      <c r="M40" s="2020"/>
      <c r="N40" s="2020"/>
      <c r="O40" s="2020"/>
      <c r="P40" s="2020"/>
      <c r="Q40" s="2020"/>
      <c r="R40" s="2020"/>
      <c r="S40" s="2020"/>
      <c r="T40" s="2020"/>
      <c r="U40" s="2020"/>
      <c r="V40" s="2020"/>
      <c r="W40" s="2020"/>
      <c r="X40" s="2020"/>
      <c r="Y40" s="2020"/>
      <c r="Z40" s="2020"/>
      <c r="AA40" s="2020"/>
      <c r="AB40" s="2020"/>
      <c r="AC40" s="2020"/>
      <c r="AD40" s="2020"/>
      <c r="AE40" s="2020"/>
      <c r="AF40" s="2020"/>
      <c r="AG40" s="2020"/>
      <c r="AH40" s="2020"/>
      <c r="AI40" s="2020"/>
      <c r="AJ40" s="2021"/>
      <c r="AK40" s="575"/>
      <c r="AL40" s="575"/>
      <c r="AM40" s="575"/>
      <c r="AN40" s="570"/>
    </row>
    <row r="41" spans="1:41" s="571" customFormat="1" ht="12.75" customHeight="1">
      <c r="A41" s="575"/>
      <c r="D41" s="582"/>
      <c r="E41" s="2041"/>
      <c r="F41" s="2042"/>
      <c r="G41" s="2042"/>
      <c r="H41" s="2042"/>
      <c r="I41" s="2042"/>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2"/>
      <c r="AJ41" s="204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8" t="s">
        <v>601</v>
      </c>
      <c r="C46" s="2088"/>
      <c r="D46" s="575"/>
      <c r="E46" s="2016" t="s">
        <v>2411</v>
      </c>
      <c r="F46" s="2017"/>
      <c r="G46" s="2017"/>
      <c r="H46" s="2017"/>
      <c r="I46" s="2017"/>
      <c r="J46" s="2017"/>
      <c r="K46" s="2017"/>
      <c r="L46" s="2017"/>
      <c r="M46" s="2017"/>
      <c r="N46" s="2017"/>
      <c r="O46" s="2017"/>
      <c r="P46" s="2017"/>
      <c r="Q46" s="2017"/>
      <c r="R46" s="2017"/>
      <c r="S46" s="2017"/>
      <c r="T46" s="2017"/>
      <c r="U46" s="2017"/>
      <c r="V46" s="2017"/>
      <c r="W46" s="2017"/>
      <c r="X46" s="2017"/>
      <c r="Y46" s="2017"/>
      <c r="Z46" s="2017"/>
      <c r="AA46" s="2017"/>
      <c r="AB46" s="2017"/>
      <c r="AC46" s="2017"/>
      <c r="AD46" s="2017"/>
      <c r="AE46" s="2017"/>
      <c r="AF46" s="2017"/>
      <c r="AG46" s="2017"/>
      <c r="AH46" s="2017"/>
      <c r="AI46" s="2017"/>
      <c r="AJ46" s="2018"/>
      <c r="AK46" s="575"/>
      <c r="AL46" s="575"/>
      <c r="AM46" s="575"/>
      <c r="AN46" s="570"/>
      <c r="AO46" s="594"/>
    </row>
    <row r="47" spans="1:41" s="571" customFormat="1" ht="12.75" customHeight="1">
      <c r="A47" s="575"/>
      <c r="D47" s="582"/>
      <c r="E47" s="2019"/>
      <c r="F47" s="2020"/>
      <c r="G47" s="2020"/>
      <c r="H47" s="2020"/>
      <c r="I47" s="2020"/>
      <c r="J47" s="2020"/>
      <c r="K47" s="2020"/>
      <c r="L47" s="2020"/>
      <c r="M47" s="2020"/>
      <c r="N47" s="2020"/>
      <c r="O47" s="2020"/>
      <c r="P47" s="2020"/>
      <c r="Q47" s="2020"/>
      <c r="R47" s="2020"/>
      <c r="S47" s="2020"/>
      <c r="T47" s="2020"/>
      <c r="U47" s="2020"/>
      <c r="V47" s="2020"/>
      <c r="W47" s="2020"/>
      <c r="X47" s="2020"/>
      <c r="Y47" s="2020"/>
      <c r="Z47" s="2020"/>
      <c r="AA47" s="2020"/>
      <c r="AB47" s="2020"/>
      <c r="AC47" s="2020"/>
      <c r="AD47" s="2020"/>
      <c r="AE47" s="2020"/>
      <c r="AF47" s="2020"/>
      <c r="AG47" s="2020"/>
      <c r="AH47" s="2020"/>
      <c r="AI47" s="2020"/>
      <c r="AJ47" s="2021"/>
      <c r="AK47" s="575"/>
      <c r="AL47" s="575"/>
      <c r="AM47" s="575"/>
      <c r="AN47" s="570"/>
      <c r="AO47" s="594"/>
    </row>
    <row r="48" spans="1:41" s="571" customFormat="1" ht="12.75" customHeight="1">
      <c r="A48" s="575"/>
      <c r="D48" s="575"/>
      <c r="E48" s="2041"/>
      <c r="F48" s="2042"/>
      <c r="G48" s="2042"/>
      <c r="H48" s="2042"/>
      <c r="I48" s="2042"/>
      <c r="J48" s="2042"/>
      <c r="K48" s="2042"/>
      <c r="L48" s="2042"/>
      <c r="M48" s="2042"/>
      <c r="N48" s="2042"/>
      <c r="O48" s="2042"/>
      <c r="P48" s="2042"/>
      <c r="Q48" s="2042"/>
      <c r="R48" s="2042"/>
      <c r="S48" s="2042"/>
      <c r="T48" s="2042"/>
      <c r="U48" s="2042"/>
      <c r="V48" s="2042"/>
      <c r="W48" s="2042"/>
      <c r="X48" s="2042"/>
      <c r="Y48" s="2042"/>
      <c r="Z48" s="2042"/>
      <c r="AA48" s="2042"/>
      <c r="AB48" s="2042"/>
      <c r="AC48" s="2042"/>
      <c r="AD48" s="2042"/>
      <c r="AE48" s="2042"/>
      <c r="AF48" s="2042"/>
      <c r="AG48" s="2042"/>
      <c r="AH48" s="2042"/>
      <c r="AI48" s="2042"/>
      <c r="AJ48" s="204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8" t="s">
        <v>601</v>
      </c>
      <c r="C50" s="2088"/>
      <c r="D50" s="575"/>
      <c r="E50" s="2114" t="s">
        <v>2412</v>
      </c>
      <c r="F50" s="2115"/>
      <c r="G50" s="2115"/>
      <c r="H50" s="2115"/>
      <c r="I50" s="2115"/>
      <c r="J50" s="2115"/>
      <c r="K50" s="2115"/>
      <c r="L50" s="2115"/>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8" t="s">
        <v>601</v>
      </c>
      <c r="C52" s="2088"/>
      <c r="D52" s="575"/>
      <c r="E52" s="2016" t="s">
        <v>2413</v>
      </c>
      <c r="F52" s="2017"/>
      <c r="G52" s="2017"/>
      <c r="H52" s="2017"/>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8"/>
      <c r="AK52" s="575"/>
      <c r="AL52" s="575"/>
      <c r="AM52" s="575"/>
      <c r="AN52" s="570"/>
    </row>
    <row r="53" spans="1:50" s="571" customFormat="1" ht="12.75" customHeight="1">
      <c r="A53" s="575"/>
      <c r="B53" s="582"/>
      <c r="C53" s="582"/>
      <c r="D53" s="582"/>
      <c r="E53" s="2041"/>
      <c r="F53" s="2042"/>
      <c r="G53" s="2042"/>
      <c r="H53" s="2042"/>
      <c r="I53" s="2042"/>
      <c r="J53" s="2042"/>
      <c r="K53" s="2042"/>
      <c r="L53" s="2042"/>
      <c r="M53" s="2042"/>
      <c r="N53" s="2042"/>
      <c r="O53" s="2042"/>
      <c r="P53" s="2042"/>
      <c r="Q53" s="2042"/>
      <c r="R53" s="2042"/>
      <c r="S53" s="2042"/>
      <c r="T53" s="2042"/>
      <c r="U53" s="2042"/>
      <c r="V53" s="2042"/>
      <c r="W53" s="2042"/>
      <c r="X53" s="2042"/>
      <c r="Y53" s="2042"/>
      <c r="Z53" s="2042"/>
      <c r="AA53" s="2042"/>
      <c r="AB53" s="2042"/>
      <c r="AC53" s="2042"/>
      <c r="AD53" s="2042"/>
      <c r="AE53" s="2042"/>
      <c r="AF53" s="2042"/>
      <c r="AG53" s="2042"/>
      <c r="AH53" s="2042"/>
      <c r="AI53" s="2042"/>
      <c r="AJ53" s="204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2">
        <f>AO36</f>
        <v>0</v>
      </c>
      <c r="AL56" s="2063"/>
      <c r="AM56" s="206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0" t="s">
        <v>1487</v>
      </c>
      <c r="AF59" s="1910"/>
      <c r="AG59" s="1910"/>
      <c r="AH59" s="1910"/>
      <c r="AI59" s="1910"/>
      <c r="AJ59" s="1910"/>
      <c r="AK59" s="1910"/>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8" t="s">
        <v>601</v>
      </c>
      <c r="C62" s="2088"/>
      <c r="D62" s="582" t="s">
        <v>1488</v>
      </c>
      <c r="E62" s="2080" t="s">
        <v>2414</v>
      </c>
      <c r="F62" s="2081"/>
      <c r="G62" s="2081"/>
      <c r="H62" s="2081"/>
      <c r="I62" s="2081"/>
      <c r="J62" s="2081"/>
      <c r="K62" s="2081"/>
      <c r="L62" s="2081"/>
      <c r="M62" s="2081"/>
      <c r="N62" s="2081"/>
      <c r="O62" s="2081"/>
      <c r="P62" s="2081"/>
      <c r="Q62" s="2081"/>
      <c r="R62" s="2081"/>
      <c r="S62" s="2081"/>
      <c r="T62" s="2081"/>
      <c r="U62" s="2081"/>
      <c r="V62" s="2081"/>
      <c r="W62" s="2081"/>
      <c r="X62" s="2081"/>
      <c r="Y62" s="2081"/>
      <c r="Z62" s="2081"/>
      <c r="AA62" s="2081"/>
      <c r="AB62" s="2081"/>
      <c r="AC62" s="2081"/>
      <c r="AD62" s="2081"/>
      <c r="AE62" s="2081"/>
      <c r="AF62" s="2081"/>
      <c r="AG62" s="2081"/>
      <c r="AH62" s="2081"/>
      <c r="AI62" s="2081"/>
      <c r="AJ62" s="2082"/>
      <c r="AK62" s="578"/>
      <c r="AL62" s="575"/>
      <c r="AM62" s="575"/>
      <c r="AN62" s="570"/>
      <c r="AO62" s="585">
        <f>IF($B62="yes",10,0)</f>
        <v>0</v>
      </c>
    </row>
    <row r="63" spans="1:50" s="571" customFormat="1" ht="12.75" customHeight="1">
      <c r="A63" s="573"/>
      <c r="B63" s="575"/>
      <c r="C63" s="575"/>
      <c r="D63" s="586"/>
      <c r="E63" s="2083"/>
      <c r="F63" s="2084"/>
      <c r="G63" s="2084"/>
      <c r="H63" s="2084"/>
      <c r="I63" s="2084"/>
      <c r="J63" s="2084"/>
      <c r="K63" s="2084"/>
      <c r="L63" s="2084"/>
      <c r="M63" s="2084"/>
      <c r="N63" s="2084"/>
      <c r="O63" s="2084"/>
      <c r="P63" s="2084"/>
      <c r="Q63" s="2084"/>
      <c r="R63" s="2084"/>
      <c r="S63" s="2084"/>
      <c r="T63" s="2084"/>
      <c r="U63" s="2084"/>
      <c r="V63" s="2084"/>
      <c r="W63" s="2084"/>
      <c r="X63" s="2084"/>
      <c r="Y63" s="2084"/>
      <c r="Z63" s="2084"/>
      <c r="AA63" s="2084"/>
      <c r="AB63" s="2084"/>
      <c r="AC63" s="2084"/>
      <c r="AD63" s="2084"/>
      <c r="AE63" s="2084"/>
      <c r="AF63" s="2084"/>
      <c r="AG63" s="2084"/>
      <c r="AH63" s="2084"/>
      <c r="AI63" s="2084"/>
      <c r="AJ63" s="2085"/>
      <c r="AK63" s="578"/>
      <c r="AL63" s="575"/>
      <c r="AM63" s="575"/>
      <c r="AN63" s="570"/>
      <c r="AO63" s="585">
        <f>IF($B68="yes",10,0)</f>
        <v>10</v>
      </c>
    </row>
    <row r="64" spans="1:50" s="571" customFormat="1" ht="12.75" customHeight="1">
      <c r="A64" s="573"/>
      <c r="B64" s="575"/>
      <c r="C64" s="575"/>
      <c r="D64" s="586"/>
      <c r="E64" s="2083"/>
      <c r="F64" s="2084"/>
      <c r="G64" s="2084"/>
      <c r="H64" s="2084"/>
      <c r="I64" s="2084"/>
      <c r="J64" s="2084"/>
      <c r="K64" s="2084"/>
      <c r="L64" s="2084"/>
      <c r="M64" s="2084"/>
      <c r="N64" s="2084"/>
      <c r="O64" s="2084"/>
      <c r="P64" s="2084"/>
      <c r="Q64" s="2084"/>
      <c r="R64" s="2084"/>
      <c r="S64" s="2084"/>
      <c r="T64" s="2084"/>
      <c r="U64" s="2084"/>
      <c r="V64" s="2084"/>
      <c r="W64" s="2084"/>
      <c r="X64" s="2084"/>
      <c r="Y64" s="2084"/>
      <c r="Z64" s="2084"/>
      <c r="AA64" s="2084"/>
      <c r="AB64" s="2084"/>
      <c r="AC64" s="2084"/>
      <c r="AD64" s="2084"/>
      <c r="AE64" s="2084"/>
      <c r="AF64" s="2084"/>
      <c r="AG64" s="2084"/>
      <c r="AH64" s="2084"/>
      <c r="AI64" s="2084"/>
      <c r="AJ64" s="2085"/>
      <c r="AK64" s="578"/>
      <c r="AL64" s="575"/>
      <c r="AM64" s="575"/>
      <c r="AN64" s="570"/>
      <c r="AO64" s="585">
        <f>IF($B75="yes",10,0)</f>
        <v>0</v>
      </c>
    </row>
    <row r="65" spans="1:42" s="571" customFormat="1" ht="12.75" customHeight="1">
      <c r="A65" s="573"/>
      <c r="B65" s="575"/>
      <c r="C65" s="575"/>
      <c r="D65" s="586"/>
      <c r="E65" s="2083"/>
      <c r="F65" s="2084"/>
      <c r="G65" s="2084"/>
      <c r="H65" s="2084"/>
      <c r="I65" s="2084"/>
      <c r="J65" s="2084"/>
      <c r="K65" s="2084"/>
      <c r="L65" s="2084"/>
      <c r="M65" s="2084"/>
      <c r="N65" s="2084"/>
      <c r="O65" s="2084"/>
      <c r="P65" s="2084"/>
      <c r="Q65" s="2084"/>
      <c r="R65" s="2084"/>
      <c r="S65" s="2084"/>
      <c r="T65" s="2084"/>
      <c r="U65" s="2084"/>
      <c r="V65" s="2084"/>
      <c r="W65" s="2084"/>
      <c r="X65" s="2084"/>
      <c r="Y65" s="2084"/>
      <c r="Z65" s="2084"/>
      <c r="AA65" s="2084"/>
      <c r="AB65" s="2084"/>
      <c r="AC65" s="2084"/>
      <c r="AD65" s="2084"/>
      <c r="AE65" s="2084"/>
      <c r="AF65" s="2084"/>
      <c r="AG65" s="2084"/>
      <c r="AH65" s="2084"/>
      <c r="AI65" s="2084"/>
      <c r="AJ65" s="2085"/>
      <c r="AK65" s="578"/>
      <c r="AL65" s="575"/>
      <c r="AM65" s="575"/>
      <c r="AN65" s="570"/>
      <c r="AO65" s="571">
        <f>IF(SUM(AO62:AO64)&gt;10,10,(SUM(AO62:AO64)))</f>
        <v>10</v>
      </c>
      <c r="AP65" s="609" t="s">
        <v>1489</v>
      </c>
    </row>
    <row r="66" spans="1:42" s="571" customFormat="1" ht="12.75" customHeight="1">
      <c r="A66" s="573"/>
      <c r="B66" s="575"/>
      <c r="C66" s="575"/>
      <c r="D66" s="586"/>
      <c r="E66" s="2110"/>
      <c r="F66" s="211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8" t="s">
        <v>555</v>
      </c>
      <c r="C68" s="2088"/>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3" t="s">
        <v>601</v>
      </c>
      <c r="F69" s="2088"/>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8" t="s">
        <v>555</v>
      </c>
      <c r="F70" s="2109"/>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8" t="s">
        <v>601</v>
      </c>
      <c r="F71" s="2109"/>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3" t="s">
        <v>601</v>
      </c>
      <c r="F73" s="2088"/>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8" t="s">
        <v>601</v>
      </c>
      <c r="C75" s="2088"/>
      <c r="D75" s="582" t="s">
        <v>1493</v>
      </c>
      <c r="E75" s="2016" t="s">
        <v>2001</v>
      </c>
      <c r="F75" s="2017"/>
      <c r="G75" s="2017"/>
      <c r="H75" s="2017"/>
      <c r="I75" s="2017"/>
      <c r="J75" s="2017"/>
      <c r="K75" s="2017"/>
      <c r="L75" s="2017"/>
      <c r="M75" s="2017"/>
      <c r="N75" s="2017"/>
      <c r="O75" s="2017"/>
      <c r="P75" s="2017"/>
      <c r="Q75" s="2017"/>
      <c r="R75" s="2017"/>
      <c r="S75" s="2017"/>
      <c r="T75" s="2017"/>
      <c r="U75" s="2017"/>
      <c r="V75" s="2017"/>
      <c r="W75" s="2017"/>
      <c r="X75" s="2017"/>
      <c r="Y75" s="2017"/>
      <c r="Z75" s="2017"/>
      <c r="AA75" s="2017"/>
      <c r="AB75" s="2017"/>
      <c r="AC75" s="2017"/>
      <c r="AD75" s="2017"/>
      <c r="AE75" s="2017"/>
      <c r="AF75" s="2017"/>
      <c r="AG75" s="2017"/>
      <c r="AH75" s="2017"/>
      <c r="AI75" s="2017"/>
      <c r="AJ75" s="2018"/>
      <c r="AK75" s="578"/>
      <c r="AL75" s="575"/>
      <c r="AM75" s="575"/>
      <c r="AN75" s="570"/>
    </row>
    <row r="76" spans="1:42" s="571" customFormat="1" ht="12.75" customHeight="1">
      <c r="A76" s="573"/>
      <c r="B76" s="575"/>
      <c r="C76" s="575"/>
      <c r="D76" s="585"/>
      <c r="E76" s="2041"/>
      <c r="F76" s="2042"/>
      <c r="G76" s="2042"/>
      <c r="H76" s="2042"/>
      <c r="I76" s="2042"/>
      <c r="J76" s="2042"/>
      <c r="K76" s="2042"/>
      <c r="L76" s="2042"/>
      <c r="M76" s="2042"/>
      <c r="N76" s="2042"/>
      <c r="O76" s="2042"/>
      <c r="P76" s="2042"/>
      <c r="Q76" s="2042"/>
      <c r="R76" s="2042"/>
      <c r="S76" s="2042"/>
      <c r="T76" s="2042"/>
      <c r="U76" s="2042"/>
      <c r="V76" s="2042"/>
      <c r="W76" s="2042"/>
      <c r="X76" s="2042"/>
      <c r="Y76" s="2042"/>
      <c r="Z76" s="2042"/>
      <c r="AA76" s="2042"/>
      <c r="AB76" s="2042"/>
      <c r="AC76" s="2042"/>
      <c r="AD76" s="2042"/>
      <c r="AE76" s="2042"/>
      <c r="AF76" s="2042"/>
      <c r="AG76" s="2042"/>
      <c r="AH76" s="2042"/>
      <c r="AI76" s="2042"/>
      <c r="AJ76" s="204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2">
        <f>IF(AK56&gt;0,0,AO65)</f>
        <v>10</v>
      </c>
      <c r="AL78" s="2063"/>
      <c r="AM78" s="206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0" t="s">
        <v>1478</v>
      </c>
      <c r="AF81" s="1910"/>
      <c r="AG81" s="1910"/>
      <c r="AH81" s="1910"/>
      <c r="AI81" s="1910"/>
      <c r="AJ81" s="1910"/>
      <c r="AK81" s="1910"/>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8" t="s">
        <v>555</v>
      </c>
      <c r="C84" s="2088"/>
      <c r="D84" s="582" t="s">
        <v>1488</v>
      </c>
      <c r="E84" s="2080" t="s">
        <v>1498</v>
      </c>
      <c r="F84" s="2081"/>
      <c r="G84" s="2081"/>
      <c r="H84" s="2081"/>
      <c r="I84" s="2081"/>
      <c r="J84" s="2081"/>
      <c r="K84" s="2081"/>
      <c r="L84" s="2081"/>
      <c r="M84" s="2081"/>
      <c r="N84" s="2081"/>
      <c r="O84" s="2081"/>
      <c r="P84" s="2081"/>
      <c r="Q84" s="2081"/>
      <c r="R84" s="2081"/>
      <c r="S84" s="2081"/>
      <c r="T84" s="2081"/>
      <c r="U84" s="2081"/>
      <c r="V84" s="2081"/>
      <c r="W84" s="2081"/>
      <c r="X84" s="2081"/>
      <c r="Y84" s="2081"/>
      <c r="Z84" s="2081"/>
      <c r="AA84" s="2081"/>
      <c r="AB84" s="2081"/>
      <c r="AC84" s="2081"/>
      <c r="AD84" s="2081"/>
      <c r="AE84" s="2081"/>
      <c r="AF84" s="2081"/>
      <c r="AG84" s="2081"/>
      <c r="AH84" s="2081"/>
      <c r="AI84" s="2081"/>
      <c r="AJ84" s="2082"/>
      <c r="AK84" s="578"/>
      <c r="AL84" s="575"/>
      <c r="AM84" s="575"/>
      <c r="AN84" s="570"/>
    </row>
    <row r="85" spans="1:43" s="571" customFormat="1" ht="12.75" customHeight="1">
      <c r="A85" s="573"/>
      <c r="B85" s="574"/>
      <c r="C85" s="574"/>
      <c r="D85" s="574"/>
      <c r="E85" s="2083"/>
      <c r="F85" s="2084"/>
      <c r="G85" s="2084"/>
      <c r="H85" s="2084"/>
      <c r="I85" s="2084"/>
      <c r="J85" s="2084"/>
      <c r="K85" s="2084"/>
      <c r="L85" s="2084"/>
      <c r="M85" s="2084"/>
      <c r="N85" s="2084"/>
      <c r="O85" s="2084"/>
      <c r="P85" s="2084"/>
      <c r="Q85" s="2084"/>
      <c r="R85" s="2084"/>
      <c r="S85" s="2084"/>
      <c r="T85" s="2084"/>
      <c r="U85" s="2084"/>
      <c r="V85" s="2084"/>
      <c r="W85" s="2084"/>
      <c r="X85" s="2084"/>
      <c r="Y85" s="2084"/>
      <c r="Z85" s="2084"/>
      <c r="AA85" s="2084"/>
      <c r="AB85" s="2084"/>
      <c r="AC85" s="2084"/>
      <c r="AD85" s="2084"/>
      <c r="AE85" s="2084"/>
      <c r="AF85" s="2084"/>
      <c r="AG85" s="2084"/>
      <c r="AH85" s="2084"/>
      <c r="AI85" s="2084"/>
      <c r="AJ85" s="208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6">
        <f>Application!AC739</f>
        <v>0.40135135135135136</v>
      </c>
      <c r="F87" s="2077"/>
      <c r="G87" s="2077"/>
      <c r="H87" s="2077"/>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7">
        <f>0.6-ROUNDUP(E87,2)</f>
        <v>0.18999999999999995</v>
      </c>
      <c r="F88" s="1884"/>
      <c r="G88" s="1884"/>
      <c r="H88" s="1884"/>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2">
        <f>IF(E88*200&gt;20,20,E88*200)</f>
        <v>20</v>
      </c>
      <c r="F89" s="2093"/>
      <c r="G89" s="2093"/>
      <c r="H89" s="2093"/>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8" t="s">
        <v>601</v>
      </c>
      <c r="C92" s="2088"/>
      <c r="D92" s="582" t="s">
        <v>1490</v>
      </c>
      <c r="E92" s="2080" t="s">
        <v>1986</v>
      </c>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1"/>
      <c r="AI92" s="2081"/>
      <c r="AJ92" s="2082"/>
      <c r="AK92" s="578"/>
      <c r="AL92" s="575"/>
      <c r="AM92" s="575"/>
      <c r="AN92" s="570"/>
    </row>
    <row r="93" spans="1:43" s="571" customFormat="1" ht="12.75" customHeight="1">
      <c r="A93" s="573"/>
      <c r="B93" s="574"/>
      <c r="C93" s="574"/>
      <c r="D93" s="574"/>
      <c r="E93" s="2083"/>
      <c r="F93" s="2084"/>
      <c r="G93" s="2084"/>
      <c r="H93" s="2084"/>
      <c r="I93" s="2084"/>
      <c r="J93" s="2084"/>
      <c r="K93" s="2084"/>
      <c r="L93" s="2084"/>
      <c r="M93" s="2084"/>
      <c r="N93" s="2084"/>
      <c r="O93" s="2084"/>
      <c r="P93" s="2084"/>
      <c r="Q93" s="2084"/>
      <c r="R93" s="2084"/>
      <c r="S93" s="2084"/>
      <c r="T93" s="2084"/>
      <c r="U93" s="2084"/>
      <c r="V93" s="2084"/>
      <c r="W93" s="2084"/>
      <c r="X93" s="2084"/>
      <c r="Y93" s="2084"/>
      <c r="Z93" s="2084"/>
      <c r="AA93" s="2084"/>
      <c r="AB93" s="2084"/>
      <c r="AC93" s="2084"/>
      <c r="AD93" s="2084"/>
      <c r="AE93" s="2084"/>
      <c r="AF93" s="2084"/>
      <c r="AG93" s="2084"/>
      <c r="AH93" s="2084"/>
      <c r="AI93" s="2084"/>
      <c r="AJ93" s="2085"/>
      <c r="AK93" s="578"/>
      <c r="AL93" s="575"/>
      <c r="AM93" s="575"/>
      <c r="AN93" s="570"/>
    </row>
    <row r="94" spans="1:43" s="571" customFormat="1" ht="12.75" customHeight="1">
      <c r="A94" s="573"/>
      <c r="B94" s="574"/>
      <c r="C94" s="574"/>
      <c r="D94" s="574"/>
      <c r="E94" s="2083"/>
      <c r="F94" s="2084"/>
      <c r="G94" s="2084"/>
      <c r="H94" s="2084"/>
      <c r="I94" s="2084"/>
      <c r="J94" s="2084"/>
      <c r="K94" s="2084"/>
      <c r="L94" s="2084"/>
      <c r="M94" s="2084"/>
      <c r="N94" s="2084"/>
      <c r="O94" s="2084"/>
      <c r="P94" s="2084"/>
      <c r="Q94" s="2084"/>
      <c r="R94" s="2084"/>
      <c r="S94" s="2084"/>
      <c r="T94" s="2084"/>
      <c r="U94" s="2084"/>
      <c r="V94" s="2084"/>
      <c r="W94" s="2084"/>
      <c r="X94" s="2084"/>
      <c r="Y94" s="2084"/>
      <c r="Z94" s="2084"/>
      <c r="AA94" s="2084"/>
      <c r="AB94" s="2084"/>
      <c r="AC94" s="2084"/>
      <c r="AD94" s="2084"/>
      <c r="AE94" s="2084"/>
      <c r="AF94" s="2084"/>
      <c r="AG94" s="2084"/>
      <c r="AH94" s="2084"/>
      <c r="AI94" s="2084"/>
      <c r="AJ94" s="2085"/>
      <c r="AK94" s="578"/>
      <c r="AL94" s="575"/>
      <c r="AM94" s="575"/>
      <c r="AN94" s="570"/>
    </row>
    <row r="95" spans="1:43" s="571" customFormat="1" ht="12.75" customHeight="1">
      <c r="A95" s="573"/>
      <c r="B95" s="574"/>
      <c r="C95" s="574"/>
      <c r="D95" s="574"/>
      <c r="E95" s="2083"/>
      <c r="F95" s="2084"/>
      <c r="G95" s="2084"/>
      <c r="H95" s="2084"/>
      <c r="I95" s="2084"/>
      <c r="J95" s="2084"/>
      <c r="K95" s="2084"/>
      <c r="L95" s="2084"/>
      <c r="M95" s="2084"/>
      <c r="N95" s="2084"/>
      <c r="O95" s="2084"/>
      <c r="P95" s="2084"/>
      <c r="Q95" s="2084"/>
      <c r="R95" s="2084"/>
      <c r="S95" s="2084"/>
      <c r="T95" s="2084"/>
      <c r="U95" s="2084"/>
      <c r="V95" s="2084"/>
      <c r="W95" s="2084"/>
      <c r="X95" s="2084"/>
      <c r="Y95" s="2084"/>
      <c r="Z95" s="2084"/>
      <c r="AA95" s="2084"/>
      <c r="AB95" s="2084"/>
      <c r="AC95" s="2084"/>
      <c r="AD95" s="2084"/>
      <c r="AE95" s="2084"/>
      <c r="AF95" s="2084"/>
      <c r="AG95" s="2084"/>
      <c r="AH95" s="2084"/>
      <c r="AI95" s="2084"/>
      <c r="AJ95" s="208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6">
        <f>Application!AC739</f>
        <v>0.40135135135135136</v>
      </c>
      <c r="F97" s="2077"/>
      <c r="G97" s="2077"/>
      <c r="H97" s="2077"/>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6">
        <f ca="1">SUMIF(Application!AC714:AG738,0.2,Application!G714:J738)/Application!G739+SUMIF(Application!AC714:AG738,0.25,Application!G714:J738)/Application!G739+SUMIF(Application!AC714:AG738,0.3,Application!G714:J738)/Application!G739</f>
        <v>0.28378378378378377</v>
      </c>
      <c r="F98" s="2077"/>
      <c r="G98" s="2077"/>
      <c r="H98" s="2077"/>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6">
        <f ca="1">SUMIF(Application!AC714:AG738,0.35,Application!G714:J738)/Application!G739+SUMIF(Application!AC714:AG738,0.4,Application!G714:J738)/Application!G739+SUMIF(Application!AC714:AG738,0.45,Application!G714:J738)/Application!G739+SUMIF(Application!AC714:AG738,0.5,Application!G714:J738)/Application!G739</f>
        <v>0.66216216216216217</v>
      </c>
      <c r="F99" s="2077"/>
      <c r="G99" s="2077"/>
      <c r="H99" s="2077"/>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4">
        <f ca="1">IF(AND(E97&lt;=0.6,E98&gt;=0.1,OR(E99&gt;=0.1,E98&gt;=0.2)),20,0)</f>
        <v>20</v>
      </c>
      <c r="F100" s="2075"/>
      <c r="G100" s="2075"/>
      <c r="H100" s="2075"/>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2">
        <f>MAX(AP89,AP100)</f>
        <v>20</v>
      </c>
      <c r="AL103" s="2063"/>
      <c r="AM103" s="206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0" t="s">
        <v>1487</v>
      </c>
      <c r="AF106" s="1910"/>
      <c r="AG106" s="1910"/>
      <c r="AH106" s="1910"/>
      <c r="AI106" s="1910"/>
      <c r="AJ106" s="1910"/>
      <c r="AK106" s="1910"/>
      <c r="AL106" s="575"/>
      <c r="AM106" s="575"/>
      <c r="AN106" s="570"/>
      <c r="AO106" s="571" t="str">
        <f>Application!B714</f>
        <v>1 Bedroom</v>
      </c>
      <c r="AQ106" s="571">
        <f>Application!O714</f>
        <v>432</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579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725</v>
      </c>
    </row>
    <row r="109" spans="1:49" s="571" customFormat="1" ht="12.75" customHeight="1">
      <c r="A109" s="575"/>
      <c r="B109" s="2088" t="s">
        <v>555</v>
      </c>
      <c r="C109" s="2088"/>
      <c r="D109" s="582" t="s">
        <v>1488</v>
      </c>
      <c r="E109" s="2080" t="s">
        <v>2121</v>
      </c>
      <c r="F109" s="2081"/>
      <c r="G109" s="2081"/>
      <c r="H109" s="2081"/>
      <c r="I109" s="2081"/>
      <c r="J109" s="2081"/>
      <c r="K109" s="2081"/>
      <c r="L109" s="2081"/>
      <c r="M109" s="2081"/>
      <c r="N109" s="2081"/>
      <c r="O109" s="2081"/>
      <c r="P109" s="2081"/>
      <c r="Q109" s="2081"/>
      <c r="R109" s="2081"/>
      <c r="S109" s="2081"/>
      <c r="T109" s="2081"/>
      <c r="U109" s="2081"/>
      <c r="V109" s="2081"/>
      <c r="W109" s="2081"/>
      <c r="X109" s="2081"/>
      <c r="Y109" s="2081"/>
      <c r="Z109" s="2081"/>
      <c r="AA109" s="2081"/>
      <c r="AB109" s="2081"/>
      <c r="AC109" s="2081"/>
      <c r="AD109" s="2081"/>
      <c r="AE109" s="2081"/>
      <c r="AF109" s="2081"/>
      <c r="AG109" s="2081"/>
      <c r="AH109" s="2081"/>
      <c r="AI109" s="2081"/>
      <c r="AJ109" s="2082"/>
      <c r="AK109" s="575"/>
      <c r="AL109" s="575"/>
      <c r="AM109" s="575"/>
      <c r="AN109" s="570"/>
      <c r="AO109" s="571" t="str">
        <f>Application!B717</f>
        <v>1 Bedroom</v>
      </c>
      <c r="AQ109" s="571">
        <f>Application!O717</f>
        <v>871</v>
      </c>
      <c r="AU109" s="571" t="s">
        <v>2103</v>
      </c>
      <c r="AV109" s="630" t="s">
        <v>2104</v>
      </c>
      <c r="AW109" s="571" t="s">
        <v>2105</v>
      </c>
    </row>
    <row r="110" spans="1:49" s="571" customFormat="1" ht="12.75" customHeight="1">
      <c r="A110" s="575"/>
      <c r="B110" s="574"/>
      <c r="C110" s="574"/>
      <c r="D110" s="574"/>
      <c r="E110" s="2083"/>
      <c r="F110" s="2084"/>
      <c r="G110" s="2084"/>
      <c r="H110" s="2084"/>
      <c r="I110" s="2084"/>
      <c r="J110" s="2084"/>
      <c r="K110" s="2084"/>
      <c r="L110" s="2084"/>
      <c r="M110" s="2084"/>
      <c r="N110" s="2084"/>
      <c r="O110" s="2084"/>
      <c r="P110" s="2084"/>
      <c r="Q110" s="2084"/>
      <c r="R110" s="2084"/>
      <c r="S110" s="2084"/>
      <c r="T110" s="2084"/>
      <c r="U110" s="2084"/>
      <c r="V110" s="2084"/>
      <c r="W110" s="2084"/>
      <c r="X110" s="2084"/>
      <c r="Y110" s="2084"/>
      <c r="Z110" s="2084"/>
      <c r="AA110" s="2084"/>
      <c r="AB110" s="2084"/>
      <c r="AC110" s="2084"/>
      <c r="AD110" s="2084"/>
      <c r="AE110" s="2084"/>
      <c r="AF110" s="2084"/>
      <c r="AG110" s="2084"/>
      <c r="AH110" s="2084"/>
      <c r="AI110" s="2084"/>
      <c r="AJ110" s="2085"/>
      <c r="AK110" s="575"/>
      <c r="AL110" s="575"/>
      <c r="AM110" s="575"/>
      <c r="AN110" s="570"/>
      <c r="AO110" s="571" t="str">
        <f>Application!B718</f>
        <v>2 Bedrooms</v>
      </c>
      <c r="AQ110" s="571">
        <f>Application!O718</f>
        <v>520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3"/>
      <c r="F111" s="2084"/>
      <c r="G111" s="2084"/>
      <c r="H111" s="2084"/>
      <c r="I111" s="2084"/>
      <c r="J111" s="2084"/>
      <c r="K111" s="2084"/>
      <c r="L111" s="2084"/>
      <c r="M111" s="2084"/>
      <c r="N111" s="2084"/>
      <c r="O111" s="2084"/>
      <c r="P111" s="2084"/>
      <c r="Q111" s="2084"/>
      <c r="R111" s="2084"/>
      <c r="S111" s="2084"/>
      <c r="T111" s="2084"/>
      <c r="U111" s="2084"/>
      <c r="V111" s="2084"/>
      <c r="W111" s="2084"/>
      <c r="X111" s="2084"/>
      <c r="Y111" s="2084"/>
      <c r="Z111" s="2084"/>
      <c r="AA111" s="2084"/>
      <c r="AB111" s="2084"/>
      <c r="AC111" s="2084"/>
      <c r="AD111" s="2084"/>
      <c r="AE111" s="2084"/>
      <c r="AF111" s="2084"/>
      <c r="AG111" s="2084"/>
      <c r="AH111" s="2084"/>
      <c r="AI111" s="2084"/>
      <c r="AJ111" s="2085"/>
      <c r="AK111" s="575"/>
      <c r="AL111" s="575"/>
      <c r="AM111" s="575"/>
      <c r="AN111" s="570"/>
      <c r="AO111" s="571" t="str">
        <f>Application!B719</f>
        <v>2 Bedrooms</v>
      </c>
      <c r="AQ111" s="571">
        <f>Application!O719</f>
        <v>696</v>
      </c>
      <c r="AU111" s="892" t="str">
        <f>J118</f>
        <v>1-bedroom</v>
      </c>
      <c r="AV111" s="571">
        <f t="array" ref="AV111">SUM(IF(Application!B714:F738="1 Bedroom",Application!G714:J738))</f>
        <v>8</v>
      </c>
      <c r="AW111" s="1048">
        <f>AV111/AV116</f>
        <v>0.10810810810810811</v>
      </c>
    </row>
    <row r="112" spans="1:49" s="571" customFormat="1" ht="12.75" customHeight="1">
      <c r="A112" s="575"/>
      <c r="B112" s="574"/>
      <c r="C112" s="574"/>
      <c r="D112" s="574"/>
      <c r="E112" s="2083"/>
      <c r="F112" s="2084"/>
      <c r="G112" s="2084"/>
      <c r="H112" s="2084"/>
      <c r="I112" s="2084"/>
      <c r="J112" s="2084"/>
      <c r="K112" s="2084"/>
      <c r="L112" s="2084"/>
      <c r="M112" s="2084"/>
      <c r="N112" s="2084"/>
      <c r="O112" s="2084"/>
      <c r="P112" s="2084"/>
      <c r="Q112" s="2084"/>
      <c r="R112" s="2084"/>
      <c r="S112" s="2084"/>
      <c r="T112" s="2084"/>
      <c r="U112" s="2084"/>
      <c r="V112" s="2084"/>
      <c r="W112" s="2084"/>
      <c r="X112" s="2084"/>
      <c r="Y112" s="2084"/>
      <c r="Z112" s="2084"/>
      <c r="AA112" s="2084"/>
      <c r="AB112" s="2084"/>
      <c r="AC112" s="2084"/>
      <c r="AD112" s="2084"/>
      <c r="AE112" s="2084"/>
      <c r="AF112" s="2084"/>
      <c r="AG112" s="2084"/>
      <c r="AH112" s="2084"/>
      <c r="AI112" s="2084"/>
      <c r="AJ112" s="2085"/>
      <c r="AK112" s="575"/>
      <c r="AL112" s="575"/>
      <c r="AM112" s="575"/>
      <c r="AN112" s="570"/>
      <c r="AO112" s="571" t="str">
        <f>Application!B720</f>
        <v>2 Bedrooms</v>
      </c>
      <c r="AQ112" s="571">
        <f>Application!O720</f>
        <v>871</v>
      </c>
      <c r="AU112" s="892" t="str">
        <f>O118</f>
        <v>2-bedroom</v>
      </c>
      <c r="AV112" s="571">
        <f t="array" ref="AV112">SUM(IF(Application!B714:F738="2 Bedrooms",Application!G714:J738))</f>
        <v>24</v>
      </c>
      <c r="AW112" s="1048">
        <f>AV112/AV116</f>
        <v>0.32432432432432434</v>
      </c>
    </row>
    <row r="113" spans="1:52" s="571" customFormat="1" ht="12.75" customHeight="1">
      <c r="A113" s="575"/>
      <c r="B113" s="574"/>
      <c r="C113" s="574"/>
      <c r="D113" s="574"/>
      <c r="E113" s="2083"/>
      <c r="F113" s="2084"/>
      <c r="G113" s="2084"/>
      <c r="H113" s="2084"/>
      <c r="I113" s="2084"/>
      <c r="J113" s="2084"/>
      <c r="K113" s="2084"/>
      <c r="L113" s="2084"/>
      <c r="M113" s="2084"/>
      <c r="N113" s="2084"/>
      <c r="O113" s="2084"/>
      <c r="P113" s="2084"/>
      <c r="Q113" s="2084"/>
      <c r="R113" s="2084"/>
      <c r="S113" s="2084"/>
      <c r="T113" s="2084"/>
      <c r="U113" s="2084"/>
      <c r="V113" s="2084"/>
      <c r="W113" s="2084"/>
      <c r="X113" s="2084"/>
      <c r="Y113" s="2084"/>
      <c r="Z113" s="2084"/>
      <c r="AA113" s="2084"/>
      <c r="AB113" s="2084"/>
      <c r="AC113" s="2084"/>
      <c r="AD113" s="2084"/>
      <c r="AE113" s="2084"/>
      <c r="AF113" s="2084"/>
      <c r="AG113" s="2084"/>
      <c r="AH113" s="2084"/>
      <c r="AI113" s="2084"/>
      <c r="AJ113" s="2085"/>
      <c r="AK113" s="575"/>
      <c r="AL113" s="575"/>
      <c r="AM113" s="575"/>
      <c r="AN113" s="570"/>
      <c r="AO113" s="571" t="str">
        <f>Application!B721</f>
        <v>2 Bedrooms</v>
      </c>
      <c r="AQ113" s="571">
        <f>Application!O721</f>
        <v>1047</v>
      </c>
      <c r="AU113" s="892" t="str">
        <f>T118</f>
        <v>3-bedroom</v>
      </c>
      <c r="AV113" s="571">
        <f t="array" ref="AV113">SUM(IF(Application!B714:F738="3 Bedrooms",Application!G714:J738))</f>
        <v>32</v>
      </c>
      <c r="AW113" s="1048">
        <f>AV113/AV116</f>
        <v>0.43243243243243246</v>
      </c>
    </row>
    <row r="114" spans="1:52" s="571" customFormat="1" ht="12.75" customHeight="1">
      <c r="A114" s="575"/>
      <c r="B114" s="574"/>
      <c r="C114" s="574"/>
      <c r="D114" s="574"/>
      <c r="E114" s="2083"/>
      <c r="F114" s="2084"/>
      <c r="G114" s="2084"/>
      <c r="H114" s="2084"/>
      <c r="I114" s="2084"/>
      <c r="J114" s="2084"/>
      <c r="K114" s="2084"/>
      <c r="L114" s="2084"/>
      <c r="M114" s="2084"/>
      <c r="N114" s="2084"/>
      <c r="O114" s="2084"/>
      <c r="P114" s="2084"/>
      <c r="Q114" s="2084"/>
      <c r="R114" s="2084"/>
      <c r="S114" s="2084"/>
      <c r="T114" s="2084"/>
      <c r="U114" s="2084"/>
      <c r="V114" s="2084"/>
      <c r="W114" s="2084"/>
      <c r="X114" s="2084"/>
      <c r="Y114" s="2084"/>
      <c r="Z114" s="2084"/>
      <c r="AA114" s="2084"/>
      <c r="AB114" s="2084"/>
      <c r="AC114" s="2084"/>
      <c r="AD114" s="2084"/>
      <c r="AE114" s="2084"/>
      <c r="AF114" s="2084"/>
      <c r="AG114" s="2084"/>
      <c r="AH114" s="2084"/>
      <c r="AI114" s="2084"/>
      <c r="AJ114" s="2085"/>
      <c r="AK114" s="575"/>
      <c r="AL114" s="575"/>
      <c r="AM114" s="575"/>
      <c r="AN114" s="570"/>
      <c r="AO114" s="571" t="str">
        <f>Application!B722</f>
        <v>3 Bedrooms</v>
      </c>
      <c r="AQ114" s="571">
        <f>Application!O722</f>
        <v>601</v>
      </c>
      <c r="AU114" s="892" t="str">
        <f>Y118</f>
        <v>4-bedroom</v>
      </c>
      <c r="AV114" s="571">
        <f t="array" ref="AV114">SUM(IF(Application!B714:F738="4 Bedrooms",Application!G714:J738))</f>
        <v>10</v>
      </c>
      <c r="AW114" s="1048">
        <f>AV114/AV116</f>
        <v>0.13513513513513514</v>
      </c>
    </row>
    <row r="115" spans="1:52" s="571" customFormat="1" ht="12.75" customHeight="1">
      <c r="A115" s="575"/>
      <c r="B115" s="574"/>
      <c r="C115" s="574"/>
      <c r="D115" s="574"/>
      <c r="E115" s="2083"/>
      <c r="F115" s="2084"/>
      <c r="G115" s="2084"/>
      <c r="H115" s="2084"/>
      <c r="I115" s="2084"/>
      <c r="J115" s="2084"/>
      <c r="K115" s="2084"/>
      <c r="L115" s="2084"/>
      <c r="M115" s="2084"/>
      <c r="N115" s="2084"/>
      <c r="O115" s="2084"/>
      <c r="P115" s="2084"/>
      <c r="Q115" s="2084"/>
      <c r="R115" s="2084"/>
      <c r="S115" s="2084"/>
      <c r="T115" s="2084"/>
      <c r="U115" s="2084"/>
      <c r="V115" s="2084"/>
      <c r="W115" s="2084"/>
      <c r="X115" s="2084"/>
      <c r="Y115" s="2084"/>
      <c r="Z115" s="2084"/>
      <c r="AA115" s="2084"/>
      <c r="AB115" s="2084"/>
      <c r="AC115" s="2084"/>
      <c r="AD115" s="2084"/>
      <c r="AE115" s="2084"/>
      <c r="AF115" s="2084"/>
      <c r="AG115" s="2084"/>
      <c r="AH115" s="2084"/>
      <c r="AI115" s="2084"/>
      <c r="AJ115" s="2085"/>
      <c r="AK115" s="575"/>
      <c r="AL115" s="575"/>
      <c r="AM115" s="575"/>
      <c r="AN115" s="570"/>
      <c r="AO115" s="571" t="str">
        <f>Application!B723</f>
        <v>3 Bedrooms</v>
      </c>
      <c r="AQ115" s="571">
        <f>Application!O723</f>
        <v>804</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3"/>
      <c r="F116" s="2084"/>
      <c r="G116" s="2084"/>
      <c r="H116" s="2084"/>
      <c r="I116" s="2084"/>
      <c r="J116" s="2084"/>
      <c r="K116" s="2084"/>
      <c r="L116" s="2084"/>
      <c r="M116" s="2084"/>
      <c r="N116" s="2084"/>
      <c r="O116" s="2084"/>
      <c r="P116" s="2084"/>
      <c r="Q116" s="2084"/>
      <c r="R116" s="2084"/>
      <c r="S116" s="2084"/>
      <c r="T116" s="2084"/>
      <c r="U116" s="2084"/>
      <c r="V116" s="2084"/>
      <c r="W116" s="2084"/>
      <c r="X116" s="2084"/>
      <c r="Y116" s="2084"/>
      <c r="Z116" s="2084"/>
      <c r="AA116" s="2084"/>
      <c r="AB116" s="2084"/>
      <c r="AC116" s="2084"/>
      <c r="AD116" s="2084"/>
      <c r="AE116" s="2084"/>
      <c r="AF116" s="2084"/>
      <c r="AG116" s="2084"/>
      <c r="AH116" s="2084"/>
      <c r="AI116" s="2084"/>
      <c r="AJ116" s="2085"/>
      <c r="AK116" s="575"/>
      <c r="AL116" s="575"/>
      <c r="AM116" s="575"/>
      <c r="AN116" s="570"/>
      <c r="AO116" s="571" t="str">
        <f>Application!B724</f>
        <v>3 Bedrooms</v>
      </c>
      <c r="AQ116" s="571">
        <f>Application!O724</f>
        <v>1007</v>
      </c>
      <c r="AV116" s="571">
        <f>SUM(AV110:AV115)</f>
        <v>74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1209</v>
      </c>
    </row>
    <row r="118" spans="1:52" s="571" customFormat="1" ht="12.75" customHeight="1">
      <c r="A118" s="575"/>
      <c r="B118" s="574"/>
      <c r="C118" s="575"/>
      <c r="D118" s="575"/>
      <c r="E118" s="2076" t="s">
        <v>1766</v>
      </c>
      <c r="F118" s="2077"/>
      <c r="G118" s="2077"/>
      <c r="H118" s="2077"/>
      <c r="I118" s="612"/>
      <c r="J118" s="2077" t="s">
        <v>1811</v>
      </c>
      <c r="K118" s="2077"/>
      <c r="L118" s="2077"/>
      <c r="M118" s="2077"/>
      <c r="N118" s="612"/>
      <c r="O118" s="2077" t="s">
        <v>1812</v>
      </c>
      <c r="P118" s="2077"/>
      <c r="Q118" s="2077"/>
      <c r="R118" s="2077"/>
      <c r="S118" s="612"/>
      <c r="T118" s="2077" t="s">
        <v>1507</v>
      </c>
      <c r="U118" s="2077"/>
      <c r="V118" s="2077"/>
      <c r="W118" s="2077"/>
      <c r="X118" s="612"/>
      <c r="Y118" s="2077" t="s">
        <v>1813</v>
      </c>
      <c r="Z118" s="2077"/>
      <c r="AA118" s="2077"/>
      <c r="AB118" s="2077"/>
      <c r="AC118" s="612"/>
      <c r="AD118" s="2077" t="s">
        <v>1814</v>
      </c>
      <c r="AE118" s="2077"/>
      <c r="AF118" s="2077"/>
      <c r="AG118" s="2077"/>
      <c r="AH118" s="612"/>
      <c r="AI118" s="612"/>
      <c r="AJ118" s="614"/>
      <c r="AK118" s="575"/>
      <c r="AL118" s="575"/>
      <c r="AM118" s="575"/>
      <c r="AN118" s="570"/>
      <c r="AO118" s="571" t="str">
        <f>Application!B726</f>
        <v>4 Bedrooms</v>
      </c>
      <c r="AQ118" s="571">
        <f>Application!O726</f>
        <v>672</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4 Bedrooms</v>
      </c>
      <c r="AQ119" s="571">
        <f>Application!O727</f>
        <v>898</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4 Bedrooms</v>
      </c>
      <c r="AQ120" s="571">
        <f>Application!O728</f>
        <v>1124</v>
      </c>
    </row>
    <row r="121" spans="1:52" s="571" customFormat="1" ht="12.75" customHeight="1">
      <c r="A121" s="575"/>
      <c r="B121" s="574"/>
      <c r="C121" s="575"/>
      <c r="D121" s="575"/>
      <c r="E121" s="2078"/>
      <c r="F121" s="2079"/>
      <c r="G121" s="2079"/>
      <c r="H121" s="2079"/>
      <c r="I121" s="900"/>
      <c r="J121" s="2079">
        <v>1197</v>
      </c>
      <c r="K121" s="2079"/>
      <c r="L121" s="2079"/>
      <c r="M121" s="2079"/>
      <c r="N121" s="900"/>
      <c r="O121" s="2079">
        <v>1332</v>
      </c>
      <c r="P121" s="2079"/>
      <c r="Q121" s="2079"/>
      <c r="R121" s="2079"/>
      <c r="S121" s="900"/>
      <c r="T121" s="2079">
        <v>1667</v>
      </c>
      <c r="U121" s="2079"/>
      <c r="V121" s="2079"/>
      <c r="W121" s="2079"/>
      <c r="X121" s="900"/>
      <c r="Y121" s="2079">
        <v>1706</v>
      </c>
      <c r="Z121" s="2079"/>
      <c r="AA121" s="2079"/>
      <c r="AB121" s="2079"/>
      <c r="AC121" s="900"/>
      <c r="AD121" s="2079"/>
      <c r="AE121" s="2079"/>
      <c r="AF121" s="2079"/>
      <c r="AG121" s="2079"/>
      <c r="AH121" s="612"/>
      <c r="AI121" s="612"/>
      <c r="AJ121" s="614"/>
      <c r="AK121" s="575"/>
      <c r="AL121" s="575"/>
      <c r="AM121" s="575"/>
      <c r="AN121" s="570"/>
      <c r="AO121" s="571" t="str">
        <f>Application!B729</f>
        <v>4 Bedrooms</v>
      </c>
      <c r="AQ121" s="571">
        <f>Application!O729</f>
        <v>1350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6">
        <f>Application!DX649</f>
        <v>0</v>
      </c>
      <c r="F124" s="2087"/>
      <c r="G124" s="2087"/>
      <c r="H124" s="2087"/>
      <c r="I124" s="900"/>
      <c r="J124" s="2087">
        <f>Application!EC649</f>
        <v>578.625</v>
      </c>
      <c r="K124" s="2087"/>
      <c r="L124" s="2087"/>
      <c r="M124" s="2087"/>
      <c r="N124" s="900"/>
      <c r="O124" s="2087">
        <f>Application!EH649</f>
        <v>673.79166666666663</v>
      </c>
      <c r="P124" s="2087"/>
      <c r="Q124" s="2087"/>
      <c r="R124" s="2087"/>
      <c r="S124" s="904"/>
      <c r="T124" s="2087">
        <f>Application!EM649</f>
        <v>823</v>
      </c>
      <c r="U124" s="2087"/>
      <c r="V124" s="2087"/>
      <c r="W124" s="2087"/>
      <c r="X124" s="904"/>
      <c r="Y124" s="2087">
        <f>Application!ER649</f>
        <v>920.59999999999991</v>
      </c>
      <c r="Z124" s="2087"/>
      <c r="AA124" s="2087"/>
      <c r="AB124" s="2087"/>
      <c r="AC124" s="904"/>
      <c r="AD124" s="2087">
        <f>Application!EW649</f>
        <v>0</v>
      </c>
      <c r="AE124" s="2087"/>
      <c r="AF124" s="2087"/>
      <c r="AG124" s="208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3" t="e">
        <f>(E121-E124)/E121</f>
        <v>#DIV/0!</v>
      </c>
      <c r="F127" s="1884"/>
      <c r="G127" s="1884"/>
      <c r="H127" s="1885"/>
      <c r="I127" s="612"/>
      <c r="J127" s="1883">
        <f>(J121-J124)/J121</f>
        <v>0.51660401002506262</v>
      </c>
      <c r="K127" s="1884"/>
      <c r="L127" s="1884"/>
      <c r="M127" s="1885"/>
      <c r="N127" s="612"/>
      <c r="O127" s="1883">
        <f>(O121-O124)/O121</f>
        <v>0.49415040040040042</v>
      </c>
      <c r="P127" s="1884"/>
      <c r="Q127" s="1884"/>
      <c r="R127" s="1885"/>
      <c r="S127" s="612"/>
      <c r="T127" s="1883">
        <f>(T121-T124)/T121</f>
        <v>0.50629874025194965</v>
      </c>
      <c r="U127" s="1884"/>
      <c r="V127" s="1884"/>
      <c r="W127" s="1885"/>
      <c r="X127" s="612"/>
      <c r="Y127" s="1883">
        <f>(Y121-Y124)/Y121</f>
        <v>0.46037514654161787</v>
      </c>
      <c r="Z127" s="1884"/>
      <c r="AA127" s="1884"/>
      <c r="AB127" s="1885"/>
      <c r="AC127" s="612"/>
      <c r="AD127" s="1883" t="e">
        <f>(AD121-AD124)/AD121</f>
        <v>#DIV/0!</v>
      </c>
      <c r="AE127" s="1884"/>
      <c r="AF127" s="1884"/>
      <c r="AG127" s="188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9" t="e">
        <f>IF(((E127-0.1)*AW110)&gt;0,((E127-0.1)*AW110),0)</f>
        <v>#DIV/0!</v>
      </c>
      <c r="F130" s="2090"/>
      <c r="G130" s="2090"/>
      <c r="H130" s="2091"/>
      <c r="I130" s="612"/>
      <c r="J130" s="2089">
        <f>IF(((J127-0.1)*AW111)&gt;0,((J127-0.1)*AW111),0)</f>
        <v>4.5038271354060827E-2</v>
      </c>
      <c r="K130" s="2090"/>
      <c r="L130" s="2090"/>
      <c r="M130" s="2091"/>
      <c r="N130" s="612"/>
      <c r="O130" s="2089">
        <f>IF(((O127-0.1)*AW112)&gt;0,((O127-0.1)*AW112),0)</f>
        <v>0.12783256229202175</v>
      </c>
      <c r="P130" s="2090"/>
      <c r="Q130" s="2090"/>
      <c r="R130" s="2091"/>
      <c r="S130" s="612"/>
      <c r="T130" s="2089">
        <f>IF(((T127-0.1)*AW113)&gt;0,((T127-0.1)*AW113),0)</f>
        <v>0.17569675254138364</v>
      </c>
      <c r="U130" s="2090"/>
      <c r="V130" s="2090"/>
      <c r="W130" s="2091"/>
      <c r="X130" s="612"/>
      <c r="Y130" s="2089">
        <f>IF(((Y127-0.1)*AW114)&gt;0,((Y127-0.1)*AW114),0)</f>
        <v>4.8699344127245657E-2</v>
      </c>
      <c r="Z130" s="2090"/>
      <c r="AA130" s="2090"/>
      <c r="AB130" s="2091"/>
      <c r="AC130" s="612"/>
      <c r="AD130" s="2089" t="e">
        <f>IF(((AD127-0.1)*AW115)&gt;0,((AD127-0.1)*AW115),0)</f>
        <v>#DIV/0!</v>
      </c>
      <c r="AE130" s="2090"/>
      <c r="AF130" s="2090"/>
      <c r="AG130" s="209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3">
        <f>ROUNDDOWN(SUMIF(E130:AG130,"&gt;0"),2)</f>
        <v>0.39</v>
      </c>
      <c r="F132" s="1884"/>
      <c r="G132" s="1884"/>
      <c r="H132" s="1885"/>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2">
        <f>IF((E132*100)&gt;10,10,E132*100)</f>
        <v>10</v>
      </c>
      <c r="F133" s="2063"/>
      <c r="G133" s="2063"/>
      <c r="H133" s="2064"/>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2">
        <f>E133</f>
        <v>10</v>
      </c>
      <c r="AL137" s="2063"/>
      <c r="AM137" s="206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0" t="s">
        <v>1487</v>
      </c>
      <c r="AF140" s="1910"/>
      <c r="AG140" s="1910"/>
      <c r="AH140" s="1910"/>
      <c r="AI140" s="1910"/>
      <c r="AJ140" s="1910"/>
      <c r="AK140" s="1910"/>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7" t="s">
        <v>1511</v>
      </c>
      <c r="AG142" s="1977"/>
      <c r="AH142" s="1977"/>
      <c r="AI142" s="1977"/>
      <c r="AJ142" s="1977"/>
      <c r="AK142" s="1977"/>
      <c r="AL142" s="1977"/>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7" t="s">
        <v>2646</v>
      </c>
      <c r="C144" s="2067"/>
      <c r="D144" s="2067"/>
      <c r="E144" s="2067"/>
      <c r="F144" s="2067"/>
      <c r="G144" s="2067"/>
      <c r="H144" s="2067"/>
      <c r="I144" s="2067"/>
      <c r="J144" s="2067"/>
      <c r="K144" s="2067"/>
      <c r="L144" s="2067"/>
      <c r="M144" s="2067"/>
      <c r="N144" s="2067"/>
      <c r="O144" s="2067"/>
      <c r="P144" s="2067"/>
      <c r="Q144" s="2067"/>
      <c r="R144" s="2067"/>
      <c r="S144" s="2067"/>
      <c r="T144" s="2067"/>
      <c r="U144" s="2067"/>
      <c r="V144" s="2067"/>
      <c r="W144" s="2067"/>
      <c r="X144" s="2067"/>
      <c r="Y144" s="2067"/>
      <c r="Z144" s="2067"/>
      <c r="AA144" s="2067"/>
      <c r="AB144" s="2067"/>
      <c r="AC144" s="206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8" t="s">
        <v>1514</v>
      </c>
      <c r="C147" s="2068"/>
      <c r="D147" s="2068"/>
      <c r="E147" s="2068"/>
      <c r="F147" s="2068"/>
      <c r="G147" s="2068"/>
      <c r="H147" s="2068"/>
      <c r="I147" s="2068"/>
      <c r="J147" s="2068"/>
      <c r="K147" s="2068"/>
      <c r="L147" s="2068"/>
      <c r="M147" s="2068"/>
      <c r="N147" s="2068"/>
      <c r="O147" s="2068"/>
      <c r="P147" s="2068"/>
      <c r="Q147" s="2068"/>
      <c r="R147" s="2068"/>
      <c r="S147" s="2068"/>
      <c r="T147" s="2068"/>
      <c r="U147" s="2068"/>
      <c r="V147" s="2068"/>
      <c r="W147" s="2068"/>
      <c r="X147" s="2068"/>
      <c r="Y147" s="2068"/>
      <c r="Z147" s="2068"/>
      <c r="AA147" s="2068"/>
      <c r="AB147" s="2068"/>
      <c r="AC147" s="2068"/>
      <c r="AD147" s="2068"/>
      <c r="AE147" s="2068"/>
      <c r="AF147" s="2068"/>
      <c r="AG147" s="2068"/>
      <c r="AH147" s="2068"/>
      <c r="AI147" s="2068"/>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2" t="s">
        <v>601</v>
      </c>
      <c r="AC149" s="201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8" t="s">
        <v>1516</v>
      </c>
      <c r="C152" s="2068"/>
      <c r="D152" s="2068"/>
      <c r="E152" s="2068"/>
      <c r="F152" s="2068"/>
      <c r="G152" s="2068"/>
      <c r="H152" s="2068"/>
      <c r="I152" s="2068"/>
      <c r="J152" s="2068"/>
      <c r="K152" s="2068"/>
      <c r="L152" s="2068"/>
      <c r="M152" s="2068"/>
      <c r="N152" s="2068"/>
      <c r="O152" s="2068"/>
      <c r="P152" s="2068"/>
      <c r="Q152" s="2068"/>
      <c r="R152" s="2068"/>
      <c r="S152" s="2068"/>
      <c r="T152" s="2068"/>
      <c r="U152" s="2068"/>
      <c r="V152" s="2068"/>
      <c r="W152" s="2068"/>
      <c r="X152" s="2068"/>
      <c r="Y152" s="2068"/>
      <c r="Z152" s="2068"/>
      <c r="AA152" s="2068"/>
      <c r="AB152" s="2068"/>
      <c r="AC152" s="2068"/>
      <c r="AD152" s="2068"/>
      <c r="AE152" s="2068"/>
      <c r="AF152" s="2068"/>
      <c r="AG152" s="2068"/>
      <c r="AH152" s="2068"/>
      <c r="AI152" s="2068"/>
      <c r="AJ152" s="2068"/>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7">
        <f>IF($AB$149="N/A",VLOOKUP($B$147,$AO$145:$AP$148,2,FALSE),VLOOKUP($B$152,$AO$150:$AP$153,2,FALSE))</f>
        <v>7</v>
      </c>
      <c r="AK155" s="1937"/>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7" t="s">
        <v>1525</v>
      </c>
      <c r="AG157" s="1977"/>
      <c r="AH157" s="1977"/>
      <c r="AI157" s="1977"/>
      <c r="AJ157" s="1977"/>
      <c r="AK157" s="1977"/>
      <c r="AL157" s="1977"/>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8" t="s">
        <v>1523</v>
      </c>
      <c r="D159" s="2068"/>
      <c r="E159" s="2068"/>
      <c r="F159" s="2068"/>
      <c r="G159" s="2068"/>
      <c r="H159" s="2068"/>
      <c r="I159" s="2068"/>
      <c r="J159" s="2068"/>
      <c r="K159" s="2068"/>
      <c r="L159" s="2068"/>
      <c r="M159" s="2068"/>
      <c r="N159" s="2068"/>
      <c r="O159" s="2068"/>
      <c r="P159" s="2068"/>
      <c r="Q159" s="2068"/>
      <c r="R159" s="2068"/>
      <c r="S159" s="2068"/>
      <c r="T159" s="2068"/>
      <c r="U159" s="2068"/>
      <c r="V159" s="2068"/>
      <c r="W159" s="2068"/>
      <c r="X159" s="2068"/>
      <c r="Y159" s="2068"/>
      <c r="Z159" s="2068"/>
      <c r="AA159" s="2068"/>
      <c r="AB159" s="2068"/>
      <c r="AC159" s="2068"/>
      <c r="AD159" s="2068"/>
      <c r="AE159" s="2068"/>
      <c r="AF159" s="2068"/>
      <c r="AG159" s="2068"/>
      <c r="AH159" s="2068"/>
      <c r="AI159" s="2068"/>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2" t="s">
        <v>601</v>
      </c>
      <c r="AD161" s="201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8" t="s">
        <v>1516</v>
      </c>
      <c r="D163" s="2068"/>
      <c r="E163" s="2068"/>
      <c r="F163" s="2068"/>
      <c r="G163" s="2068"/>
      <c r="H163" s="2068"/>
      <c r="I163" s="2068"/>
      <c r="J163" s="2068"/>
      <c r="K163" s="2068"/>
      <c r="L163" s="2068"/>
      <c r="M163" s="2068"/>
      <c r="N163" s="2068"/>
      <c r="O163" s="2068"/>
      <c r="P163" s="2068"/>
      <c r="Q163" s="2068"/>
      <c r="R163" s="2068"/>
      <c r="S163" s="2068"/>
      <c r="T163" s="2068"/>
      <c r="U163" s="2068"/>
      <c r="V163" s="2068"/>
      <c r="W163" s="2068"/>
      <c r="X163" s="2068"/>
      <c r="Y163" s="2068"/>
      <c r="Z163" s="2068"/>
      <c r="AA163" s="2068"/>
      <c r="AB163" s="2068"/>
      <c r="AC163" s="2068"/>
      <c r="AD163" s="2068"/>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7" t="s">
        <v>2690</v>
      </c>
      <c r="D167" s="2067"/>
      <c r="E167" s="2067"/>
      <c r="F167" s="2067"/>
      <c r="G167" s="2067"/>
      <c r="H167" s="2067"/>
      <c r="I167" s="2067"/>
      <c r="J167" s="2067"/>
      <c r="K167" s="2067"/>
      <c r="L167" s="2067"/>
      <c r="M167" s="2067"/>
      <c r="N167" s="2067"/>
      <c r="O167" s="2067"/>
      <c r="P167" s="2067"/>
      <c r="Q167" s="2067"/>
      <c r="R167" s="2067"/>
      <c r="S167" s="2067"/>
      <c r="T167" s="2067"/>
      <c r="U167" s="2067"/>
      <c r="V167" s="2067"/>
      <c r="W167" s="2067"/>
      <c r="X167" s="2067"/>
      <c r="Y167" s="2067"/>
      <c r="Z167" s="2067"/>
      <c r="AA167" s="2067"/>
      <c r="AB167" s="2067"/>
      <c r="AC167" s="2067"/>
      <c r="AD167" s="2067"/>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6">
        <f>IF($AC$161="N/A",VLOOKUP($C$159,$AO$159:$AP$162,2,FALSE),VLOOKUP($C$163,$AO$166:$AP$168,2,FALSE))</f>
        <v>3</v>
      </c>
      <c r="AK169" s="1936"/>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2">
        <f>$AJ$155+$AJ$169</f>
        <v>10</v>
      </c>
      <c r="AL172" s="2063"/>
      <c r="AM172" s="206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0" t="s">
        <v>1487</v>
      </c>
      <c r="AF175" s="1910"/>
      <c r="AG175" s="1910"/>
      <c r="AH175" s="1910"/>
      <c r="AI175" s="1910"/>
      <c r="AJ175" s="1910"/>
      <c r="AK175" s="1910"/>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5" t="s">
        <v>1103</v>
      </c>
      <c r="C177" s="2065"/>
      <c r="D177" s="2065"/>
      <c r="E177" s="2065"/>
      <c r="F177" s="2065"/>
      <c r="G177" s="2065"/>
      <c r="H177" s="2065"/>
      <c r="I177" s="2065"/>
      <c r="J177" s="2065"/>
      <c r="K177" s="2065"/>
      <c r="L177" s="2065"/>
      <c r="M177" s="2065"/>
      <c r="N177" s="2065"/>
      <c r="O177" s="2065"/>
      <c r="P177" s="2065"/>
      <c r="Q177" s="2065"/>
      <c r="R177" s="2065"/>
      <c r="S177" s="2065"/>
      <c r="T177" s="2065"/>
      <c r="U177" s="2065"/>
      <c r="V177" s="2065"/>
      <c r="W177" s="2065"/>
      <c r="X177" s="2065"/>
      <c r="Y177" s="2065"/>
      <c r="Z177" s="2065"/>
      <c r="AA177" s="2065"/>
      <c r="AB177" s="2065"/>
      <c r="AC177" s="2065"/>
      <c r="AD177" s="571"/>
      <c r="AE177" s="571"/>
      <c r="AF177" s="1977" t="s">
        <v>1536</v>
      </c>
      <c r="AG177" s="1977"/>
      <c r="AH177" s="1977"/>
      <c r="AI177" s="1977"/>
      <c r="AJ177" s="1977"/>
      <c r="AK177" s="1977"/>
      <c r="AL177" s="1977"/>
      <c r="AN177" s="632"/>
      <c r="AP177" s="585" t="s">
        <v>1105</v>
      </c>
      <c r="AQ177" s="585">
        <v>10</v>
      </c>
    </row>
    <row r="178" spans="1:45" s="585" customFormat="1" ht="12.75" customHeight="1">
      <c r="A178" s="571"/>
      <c r="B178" s="2066" t="s">
        <v>1987</v>
      </c>
      <c r="C178" s="2066"/>
      <c r="D178" s="2066"/>
      <c r="E178" s="2066"/>
      <c r="F178" s="2066"/>
      <c r="G178" s="2066"/>
      <c r="H178" s="2066"/>
      <c r="I178" s="2066"/>
      <c r="J178" s="2066"/>
      <c r="K178" s="2066"/>
      <c r="L178" s="2066"/>
      <c r="M178" s="2066"/>
      <c r="N178" s="2066"/>
      <c r="O178" s="2066"/>
      <c r="P178" s="2066"/>
      <c r="Q178" s="2066"/>
      <c r="R178" s="2066"/>
      <c r="S178" s="2066"/>
      <c r="T178" s="2067" t="s">
        <v>601</v>
      </c>
      <c r="U178" s="2067"/>
      <c r="V178" s="2067"/>
      <c r="W178" s="2067"/>
      <c r="X178" s="2067"/>
      <c r="Y178" s="2067"/>
      <c r="Z178" s="2067"/>
      <c r="AA178" s="2067"/>
      <c r="AB178" s="2067"/>
      <c r="AC178" s="2067"/>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4">
        <f>IF(AK78&gt;0,VLOOKUP($B$177,AP174:AQ180,2,FALSE),0)</f>
        <v>10</v>
      </c>
      <c r="AL180" s="1905"/>
      <c r="AM180" s="1906"/>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0" t="s">
        <v>1545</v>
      </c>
      <c r="AF183" s="1910"/>
      <c r="AG183" s="1910"/>
      <c r="AH183" s="1910"/>
      <c r="AI183" s="1910"/>
      <c r="AJ183" s="1910"/>
      <c r="AK183" s="1910"/>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9" t="s">
        <v>2727</v>
      </c>
      <c r="C188" s="2059"/>
      <c r="D188" s="2059"/>
      <c r="E188" s="2059"/>
      <c r="F188" s="2059"/>
      <c r="G188" s="2059"/>
      <c r="H188" s="2059"/>
      <c r="I188" s="2059"/>
      <c r="J188" s="2059"/>
      <c r="K188" s="2059"/>
      <c r="L188" s="2059"/>
      <c r="M188" s="2059"/>
      <c r="N188" s="2059"/>
      <c r="O188" s="2059"/>
      <c r="P188" s="2059"/>
      <c r="Q188" s="2059"/>
      <c r="R188" s="2059"/>
      <c r="S188" s="2059"/>
      <c r="T188" s="2059"/>
      <c r="U188" s="2059"/>
      <c r="V188" s="2059"/>
      <c r="W188" s="2059"/>
      <c r="X188" s="2059"/>
      <c r="Y188" s="2059"/>
      <c r="Z188" s="2059"/>
      <c r="AA188" s="2059"/>
      <c r="AB188" s="2059"/>
      <c r="AC188" s="882"/>
      <c r="AD188" s="2049">
        <f>[5]Application!AO638</f>
        <v>10720918</v>
      </c>
      <c r="AE188" s="2049"/>
      <c r="AF188" s="2049"/>
      <c r="AG188" s="2049"/>
      <c r="AH188" s="2049"/>
      <c r="AI188" s="2049"/>
      <c r="AJ188" s="2049"/>
      <c r="AK188" s="645"/>
    </row>
    <row r="189" spans="1:45">
      <c r="A189" s="640"/>
      <c r="B189" s="2059" t="s">
        <v>2728</v>
      </c>
      <c r="C189" s="2059"/>
      <c r="D189" s="2059"/>
      <c r="E189" s="2059"/>
      <c r="F189" s="2059"/>
      <c r="G189" s="2059"/>
      <c r="H189" s="2059"/>
      <c r="I189" s="2059"/>
      <c r="J189" s="2059"/>
      <c r="K189" s="2059"/>
      <c r="L189" s="2059"/>
      <c r="M189" s="2059"/>
      <c r="N189" s="2059"/>
      <c r="O189" s="2059"/>
      <c r="P189" s="2059"/>
      <c r="Q189" s="2059"/>
      <c r="R189" s="2059"/>
      <c r="S189" s="2059"/>
      <c r="T189" s="2059"/>
      <c r="U189" s="2059"/>
      <c r="V189" s="2059"/>
      <c r="W189" s="2059"/>
      <c r="X189" s="2059"/>
      <c r="Y189" s="2059"/>
      <c r="Z189" s="2059"/>
      <c r="AA189" s="2059"/>
      <c r="AB189" s="2059"/>
      <c r="AC189" s="882"/>
      <c r="AD189" s="2049">
        <f>+[5]Application!AO641</f>
        <v>5209091</v>
      </c>
      <c r="AE189" s="2049"/>
      <c r="AF189" s="2049"/>
      <c r="AG189" s="2049"/>
      <c r="AH189" s="2049"/>
      <c r="AI189" s="2049"/>
      <c r="AJ189" s="2049"/>
      <c r="AK189" s="645"/>
    </row>
    <row r="190" spans="1:45">
      <c r="A190" s="640"/>
      <c r="B190" s="2059"/>
      <c r="C190" s="2059"/>
      <c r="D190" s="2059"/>
      <c r="E190" s="2059"/>
      <c r="F190" s="2059"/>
      <c r="G190" s="2059"/>
      <c r="H190" s="2059"/>
      <c r="I190" s="2059"/>
      <c r="J190" s="2059"/>
      <c r="K190" s="2059"/>
      <c r="L190" s="2059"/>
      <c r="M190" s="2059"/>
      <c r="N190" s="2059"/>
      <c r="O190" s="2059"/>
      <c r="P190" s="2059"/>
      <c r="Q190" s="2059"/>
      <c r="R190" s="2059"/>
      <c r="S190" s="2059"/>
      <c r="T190" s="2059"/>
      <c r="U190" s="2059"/>
      <c r="V190" s="2059"/>
      <c r="W190" s="2059"/>
      <c r="X190" s="2059"/>
      <c r="Y190" s="2059"/>
      <c r="Z190" s="2059"/>
      <c r="AA190" s="2059"/>
      <c r="AB190" s="2059"/>
      <c r="AC190" s="882"/>
      <c r="AD190" s="2049"/>
      <c r="AE190" s="2049"/>
      <c r="AF190" s="2049"/>
      <c r="AG190" s="2049"/>
      <c r="AH190" s="2049"/>
      <c r="AI190" s="2049"/>
      <c r="AJ190" s="2049"/>
      <c r="AK190" s="645"/>
    </row>
    <row r="191" spans="1:45">
      <c r="A191" s="640"/>
      <c r="B191" s="2059"/>
      <c r="C191" s="2059"/>
      <c r="D191" s="2059"/>
      <c r="E191" s="2059"/>
      <c r="F191" s="2059"/>
      <c r="G191" s="2059"/>
      <c r="H191" s="2059"/>
      <c r="I191" s="2059"/>
      <c r="J191" s="2059"/>
      <c r="K191" s="2059"/>
      <c r="L191" s="2059"/>
      <c r="M191" s="2059"/>
      <c r="N191" s="2059"/>
      <c r="O191" s="2059"/>
      <c r="P191" s="2059"/>
      <c r="Q191" s="2059"/>
      <c r="R191" s="2059"/>
      <c r="S191" s="2059"/>
      <c r="T191" s="2059"/>
      <c r="U191" s="2059"/>
      <c r="V191" s="2059"/>
      <c r="W191" s="2059"/>
      <c r="X191" s="2059"/>
      <c r="Y191" s="2059"/>
      <c r="Z191" s="2059"/>
      <c r="AA191" s="2059"/>
      <c r="AB191" s="2059"/>
      <c r="AC191" s="882"/>
      <c r="AD191" s="2049"/>
      <c r="AE191" s="2049"/>
      <c r="AF191" s="2049"/>
      <c r="AG191" s="2049"/>
      <c r="AH191" s="2049"/>
      <c r="AI191" s="2049"/>
      <c r="AJ191" s="2049"/>
      <c r="AK191" s="645"/>
    </row>
    <row r="192" spans="1:45">
      <c r="A192" s="640"/>
      <c r="B192" s="2059"/>
      <c r="C192" s="2059"/>
      <c r="D192" s="2059"/>
      <c r="E192" s="2059"/>
      <c r="F192" s="2059"/>
      <c r="G192" s="2059"/>
      <c r="H192" s="2059"/>
      <c r="I192" s="2059"/>
      <c r="J192" s="2059"/>
      <c r="K192" s="2059"/>
      <c r="L192" s="2059"/>
      <c r="M192" s="2059"/>
      <c r="N192" s="2059"/>
      <c r="O192" s="2059"/>
      <c r="P192" s="2059"/>
      <c r="Q192" s="2059"/>
      <c r="R192" s="2059"/>
      <c r="S192" s="2059"/>
      <c r="T192" s="2059"/>
      <c r="U192" s="2059"/>
      <c r="V192" s="2059"/>
      <c r="W192" s="2059"/>
      <c r="X192" s="2059"/>
      <c r="Y192" s="2059"/>
      <c r="Z192" s="2059"/>
      <c r="AA192" s="2059"/>
      <c r="AB192" s="2059"/>
      <c r="AC192" s="882"/>
      <c r="AD192" s="2049"/>
      <c r="AE192" s="2049"/>
      <c r="AF192" s="2049"/>
      <c r="AG192" s="2049"/>
      <c r="AH192" s="2049"/>
      <c r="AI192" s="2049"/>
      <c r="AJ192" s="2049"/>
      <c r="AK192" s="645"/>
    </row>
    <row r="193" spans="1:37">
      <c r="A193" s="640"/>
      <c r="B193" s="2059"/>
      <c r="C193" s="2059"/>
      <c r="D193" s="2059"/>
      <c r="E193" s="2059"/>
      <c r="F193" s="2059"/>
      <c r="G193" s="2059"/>
      <c r="H193" s="2059"/>
      <c r="I193" s="2059"/>
      <c r="J193" s="2059"/>
      <c r="K193" s="2059"/>
      <c r="L193" s="2059"/>
      <c r="M193" s="2059"/>
      <c r="N193" s="2059"/>
      <c r="O193" s="2059"/>
      <c r="P193" s="2059"/>
      <c r="Q193" s="2059"/>
      <c r="R193" s="2059"/>
      <c r="S193" s="2059"/>
      <c r="T193" s="2059"/>
      <c r="U193" s="2059"/>
      <c r="V193" s="2059"/>
      <c r="W193" s="2059"/>
      <c r="X193" s="2059"/>
      <c r="Y193" s="2059"/>
      <c r="Z193" s="2059"/>
      <c r="AA193" s="2059"/>
      <c r="AB193" s="2059"/>
      <c r="AC193" s="882"/>
      <c r="AD193" s="2049"/>
      <c r="AE193" s="2049"/>
      <c r="AF193" s="2049"/>
      <c r="AG193" s="2049"/>
      <c r="AH193" s="2049"/>
      <c r="AI193" s="2049"/>
      <c r="AJ193" s="2049"/>
      <c r="AK193" s="645"/>
    </row>
    <row r="194" spans="1:37">
      <c r="A194" s="640"/>
      <c r="B194" s="2059"/>
      <c r="C194" s="2059"/>
      <c r="D194" s="2059"/>
      <c r="E194" s="2059"/>
      <c r="F194" s="2059"/>
      <c r="G194" s="2059"/>
      <c r="H194" s="2059"/>
      <c r="I194" s="2059"/>
      <c r="J194" s="2059"/>
      <c r="K194" s="2059"/>
      <c r="L194" s="2059"/>
      <c r="M194" s="2059"/>
      <c r="N194" s="2059"/>
      <c r="O194" s="2059"/>
      <c r="P194" s="2059"/>
      <c r="Q194" s="2059"/>
      <c r="R194" s="2059"/>
      <c r="S194" s="2059"/>
      <c r="T194" s="2059"/>
      <c r="U194" s="2059"/>
      <c r="V194" s="2059"/>
      <c r="W194" s="2059"/>
      <c r="X194" s="2059"/>
      <c r="Y194" s="2059"/>
      <c r="Z194" s="2059"/>
      <c r="AA194" s="2059"/>
      <c r="AB194" s="2059"/>
      <c r="AC194" s="882"/>
      <c r="AD194" s="2049"/>
      <c r="AE194" s="2049"/>
      <c r="AF194" s="2049"/>
      <c r="AG194" s="2049"/>
      <c r="AH194" s="2049"/>
      <c r="AI194" s="2049"/>
      <c r="AJ194" s="2049"/>
      <c r="AK194" s="645"/>
    </row>
    <row r="195" spans="1:37">
      <c r="A195" s="640"/>
      <c r="B195" s="2059"/>
      <c r="C195" s="2059"/>
      <c r="D195" s="2059"/>
      <c r="E195" s="2059"/>
      <c r="F195" s="2059"/>
      <c r="G195" s="2059"/>
      <c r="H195" s="2059"/>
      <c r="I195" s="2059"/>
      <c r="J195" s="2059"/>
      <c r="K195" s="2059"/>
      <c r="L195" s="2059"/>
      <c r="M195" s="2059"/>
      <c r="N195" s="2059"/>
      <c r="O195" s="2059"/>
      <c r="P195" s="2059"/>
      <c r="Q195" s="2059"/>
      <c r="R195" s="2059"/>
      <c r="S195" s="2059"/>
      <c r="T195" s="2059"/>
      <c r="U195" s="2059"/>
      <c r="V195" s="2059"/>
      <c r="W195" s="2059"/>
      <c r="X195" s="2059"/>
      <c r="Y195" s="2059"/>
      <c r="Z195" s="2059"/>
      <c r="AA195" s="2059"/>
      <c r="AB195" s="2059"/>
      <c r="AC195" s="882"/>
      <c r="AD195" s="2049"/>
      <c r="AE195" s="2049"/>
      <c r="AF195" s="2049"/>
      <c r="AG195" s="2049"/>
      <c r="AH195" s="2049"/>
      <c r="AI195" s="2049"/>
      <c r="AJ195" s="2049"/>
      <c r="AK195" s="645"/>
    </row>
    <row r="196" spans="1:37">
      <c r="A196" s="640"/>
      <c r="B196" s="2059"/>
      <c r="C196" s="2059"/>
      <c r="D196" s="2059"/>
      <c r="E196" s="2059"/>
      <c r="F196" s="2059"/>
      <c r="G196" s="2059"/>
      <c r="H196" s="2059"/>
      <c r="I196" s="2059"/>
      <c r="J196" s="2059"/>
      <c r="K196" s="2059"/>
      <c r="L196" s="2059"/>
      <c r="M196" s="2059"/>
      <c r="N196" s="2059"/>
      <c r="O196" s="2059"/>
      <c r="P196" s="2059"/>
      <c r="Q196" s="2059"/>
      <c r="R196" s="2059"/>
      <c r="S196" s="2059"/>
      <c r="T196" s="2059"/>
      <c r="U196" s="2059"/>
      <c r="V196" s="2059"/>
      <c r="W196" s="2059"/>
      <c r="X196" s="2059"/>
      <c r="Y196" s="2059"/>
      <c r="Z196" s="2059"/>
      <c r="AA196" s="2059"/>
      <c r="AB196" s="2059"/>
      <c r="AC196" s="882"/>
      <c r="AD196" s="2049"/>
      <c r="AE196" s="2049"/>
      <c r="AF196" s="2049"/>
      <c r="AG196" s="2049"/>
      <c r="AH196" s="2049"/>
      <c r="AI196" s="2049"/>
      <c r="AJ196" s="2049"/>
      <c r="AK196" s="645"/>
    </row>
    <row r="197" spans="1:37">
      <c r="A197" s="640"/>
      <c r="B197" s="2059"/>
      <c r="C197" s="2059"/>
      <c r="D197" s="2059"/>
      <c r="E197" s="2059"/>
      <c r="F197" s="2059"/>
      <c r="G197" s="2059"/>
      <c r="H197" s="2059"/>
      <c r="I197" s="2059"/>
      <c r="J197" s="2059"/>
      <c r="K197" s="2059"/>
      <c r="L197" s="2059"/>
      <c r="M197" s="2059"/>
      <c r="N197" s="2059"/>
      <c r="O197" s="2059"/>
      <c r="P197" s="2059"/>
      <c r="Q197" s="2059"/>
      <c r="R197" s="2059"/>
      <c r="S197" s="2059"/>
      <c r="T197" s="2059"/>
      <c r="U197" s="2059"/>
      <c r="V197" s="2059"/>
      <c r="W197" s="2059"/>
      <c r="X197" s="2059"/>
      <c r="Y197" s="2059"/>
      <c r="Z197" s="2059"/>
      <c r="AA197" s="2059"/>
      <c r="AB197" s="2059"/>
      <c r="AC197" s="882"/>
      <c r="AD197" s="2049"/>
      <c r="AE197" s="2049"/>
      <c r="AF197" s="2049"/>
      <c r="AG197" s="2049"/>
      <c r="AH197" s="2049"/>
      <c r="AI197" s="2049"/>
      <c r="AJ197" s="2049"/>
      <c r="AK197" s="645"/>
    </row>
    <row r="198" spans="1:37">
      <c r="A198" s="640"/>
      <c r="B198" s="1924" t="s">
        <v>1805</v>
      </c>
      <c r="C198" s="1924"/>
      <c r="D198" s="1924"/>
      <c r="E198" s="1924"/>
      <c r="F198" s="1924"/>
      <c r="G198" s="1924"/>
      <c r="H198" s="1924"/>
      <c r="I198" s="1924"/>
      <c r="J198" s="1924"/>
      <c r="K198" s="1924"/>
      <c r="L198" s="1924"/>
      <c r="M198" s="1924"/>
      <c r="N198" s="1924"/>
      <c r="O198" s="1924"/>
      <c r="P198" s="1924"/>
      <c r="Q198" s="1924"/>
      <c r="R198" s="1924"/>
      <c r="S198" s="1924"/>
      <c r="T198" s="1924"/>
      <c r="U198" s="1924"/>
      <c r="V198" s="1924"/>
      <c r="W198" s="1924"/>
      <c r="X198" s="1924"/>
      <c r="Y198" s="1924"/>
      <c r="Z198" s="1924"/>
      <c r="AA198" s="1924"/>
      <c r="AB198" s="1924"/>
      <c r="AC198" s="571"/>
      <c r="AD198" s="2047">
        <f>AB249</f>
        <v>0</v>
      </c>
      <c r="AE198" s="2047"/>
      <c r="AF198" s="2047"/>
      <c r="AG198" s="2047"/>
      <c r="AH198" s="2047"/>
      <c r="AI198" s="2047"/>
      <c r="AJ198" s="2047"/>
      <c r="AK198" s="645"/>
    </row>
    <row r="199" spans="1:37">
      <c r="A199" s="640"/>
      <c r="B199" s="1922" t="s">
        <v>1768</v>
      </c>
      <c r="C199" s="1922"/>
      <c r="D199" s="1922"/>
      <c r="E199" s="1922"/>
      <c r="F199" s="1922"/>
      <c r="G199" s="1922"/>
      <c r="H199" s="1922"/>
      <c r="I199" s="1922"/>
      <c r="J199" s="1922"/>
      <c r="K199" s="1922"/>
      <c r="L199" s="1922"/>
      <c r="M199" s="1922"/>
      <c r="N199" s="1922"/>
      <c r="O199" s="1922"/>
      <c r="P199" s="1922"/>
      <c r="Q199" s="1922"/>
      <c r="R199" s="1922"/>
      <c r="S199" s="1922"/>
      <c r="T199" s="1922"/>
      <c r="U199" s="1922"/>
      <c r="V199" s="1922"/>
      <c r="W199" s="1922"/>
      <c r="X199" s="1922"/>
      <c r="Y199" s="1922"/>
      <c r="Z199" s="1922"/>
      <c r="AA199" s="1922"/>
      <c r="AB199" s="1922"/>
      <c r="AC199" s="882"/>
      <c r="AD199" s="2048">
        <f>'Sources and Uses Budget'!B15</f>
        <v>0</v>
      </c>
      <c r="AE199" s="2048"/>
      <c r="AF199" s="2048"/>
      <c r="AG199" s="2048"/>
      <c r="AH199" s="2048"/>
      <c r="AI199" s="2048"/>
      <c r="AJ199" s="204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3">
        <f>SUM(AD188:AJ198)-AD199</f>
        <v>15930009</v>
      </c>
      <c r="AE200" s="2053"/>
      <c r="AF200" s="2053"/>
      <c r="AG200" s="2053"/>
      <c r="AH200" s="2053"/>
      <c r="AI200" s="2053"/>
      <c r="AJ200" s="2053"/>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2" t="s">
        <v>1785</v>
      </c>
      <c r="J211" s="2072"/>
      <c r="K211" s="2072"/>
      <c r="L211" s="571"/>
      <c r="M211" s="571"/>
      <c r="N211" s="571"/>
      <c r="O211" s="571"/>
      <c r="P211" s="571"/>
      <c r="Q211" s="571"/>
      <c r="R211" s="571"/>
      <c r="S211" s="571"/>
      <c r="T211" s="1888" t="s">
        <v>1779</v>
      </c>
      <c r="U211" s="1888"/>
      <c r="V211" s="1888"/>
      <c r="W211" s="1888"/>
      <c r="X211" s="1888"/>
      <c r="Y211" s="1888"/>
      <c r="Z211" s="885"/>
      <c r="AA211" s="524"/>
      <c r="AB211" s="2069" t="s">
        <v>1780</v>
      </c>
      <c r="AC211" s="2069"/>
      <c r="AD211" s="2069"/>
      <c r="AE211" s="2069"/>
      <c r="AF211" s="2069"/>
      <c r="AG211" s="2069"/>
      <c r="AH211" s="863"/>
      <c r="AI211" s="863"/>
      <c r="AJ211" s="863"/>
      <c r="AK211" s="645"/>
    </row>
    <row r="212" spans="1:37">
      <c r="A212" s="640"/>
      <c r="B212" s="2070" t="s">
        <v>1765</v>
      </c>
      <c r="C212" s="2070"/>
      <c r="D212" s="2070"/>
      <c r="E212" s="2070"/>
      <c r="F212" s="2070"/>
      <c r="G212" s="2070"/>
      <c r="I212" s="2071" t="s">
        <v>1786</v>
      </c>
      <c r="J212" s="2071"/>
      <c r="K212" s="2071"/>
      <c r="L212" s="1045"/>
      <c r="N212" s="1923" t="s">
        <v>1781</v>
      </c>
      <c r="O212" s="1923"/>
      <c r="P212" s="1923"/>
      <c r="Q212" s="1923"/>
      <c r="R212" s="1923"/>
      <c r="T212" s="1923" t="s">
        <v>1782</v>
      </c>
      <c r="U212" s="1923"/>
      <c r="V212" s="1923"/>
      <c r="W212" s="1923"/>
      <c r="X212" s="1923"/>
      <c r="Y212" s="1923"/>
      <c r="Z212" s="886"/>
      <c r="AA212" s="524"/>
      <c r="AB212" s="1926" t="s">
        <v>1783</v>
      </c>
      <c r="AC212" s="1926"/>
      <c r="AD212" s="1926"/>
      <c r="AE212" s="1926"/>
      <c r="AF212" s="1926"/>
      <c r="AG212" s="1926"/>
      <c r="AH212" s="863"/>
      <c r="AI212" s="863"/>
      <c r="AJ212" s="863"/>
      <c r="AK212" s="645"/>
    </row>
    <row r="213" spans="1:37">
      <c r="A213" s="640"/>
      <c r="B213" s="1925" t="s">
        <v>1328</v>
      </c>
      <c r="C213" s="1925"/>
      <c r="D213" s="1925"/>
      <c r="E213" s="1925"/>
      <c r="F213" s="1925"/>
      <c r="G213" s="1925"/>
      <c r="H213" s="888"/>
      <c r="I213" s="1893"/>
      <c r="J213" s="1893"/>
      <c r="K213" s="1893"/>
      <c r="L213" s="1045"/>
      <c r="N213" s="1890"/>
      <c r="O213" s="1890"/>
      <c r="P213" s="1890"/>
      <c r="Q213" s="1890"/>
      <c r="R213" s="1890"/>
      <c r="T213" s="1889"/>
      <c r="U213" s="1889"/>
      <c r="V213" s="1889"/>
      <c r="W213" s="1889"/>
      <c r="X213" s="1889"/>
      <c r="Y213" s="1889"/>
      <c r="Z213" s="887"/>
      <c r="AA213" s="887"/>
      <c r="AB213" s="1887">
        <f t="shared" ref="AB213:AB222" si="0">MAX(($T213-$N213)*$I213*12,0)</f>
        <v>0</v>
      </c>
      <c r="AC213" s="1887"/>
      <c r="AD213" s="1887"/>
      <c r="AE213" s="1887"/>
      <c r="AF213" s="1887"/>
      <c r="AG213" s="1887"/>
      <c r="AH213" s="863"/>
      <c r="AI213" s="863"/>
      <c r="AJ213" s="863"/>
      <c r="AK213" s="645"/>
    </row>
    <row r="214" spans="1:37">
      <c r="A214" s="640"/>
      <c r="B214" s="1925" t="s">
        <v>1328</v>
      </c>
      <c r="C214" s="1925"/>
      <c r="D214" s="1925"/>
      <c r="E214" s="1925"/>
      <c r="F214" s="1925"/>
      <c r="G214" s="1925"/>
      <c r="I214" s="1893"/>
      <c r="J214" s="1893"/>
      <c r="K214" s="1893"/>
      <c r="L214" s="1045"/>
      <c r="N214" s="1890"/>
      <c r="O214" s="1890"/>
      <c r="P214" s="1890"/>
      <c r="Q214" s="1890"/>
      <c r="R214" s="1890"/>
      <c r="T214" s="1889"/>
      <c r="U214" s="1889"/>
      <c r="V214" s="1889"/>
      <c r="W214" s="1889"/>
      <c r="X214" s="1889"/>
      <c r="Y214" s="1889"/>
      <c r="Z214" s="887"/>
      <c r="AA214" s="887"/>
      <c r="AB214" s="1887">
        <f t="shared" si="0"/>
        <v>0</v>
      </c>
      <c r="AC214" s="1887"/>
      <c r="AD214" s="1887"/>
      <c r="AE214" s="1887"/>
      <c r="AF214" s="1887"/>
      <c r="AG214" s="1887"/>
      <c r="AH214" s="863"/>
      <c r="AI214" s="863"/>
      <c r="AJ214" s="863"/>
      <c r="AK214" s="645"/>
    </row>
    <row r="215" spans="1:37">
      <c r="A215" s="640"/>
      <c r="B215" s="1925" t="s">
        <v>1328</v>
      </c>
      <c r="C215" s="1925"/>
      <c r="D215" s="1925"/>
      <c r="E215" s="1925"/>
      <c r="F215" s="1925"/>
      <c r="G215" s="1925"/>
      <c r="I215" s="1893"/>
      <c r="J215" s="1893"/>
      <c r="K215" s="1893"/>
      <c r="L215" s="1045"/>
      <c r="N215" s="1890"/>
      <c r="O215" s="1890"/>
      <c r="P215" s="1890"/>
      <c r="Q215" s="1890"/>
      <c r="R215" s="1890"/>
      <c r="T215" s="1889"/>
      <c r="U215" s="1889"/>
      <c r="V215" s="1889"/>
      <c r="W215" s="1889"/>
      <c r="X215" s="1889"/>
      <c r="Y215" s="1889"/>
      <c r="Z215" s="887"/>
      <c r="AA215" s="887"/>
      <c r="AB215" s="1887">
        <f t="shared" si="0"/>
        <v>0</v>
      </c>
      <c r="AC215" s="1887"/>
      <c r="AD215" s="1887"/>
      <c r="AE215" s="1887"/>
      <c r="AF215" s="1887"/>
      <c r="AG215" s="1887"/>
      <c r="AH215" s="863"/>
      <c r="AI215" s="863"/>
      <c r="AJ215" s="863"/>
      <c r="AK215" s="645"/>
    </row>
    <row r="216" spans="1:37">
      <c r="A216" s="640"/>
      <c r="B216" s="1925" t="s">
        <v>1328</v>
      </c>
      <c r="C216" s="1925"/>
      <c r="D216" s="1925"/>
      <c r="E216" s="1925"/>
      <c r="F216" s="1925"/>
      <c r="G216" s="1925"/>
      <c r="I216" s="1893"/>
      <c r="J216" s="1893"/>
      <c r="K216" s="1893"/>
      <c r="L216" s="1045"/>
      <c r="N216" s="1890"/>
      <c r="O216" s="1890"/>
      <c r="P216" s="1890"/>
      <c r="Q216" s="1890"/>
      <c r="R216" s="1890"/>
      <c r="T216" s="1889"/>
      <c r="U216" s="1889"/>
      <c r="V216" s="1889"/>
      <c r="W216" s="1889"/>
      <c r="X216" s="1889"/>
      <c r="Y216" s="1889"/>
      <c r="Z216" s="887"/>
      <c r="AA216" s="887"/>
      <c r="AB216" s="1887">
        <f t="shared" si="0"/>
        <v>0</v>
      </c>
      <c r="AC216" s="1887"/>
      <c r="AD216" s="1887"/>
      <c r="AE216" s="1887"/>
      <c r="AF216" s="1887"/>
      <c r="AG216" s="1887"/>
      <c r="AH216" s="863"/>
      <c r="AI216" s="863"/>
      <c r="AJ216" s="863"/>
      <c r="AK216" s="645"/>
    </row>
    <row r="217" spans="1:37">
      <c r="A217" s="640"/>
      <c r="B217" s="1925" t="s">
        <v>1328</v>
      </c>
      <c r="C217" s="1925"/>
      <c r="D217" s="1925"/>
      <c r="E217" s="1925"/>
      <c r="F217" s="1925"/>
      <c r="G217" s="1925"/>
      <c r="I217" s="1893"/>
      <c r="J217" s="1893"/>
      <c r="K217" s="1893"/>
      <c r="L217" s="1052"/>
      <c r="N217" s="1890"/>
      <c r="O217" s="1890"/>
      <c r="P217" s="1890"/>
      <c r="Q217" s="1890"/>
      <c r="R217" s="1890"/>
      <c r="T217" s="1889"/>
      <c r="U217" s="1889"/>
      <c r="V217" s="1889"/>
      <c r="W217" s="1889"/>
      <c r="X217" s="1889"/>
      <c r="Y217" s="1889"/>
      <c r="Z217" s="887"/>
      <c r="AA217" s="887"/>
      <c r="AB217" s="1887">
        <f t="shared" si="0"/>
        <v>0</v>
      </c>
      <c r="AC217" s="1887"/>
      <c r="AD217" s="1887"/>
      <c r="AE217" s="1887"/>
      <c r="AF217" s="1887"/>
      <c r="AG217" s="1887"/>
      <c r="AH217" s="863"/>
      <c r="AI217" s="863"/>
      <c r="AJ217" s="863"/>
      <c r="AK217" s="645"/>
    </row>
    <row r="218" spans="1:37">
      <c r="A218" s="640"/>
      <c r="B218" s="1925" t="s">
        <v>1328</v>
      </c>
      <c r="C218" s="1925"/>
      <c r="D218" s="1925"/>
      <c r="E218" s="1925"/>
      <c r="F218" s="1925"/>
      <c r="G218" s="1925"/>
      <c r="I218" s="1893"/>
      <c r="J218" s="1893"/>
      <c r="K218" s="1893"/>
      <c r="L218" s="1052"/>
      <c r="N218" s="1890"/>
      <c r="O218" s="1890"/>
      <c r="P218" s="1890"/>
      <c r="Q218" s="1890"/>
      <c r="R218" s="1890"/>
      <c r="T218" s="1889"/>
      <c r="U218" s="1889"/>
      <c r="V218" s="1889"/>
      <c r="W218" s="1889"/>
      <c r="X218" s="1889"/>
      <c r="Y218" s="1889"/>
      <c r="Z218" s="887"/>
      <c r="AA218" s="887"/>
      <c r="AB218" s="1887">
        <f t="shared" si="0"/>
        <v>0</v>
      </c>
      <c r="AC218" s="1887"/>
      <c r="AD218" s="1887"/>
      <c r="AE218" s="1887"/>
      <c r="AF218" s="1887"/>
      <c r="AG218" s="1887"/>
      <c r="AH218" s="863"/>
      <c r="AI218" s="863"/>
      <c r="AJ218" s="863"/>
      <c r="AK218" s="645"/>
    </row>
    <row r="219" spans="1:37">
      <c r="A219" s="640"/>
      <c r="B219" s="1925" t="s">
        <v>1328</v>
      </c>
      <c r="C219" s="1925"/>
      <c r="D219" s="1925"/>
      <c r="E219" s="1925"/>
      <c r="F219" s="1925"/>
      <c r="G219" s="1925"/>
      <c r="I219" s="1893"/>
      <c r="J219" s="1893"/>
      <c r="K219" s="1893"/>
      <c r="L219" s="1052"/>
      <c r="N219" s="1890"/>
      <c r="O219" s="1890"/>
      <c r="P219" s="1890"/>
      <c r="Q219" s="1890"/>
      <c r="R219" s="1890"/>
      <c r="T219" s="1889"/>
      <c r="U219" s="1889"/>
      <c r="V219" s="1889"/>
      <c r="W219" s="1889"/>
      <c r="X219" s="1889"/>
      <c r="Y219" s="1889"/>
      <c r="Z219" s="887"/>
      <c r="AA219" s="887"/>
      <c r="AB219" s="1887">
        <f t="shared" si="0"/>
        <v>0</v>
      </c>
      <c r="AC219" s="1887"/>
      <c r="AD219" s="1887"/>
      <c r="AE219" s="1887"/>
      <c r="AF219" s="1887"/>
      <c r="AG219" s="1887"/>
      <c r="AH219" s="863"/>
      <c r="AI219" s="863"/>
      <c r="AJ219" s="863"/>
      <c r="AK219" s="645"/>
    </row>
    <row r="220" spans="1:37">
      <c r="A220" s="640"/>
      <c r="B220" s="1925" t="s">
        <v>1328</v>
      </c>
      <c r="C220" s="1925"/>
      <c r="D220" s="1925"/>
      <c r="E220" s="1925"/>
      <c r="F220" s="1925"/>
      <c r="G220" s="1925"/>
      <c r="I220" s="1893"/>
      <c r="J220" s="1893"/>
      <c r="K220" s="1893"/>
      <c r="L220" s="1052"/>
      <c r="N220" s="1890"/>
      <c r="O220" s="1890"/>
      <c r="P220" s="1890"/>
      <c r="Q220" s="1890"/>
      <c r="R220" s="1890"/>
      <c r="T220" s="1889"/>
      <c r="U220" s="1889"/>
      <c r="V220" s="1889"/>
      <c r="W220" s="1889"/>
      <c r="X220" s="1889"/>
      <c r="Y220" s="1889"/>
      <c r="Z220" s="887"/>
      <c r="AA220" s="887"/>
      <c r="AB220" s="1887">
        <f t="shared" si="0"/>
        <v>0</v>
      </c>
      <c r="AC220" s="1887"/>
      <c r="AD220" s="1887"/>
      <c r="AE220" s="1887"/>
      <c r="AF220" s="1887"/>
      <c r="AG220" s="1887"/>
      <c r="AH220" s="863"/>
      <c r="AI220" s="863"/>
      <c r="AJ220" s="863"/>
      <c r="AK220" s="645"/>
    </row>
    <row r="221" spans="1:37">
      <c r="A221" s="640"/>
      <c r="B221" s="1925" t="s">
        <v>1328</v>
      </c>
      <c r="C221" s="1925"/>
      <c r="D221" s="1925"/>
      <c r="E221" s="1925"/>
      <c r="F221" s="1925"/>
      <c r="G221" s="1925"/>
      <c r="I221" s="1893"/>
      <c r="J221" s="1893"/>
      <c r="K221" s="1893"/>
      <c r="L221" s="1052"/>
      <c r="N221" s="1890"/>
      <c r="O221" s="1890"/>
      <c r="P221" s="1890"/>
      <c r="Q221" s="1890"/>
      <c r="R221" s="1890"/>
      <c r="T221" s="1889"/>
      <c r="U221" s="1889"/>
      <c r="V221" s="1889"/>
      <c r="W221" s="1889"/>
      <c r="X221" s="1889"/>
      <c r="Y221" s="1889"/>
      <c r="Z221" s="887"/>
      <c r="AA221" s="887"/>
      <c r="AB221" s="1887">
        <f t="shared" si="0"/>
        <v>0</v>
      </c>
      <c r="AC221" s="1887"/>
      <c r="AD221" s="1887"/>
      <c r="AE221" s="1887"/>
      <c r="AF221" s="1887"/>
      <c r="AG221" s="1887"/>
      <c r="AH221" s="863"/>
      <c r="AI221" s="863"/>
      <c r="AJ221" s="863"/>
      <c r="AK221" s="645"/>
    </row>
    <row r="222" spans="1:37">
      <c r="A222" s="640"/>
      <c r="B222" s="1925" t="s">
        <v>1328</v>
      </c>
      <c r="C222" s="1925"/>
      <c r="D222" s="1925"/>
      <c r="E222" s="1925"/>
      <c r="F222" s="1925"/>
      <c r="G222" s="1925"/>
      <c r="I222" s="2073"/>
      <c r="J222" s="2073"/>
      <c r="K222" s="2073"/>
      <c r="L222" s="1052"/>
      <c r="N222" s="1890"/>
      <c r="O222" s="1890"/>
      <c r="P222" s="1890"/>
      <c r="Q222" s="1890"/>
      <c r="R222" s="1890"/>
      <c r="T222" s="1889"/>
      <c r="U222" s="1889"/>
      <c r="V222" s="1889"/>
      <c r="W222" s="1889"/>
      <c r="X222" s="1889"/>
      <c r="Y222" s="1889"/>
      <c r="Z222" s="887"/>
      <c r="AA222" s="887"/>
      <c r="AB222" s="1894">
        <f t="shared" si="0"/>
        <v>0</v>
      </c>
      <c r="AC222" s="1894"/>
      <c r="AD222" s="1894"/>
      <c r="AE222" s="1894"/>
      <c r="AF222" s="1894"/>
      <c r="AG222" s="18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7">
        <f>SUM(AB213:AB222)</f>
        <v>0</v>
      </c>
      <c r="AC223" s="1887"/>
      <c r="AD223" s="1887"/>
      <c r="AE223" s="1887"/>
      <c r="AF223" s="1887"/>
      <c r="AG223" s="1887"/>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7"/>
      <c r="AC229" s="1927"/>
      <c r="AD229" s="1927"/>
      <c r="AE229" s="1927"/>
      <c r="AF229" s="1927"/>
      <c r="AG229" s="1927"/>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7"/>
      <c r="AC232" s="1927"/>
      <c r="AD232" s="1927"/>
      <c r="AE232" s="1927"/>
      <c r="AF232" s="1927"/>
      <c r="AG232" s="1927"/>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6"/>
      <c r="AC233" s="1886"/>
      <c r="AD233" s="1886"/>
      <c r="AE233" s="1886"/>
      <c r="AF233" s="1886"/>
      <c r="AG233" s="1886"/>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5">
        <f>IFERROR(AB232/AB233,0)</f>
        <v>0</v>
      </c>
      <c r="AC234" s="1895"/>
      <c r="AD234" s="1895"/>
      <c r="AE234" s="1895"/>
      <c r="AF234" s="1895"/>
      <c r="AG234" s="189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4">
        <f>MAX(AB229,AB234)</f>
        <v>0</v>
      </c>
      <c r="AC236" s="1894"/>
      <c r="AD236" s="1894"/>
      <c r="AE236" s="1894"/>
      <c r="AF236" s="1894"/>
      <c r="AG236" s="18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7">
        <f>AB223+AB236</f>
        <v>0</v>
      </c>
      <c r="AC239" s="1887"/>
      <c r="AD239" s="1887"/>
      <c r="AE239" s="1887"/>
      <c r="AF239" s="1887"/>
      <c r="AG239" s="1887"/>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7">
        <v>0.05</v>
      </c>
      <c r="AC240" s="2057"/>
      <c r="AD240" s="2057"/>
      <c r="AE240" s="2057"/>
      <c r="AF240" s="2057"/>
      <c r="AG240" s="2057"/>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8">
        <f>AB239-(AB239*AB240)</f>
        <v>0</v>
      </c>
      <c r="AC241" s="2058"/>
      <c r="AD241" s="2058"/>
      <c r="AE241" s="2058"/>
      <c r="AF241" s="2058"/>
      <c r="AG241" s="2058"/>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7">
        <f>AB241/AB247</f>
        <v>0</v>
      </c>
      <c r="AC243" s="1887"/>
      <c r="AD243" s="1887"/>
      <c r="AE243" s="1887"/>
      <c r="AF243" s="1887"/>
      <c r="AG243" s="1887"/>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9">
        <v>15</v>
      </c>
      <c r="AC245" s="2069"/>
      <c r="AD245" s="2069"/>
      <c r="AE245" s="2069"/>
      <c r="AF245" s="2069"/>
      <c r="AG245" s="2069"/>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0">
        <v>0.04</v>
      </c>
      <c r="AC246" s="2060"/>
      <c r="AD246" s="2060"/>
      <c r="AE246" s="2060"/>
      <c r="AF246" s="2060"/>
      <c r="AG246" s="2060"/>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1">
        <v>1.1499999999999999</v>
      </c>
      <c r="AC247" s="2061"/>
      <c r="AD247" s="2061"/>
      <c r="AE247" s="2061"/>
      <c r="AF247" s="2061"/>
      <c r="AG247" s="2061"/>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0">
        <f>PV(AB246/12,AB245*12,-AB243/12, ,0)</f>
        <v>0</v>
      </c>
      <c r="AC249" s="2051"/>
      <c r="AD249" s="2051"/>
      <c r="AE249" s="2051"/>
      <c r="AF249" s="2051"/>
      <c r="AG249" s="2052"/>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4">
        <f>IFERROR(('Sources and Uses Budget'!D105/'Sources and Uses Budget'!B105),0)</f>
        <v>0</v>
      </c>
      <c r="AC255" s="2055"/>
      <c r="AD255" s="2055"/>
      <c r="AE255" s="2055"/>
      <c r="AF255" s="2055"/>
      <c r="AG255" s="2056"/>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1">
        <f>AD200*(1-AB255)</f>
        <v>15930009</v>
      </c>
      <c r="AH257" s="1901"/>
      <c r="AI257" s="1901"/>
      <c r="AJ257" s="1901"/>
      <c r="AK257" s="190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1">
        <f>'Sources and Uses Budget'!C105</f>
        <v>40170277</v>
      </c>
      <c r="AH258" s="1901"/>
      <c r="AI258" s="1901"/>
      <c r="AJ258" s="1901"/>
      <c r="AK258" s="190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6">
        <f>ROUNDDOWN(IF(AND(C281="Yes",AK78=10),((AG257*2)/AG258),AG257/AG258),2)</f>
        <v>0.79</v>
      </c>
      <c r="AH259" s="2046"/>
      <c r="AI259" s="2046"/>
      <c r="AJ259" s="2046"/>
      <c r="AK259" s="2046"/>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5">
        <f>IFERROR(IF(AG259=0,0,IF((AG259*100)&gt;8,8,(AG259*100))),0)</f>
        <v>8</v>
      </c>
      <c r="AL262" s="2035"/>
      <c r="AM262" s="203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9" t="s">
        <v>555</v>
      </c>
      <c r="D267" s="1919"/>
      <c r="E267" s="582"/>
      <c r="F267" s="1870" t="s">
        <v>2423</v>
      </c>
      <c r="G267" s="1871"/>
      <c r="H267" s="1871"/>
      <c r="I267" s="1871"/>
      <c r="J267" s="1871"/>
      <c r="K267" s="1871"/>
      <c r="L267" s="1871"/>
      <c r="M267" s="1871"/>
      <c r="N267" s="1871"/>
      <c r="O267" s="1871"/>
      <c r="P267" s="1871"/>
      <c r="Q267" s="1871"/>
      <c r="R267" s="1871"/>
      <c r="S267" s="1871"/>
      <c r="T267" s="1871"/>
      <c r="U267" s="1871"/>
      <c r="V267" s="1871"/>
      <c r="W267" s="1871"/>
      <c r="X267" s="1871"/>
      <c r="Y267" s="1871"/>
      <c r="Z267" s="1871"/>
      <c r="AA267" s="1871"/>
      <c r="AB267" s="1871"/>
      <c r="AC267" s="1871"/>
      <c r="AD267" s="1872"/>
      <c r="AE267" s="585"/>
      <c r="AF267" s="670"/>
      <c r="AG267" s="2044" t="s">
        <v>1536</v>
      </c>
      <c r="AH267" s="2044"/>
      <c r="AI267" s="2044"/>
      <c r="AJ267" s="2044"/>
      <c r="AK267" s="585"/>
      <c r="AL267" s="585"/>
      <c r="AM267" s="585"/>
      <c r="AO267" s="585"/>
    </row>
    <row r="268" spans="1:52" ht="13.7" customHeight="1">
      <c r="A268" s="585"/>
      <c r="B268" s="631"/>
      <c r="C268" s="671"/>
      <c r="D268" s="585"/>
      <c r="E268" s="582"/>
      <c r="F268" s="1873"/>
      <c r="G268" s="1874"/>
      <c r="H268" s="1874"/>
      <c r="I268" s="1874"/>
      <c r="J268" s="1874"/>
      <c r="K268" s="1874"/>
      <c r="L268" s="1874"/>
      <c r="M268" s="1874"/>
      <c r="N268" s="1874"/>
      <c r="O268" s="1874"/>
      <c r="P268" s="1874"/>
      <c r="Q268" s="1874"/>
      <c r="R268" s="1874"/>
      <c r="S268" s="1874"/>
      <c r="T268" s="1874"/>
      <c r="U268" s="1874"/>
      <c r="V268" s="1874"/>
      <c r="W268" s="1874"/>
      <c r="X268" s="1874"/>
      <c r="Y268" s="1874"/>
      <c r="Z268" s="1874"/>
      <c r="AA268" s="1874"/>
      <c r="AB268" s="1874"/>
      <c r="AC268" s="1874"/>
      <c r="AD268" s="1875"/>
      <c r="AE268" s="585"/>
      <c r="AF268" s="670"/>
      <c r="AG268" s="670"/>
      <c r="AH268" s="670"/>
      <c r="AI268" s="670"/>
      <c r="AJ268" s="585"/>
      <c r="AK268" s="585"/>
      <c r="AL268" s="585"/>
      <c r="AM268" s="585"/>
      <c r="AO268" s="585"/>
    </row>
    <row r="269" spans="1:52">
      <c r="A269" s="585"/>
      <c r="B269" s="631"/>
      <c r="C269" s="671"/>
      <c r="D269" s="585"/>
      <c r="E269" s="582"/>
      <c r="F269" s="1873"/>
      <c r="G269" s="1874"/>
      <c r="H269" s="1874"/>
      <c r="I269" s="1874"/>
      <c r="J269" s="1874"/>
      <c r="K269" s="1874"/>
      <c r="L269" s="1874"/>
      <c r="M269" s="1874"/>
      <c r="N269" s="1874"/>
      <c r="O269" s="1874"/>
      <c r="P269" s="1874"/>
      <c r="Q269" s="1874"/>
      <c r="R269" s="1874"/>
      <c r="S269" s="1874"/>
      <c r="T269" s="1874"/>
      <c r="U269" s="1874"/>
      <c r="V269" s="1874"/>
      <c r="W269" s="1874"/>
      <c r="X269" s="1874"/>
      <c r="Y269" s="1874"/>
      <c r="Z269" s="1874"/>
      <c r="AA269" s="1874"/>
      <c r="AB269" s="1874"/>
      <c r="AC269" s="1874"/>
      <c r="AD269" s="1875"/>
      <c r="AE269" s="585"/>
      <c r="AF269" s="670"/>
      <c r="AG269" s="670"/>
      <c r="AH269" s="670"/>
      <c r="AI269" s="670"/>
      <c r="AJ269" s="585"/>
      <c r="AK269" s="585"/>
      <c r="AL269" s="585"/>
      <c r="AM269" s="585"/>
      <c r="AO269" s="585"/>
      <c r="AP269" s="672"/>
    </row>
    <row r="270" spans="1:52">
      <c r="A270" s="585"/>
      <c r="B270" s="631"/>
      <c r="C270" s="671"/>
      <c r="D270" s="585"/>
      <c r="E270" s="582"/>
      <c r="F270" s="1873"/>
      <c r="G270" s="1874"/>
      <c r="H270" s="1874"/>
      <c r="I270" s="1874"/>
      <c r="J270" s="1874"/>
      <c r="K270" s="1874"/>
      <c r="L270" s="1874"/>
      <c r="M270" s="1874"/>
      <c r="N270" s="1874"/>
      <c r="O270" s="1874"/>
      <c r="P270" s="1874"/>
      <c r="Q270" s="1874"/>
      <c r="R270" s="1874"/>
      <c r="S270" s="1874"/>
      <c r="T270" s="1874"/>
      <c r="U270" s="1874"/>
      <c r="V270" s="1874"/>
      <c r="W270" s="1874"/>
      <c r="X270" s="1874"/>
      <c r="Y270" s="1874"/>
      <c r="Z270" s="1874"/>
      <c r="AA270" s="1874"/>
      <c r="AB270" s="1874"/>
      <c r="AC270" s="1874"/>
      <c r="AD270" s="1875"/>
      <c r="AE270" s="585"/>
      <c r="AF270" s="670"/>
      <c r="AG270" s="670"/>
      <c r="AH270" s="670"/>
      <c r="AI270" s="670"/>
      <c r="AJ270" s="585"/>
      <c r="AK270" s="585"/>
      <c r="AL270" s="585"/>
      <c r="AM270" s="585"/>
      <c r="AO270" s="585"/>
      <c r="AP270" s="672"/>
    </row>
    <row r="271" spans="1:52" ht="13.7" customHeight="1">
      <c r="A271" s="585"/>
      <c r="B271" s="631"/>
      <c r="C271" s="2045"/>
      <c r="D271" s="2045"/>
      <c r="E271" s="582"/>
      <c r="F271" s="1876"/>
      <c r="G271" s="1877"/>
      <c r="H271" s="1877"/>
      <c r="I271" s="1877"/>
      <c r="J271" s="1877"/>
      <c r="K271" s="1877"/>
      <c r="L271" s="1877"/>
      <c r="M271" s="1877"/>
      <c r="N271" s="1877"/>
      <c r="O271" s="1877"/>
      <c r="P271" s="1877"/>
      <c r="Q271" s="1877"/>
      <c r="R271" s="1877"/>
      <c r="S271" s="1877"/>
      <c r="T271" s="1877"/>
      <c r="U271" s="1877"/>
      <c r="V271" s="1877"/>
      <c r="W271" s="1877"/>
      <c r="X271" s="1877"/>
      <c r="Y271" s="1877"/>
      <c r="Z271" s="1877"/>
      <c r="AA271" s="1877"/>
      <c r="AB271" s="1877"/>
      <c r="AC271" s="1877"/>
      <c r="AD271" s="1878"/>
      <c r="AE271" s="585"/>
      <c r="AF271" s="670"/>
      <c r="AG271" s="2044"/>
      <c r="AH271" s="2044"/>
      <c r="AI271" s="2044"/>
      <c r="AJ271" s="2044"/>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5">
        <f>IF($C$267="yes",10,0)</f>
        <v>10</v>
      </c>
      <c r="AL274" s="2035"/>
      <c r="AM274" s="203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3" t="s">
        <v>1555</v>
      </c>
      <c r="B281" s="1633"/>
      <c r="C281" s="2012" t="s">
        <v>555</v>
      </c>
      <c r="D281" s="1919"/>
      <c r="E281" s="582"/>
      <c r="F281" s="2037" t="s">
        <v>1556</v>
      </c>
      <c r="G281" s="2038"/>
      <c r="H281" s="2038"/>
      <c r="I281" s="2038"/>
      <c r="J281" s="2038"/>
      <c r="K281" s="2038"/>
      <c r="L281" s="2038"/>
      <c r="M281" s="2038"/>
      <c r="N281" s="2038"/>
      <c r="O281" s="2038"/>
      <c r="P281" s="2038"/>
      <c r="Q281" s="2038"/>
      <c r="R281" s="2038"/>
      <c r="S281" s="2038"/>
      <c r="T281" s="2038"/>
      <c r="U281" s="2038"/>
      <c r="V281" s="2038"/>
      <c r="W281" s="2038"/>
      <c r="X281" s="2038"/>
      <c r="Y281" s="2038"/>
      <c r="Z281" s="2038"/>
      <c r="AA281" s="2038"/>
      <c r="AB281" s="2038"/>
      <c r="AC281" s="2038"/>
      <c r="AD281" s="2039"/>
      <c r="AE281" s="677"/>
      <c r="AF281" s="585"/>
      <c r="AG281" s="2040" t="s">
        <v>2416</v>
      </c>
      <c r="AH281" s="2040"/>
      <c r="AI281" s="2040"/>
      <c r="AJ281" s="2040"/>
      <c r="AK281" s="2040"/>
      <c r="AL281" s="585"/>
      <c r="AM281" s="585"/>
      <c r="AN281" s="73"/>
      <c r="AO281" s="14"/>
      <c r="AP281" s="30"/>
      <c r="AS281" s="605"/>
      <c r="AT281" s="605"/>
      <c r="AU281" s="605"/>
      <c r="AV281" s="32"/>
      <c r="AW281" s="32"/>
    </row>
    <row r="282" spans="1:49">
      <c r="A282" s="675"/>
      <c r="B282" s="631"/>
      <c r="F282" s="1896"/>
      <c r="G282" s="1897"/>
      <c r="H282" s="1897"/>
      <c r="I282" s="1897"/>
      <c r="J282" s="1897"/>
      <c r="K282" s="1897"/>
      <c r="L282" s="1897"/>
      <c r="M282" s="1897"/>
      <c r="N282" s="1897"/>
      <c r="O282" s="1897"/>
      <c r="P282" s="1897"/>
      <c r="Q282" s="1897"/>
      <c r="R282" s="1897"/>
      <c r="S282" s="1897"/>
      <c r="T282" s="1897"/>
      <c r="U282" s="1897"/>
      <c r="V282" s="1897"/>
      <c r="W282" s="1897"/>
      <c r="X282" s="1897"/>
      <c r="Y282" s="1897"/>
      <c r="Z282" s="1897"/>
      <c r="AA282" s="1897"/>
      <c r="AB282" s="1897"/>
      <c r="AC282" s="1897"/>
      <c r="AD282" s="1898"/>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6"/>
      <c r="G283" s="1897"/>
      <c r="H283" s="1897"/>
      <c r="I283" s="1897"/>
      <c r="J283" s="1897"/>
      <c r="K283" s="1897"/>
      <c r="L283" s="1897"/>
      <c r="M283" s="1897"/>
      <c r="N283" s="1897"/>
      <c r="O283" s="1897"/>
      <c r="P283" s="1897"/>
      <c r="Q283" s="1897"/>
      <c r="R283" s="1897"/>
      <c r="S283" s="1897"/>
      <c r="T283" s="1897"/>
      <c r="U283" s="1897"/>
      <c r="V283" s="1897"/>
      <c r="W283" s="1897"/>
      <c r="X283" s="1897"/>
      <c r="Y283" s="1897"/>
      <c r="Z283" s="1897"/>
      <c r="AA283" s="1897"/>
      <c r="AB283" s="1897"/>
      <c r="AC283" s="1897"/>
      <c r="AD283" s="1898"/>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6" t="s">
        <v>2424</v>
      </c>
      <c r="G284" s="1897"/>
      <c r="H284" s="1897"/>
      <c r="I284" s="1897"/>
      <c r="J284" s="1897"/>
      <c r="K284" s="1897"/>
      <c r="L284" s="1897"/>
      <c r="M284" s="1897"/>
      <c r="N284" s="1897"/>
      <c r="O284" s="1897"/>
      <c r="P284" s="1897"/>
      <c r="Q284" s="1897"/>
      <c r="R284" s="1897"/>
      <c r="S284" s="1897"/>
      <c r="T284" s="1897"/>
      <c r="U284" s="1897"/>
      <c r="V284" s="1897"/>
      <c r="W284" s="1897"/>
      <c r="X284" s="1897"/>
      <c r="Y284" s="1897"/>
      <c r="Z284" s="1897"/>
      <c r="AA284" s="1897"/>
      <c r="AB284" s="1897"/>
      <c r="AC284" s="1897"/>
      <c r="AD284" s="1898"/>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896"/>
      <c r="G285" s="1897"/>
      <c r="H285" s="1897"/>
      <c r="I285" s="1897"/>
      <c r="J285" s="1897"/>
      <c r="K285" s="1897"/>
      <c r="L285" s="1897"/>
      <c r="M285" s="1897"/>
      <c r="N285" s="1897"/>
      <c r="O285" s="1897"/>
      <c r="P285" s="1897"/>
      <c r="Q285" s="1897"/>
      <c r="R285" s="1897"/>
      <c r="S285" s="1897"/>
      <c r="T285" s="1897"/>
      <c r="U285" s="1897"/>
      <c r="V285" s="1897"/>
      <c r="W285" s="1897"/>
      <c r="X285" s="1897"/>
      <c r="Y285" s="1897"/>
      <c r="Z285" s="1897"/>
      <c r="AA285" s="1897"/>
      <c r="AB285" s="1897"/>
      <c r="AC285" s="1897"/>
      <c r="AD285" s="189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6" t="s">
        <v>1557</v>
      </c>
      <c r="G286" s="1897"/>
      <c r="H286" s="1897"/>
      <c r="I286" s="1897"/>
      <c r="J286" s="1897"/>
      <c r="K286" s="1897"/>
      <c r="L286" s="1897"/>
      <c r="M286" s="1897"/>
      <c r="N286" s="1897"/>
      <c r="O286" s="1897"/>
      <c r="P286" s="1897"/>
      <c r="Q286" s="1897"/>
      <c r="R286" s="1897"/>
      <c r="S286" s="1897"/>
      <c r="T286" s="1897"/>
      <c r="U286" s="1897"/>
      <c r="V286" s="1897"/>
      <c r="W286" s="1897"/>
      <c r="X286" s="1897"/>
      <c r="Y286" s="1897"/>
      <c r="Z286" s="1897"/>
      <c r="AA286" s="1897"/>
      <c r="AB286" s="1897"/>
      <c r="AC286" s="1897"/>
      <c r="AD286" s="189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6"/>
      <c r="G287" s="1897"/>
      <c r="H287" s="1897"/>
      <c r="I287" s="1897"/>
      <c r="J287" s="1897"/>
      <c r="K287" s="1897"/>
      <c r="L287" s="1897"/>
      <c r="M287" s="1897"/>
      <c r="N287" s="1897"/>
      <c r="O287" s="1897"/>
      <c r="P287" s="1897"/>
      <c r="Q287" s="1897"/>
      <c r="R287" s="1897"/>
      <c r="S287" s="1897"/>
      <c r="T287" s="1897"/>
      <c r="U287" s="1897"/>
      <c r="V287" s="1897"/>
      <c r="W287" s="1897"/>
      <c r="X287" s="1897"/>
      <c r="Y287" s="1897"/>
      <c r="Z287" s="1897"/>
      <c r="AA287" s="1897"/>
      <c r="AB287" s="1897"/>
      <c r="AC287" s="1897"/>
      <c r="AD287" s="189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6" t="s">
        <v>1558</v>
      </c>
      <c r="G288" s="1897"/>
      <c r="H288" s="1897"/>
      <c r="I288" s="1897"/>
      <c r="J288" s="1897"/>
      <c r="K288" s="1897"/>
      <c r="L288" s="1897"/>
      <c r="M288" s="1897"/>
      <c r="N288" s="1897"/>
      <c r="O288" s="1897"/>
      <c r="P288" s="1897"/>
      <c r="Q288" s="1897"/>
      <c r="R288" s="1897"/>
      <c r="S288" s="1897"/>
      <c r="T288" s="1897"/>
      <c r="U288" s="1897"/>
      <c r="V288" s="1897"/>
      <c r="W288" s="1897"/>
      <c r="X288" s="1897"/>
      <c r="Y288" s="1897"/>
      <c r="Z288" s="1897"/>
      <c r="AA288" s="1897"/>
      <c r="AB288" s="1897"/>
      <c r="AC288" s="1897"/>
      <c r="AD288" s="189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9"/>
      <c r="G289" s="1900"/>
      <c r="H289" s="1900"/>
      <c r="I289" s="1900"/>
      <c r="J289" s="1900"/>
      <c r="K289" s="1900"/>
      <c r="L289" s="1900"/>
      <c r="M289" s="1900"/>
      <c r="N289" s="1900"/>
      <c r="O289" s="1900"/>
      <c r="P289" s="1900"/>
      <c r="Q289" s="1900"/>
      <c r="R289" s="1900"/>
      <c r="S289" s="1900"/>
      <c r="T289" s="1900"/>
      <c r="U289" s="1900"/>
      <c r="V289" s="1900"/>
      <c r="W289" s="1900"/>
      <c r="X289" s="1900"/>
      <c r="Y289" s="1900"/>
      <c r="Z289" s="1900"/>
      <c r="AA289" s="1900"/>
      <c r="AB289" s="1900"/>
      <c r="AC289" s="1900"/>
      <c r="AD289" s="203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3" t="s">
        <v>1559</v>
      </c>
      <c r="B291" s="1633"/>
      <c r="C291" s="1919" t="s">
        <v>601</v>
      </c>
      <c r="D291" s="1919"/>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9" t="s">
        <v>2418</v>
      </c>
      <c r="G292" s="2020"/>
      <c r="H292" s="2020"/>
      <c r="I292" s="2020"/>
      <c r="J292" s="2020"/>
      <c r="K292" s="2020"/>
      <c r="L292" s="2020"/>
      <c r="M292" s="2020"/>
      <c r="N292" s="2020"/>
      <c r="O292" s="2020"/>
      <c r="P292" s="2020"/>
      <c r="Q292" s="2020"/>
      <c r="R292" s="2020"/>
      <c r="S292" s="2020"/>
      <c r="T292" s="2020"/>
      <c r="U292" s="2020"/>
      <c r="V292" s="2020"/>
      <c r="W292" s="2020"/>
      <c r="X292" s="2020"/>
      <c r="Y292" s="2020"/>
      <c r="Z292" s="2020"/>
      <c r="AA292" s="2020"/>
      <c r="AB292" s="2020"/>
      <c r="AC292" s="2020"/>
      <c r="AD292" s="2021"/>
      <c r="AE292" s="586"/>
      <c r="AF292" s="586"/>
      <c r="AG292" s="586"/>
      <c r="AH292" s="586"/>
      <c r="AI292" s="586"/>
      <c r="AJ292" s="585"/>
      <c r="AK292" s="585"/>
      <c r="AL292" s="585"/>
      <c r="AM292" s="585"/>
      <c r="AR292" s="683"/>
    </row>
    <row r="293" spans="1:49" ht="15" customHeight="1">
      <c r="A293" s="585"/>
      <c r="B293" s="586"/>
      <c r="C293" s="585"/>
      <c r="D293" s="586"/>
      <c r="E293" s="585"/>
      <c r="F293" s="2019"/>
      <c r="G293" s="2020"/>
      <c r="H293" s="2020"/>
      <c r="I293" s="2020"/>
      <c r="J293" s="2020"/>
      <c r="K293" s="2020"/>
      <c r="L293" s="2020"/>
      <c r="M293" s="2020"/>
      <c r="N293" s="2020"/>
      <c r="O293" s="2020"/>
      <c r="P293" s="2020"/>
      <c r="Q293" s="2020"/>
      <c r="R293" s="2020"/>
      <c r="S293" s="2020"/>
      <c r="T293" s="2020"/>
      <c r="U293" s="2020"/>
      <c r="V293" s="2020"/>
      <c r="W293" s="2020"/>
      <c r="X293" s="2020"/>
      <c r="Y293" s="2020"/>
      <c r="Z293" s="2020"/>
      <c r="AA293" s="2020"/>
      <c r="AB293" s="2020"/>
      <c r="AC293" s="2020"/>
      <c r="AD293" s="2021"/>
      <c r="AE293" s="586"/>
      <c r="AF293" s="586"/>
      <c r="AG293" s="586"/>
      <c r="AH293" s="586"/>
      <c r="AI293" s="586"/>
      <c r="AJ293" s="585"/>
      <c r="AK293" s="585"/>
      <c r="AL293" s="585"/>
      <c r="AM293" s="585"/>
      <c r="AR293" s="683"/>
    </row>
    <row r="294" spans="1:49">
      <c r="A294" s="585"/>
      <c r="B294" s="586"/>
      <c r="C294" s="585"/>
      <c r="D294" s="586"/>
      <c r="E294" s="585"/>
      <c r="F294" s="2019"/>
      <c r="G294" s="2020"/>
      <c r="H294" s="2020"/>
      <c r="I294" s="2020"/>
      <c r="J294" s="2020"/>
      <c r="K294" s="2020"/>
      <c r="L294" s="2020"/>
      <c r="M294" s="2020"/>
      <c r="N294" s="2020"/>
      <c r="O294" s="2020"/>
      <c r="P294" s="2020"/>
      <c r="Q294" s="2020"/>
      <c r="R294" s="2020"/>
      <c r="S294" s="2020"/>
      <c r="T294" s="2020"/>
      <c r="U294" s="2020"/>
      <c r="V294" s="2020"/>
      <c r="W294" s="2020"/>
      <c r="X294" s="2020"/>
      <c r="Y294" s="2020"/>
      <c r="Z294" s="2020"/>
      <c r="AA294" s="2020"/>
      <c r="AB294" s="2020"/>
      <c r="AC294" s="2020"/>
      <c r="AD294" s="202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1"/>
      <c r="G295" s="2042"/>
      <c r="H295" s="2042"/>
      <c r="I295" s="2042"/>
      <c r="J295" s="2042"/>
      <c r="K295" s="2042"/>
      <c r="L295" s="2042"/>
      <c r="M295" s="2042"/>
      <c r="N295" s="2042"/>
      <c r="O295" s="2042"/>
      <c r="P295" s="2042"/>
      <c r="Q295" s="2042"/>
      <c r="R295" s="2042"/>
      <c r="S295" s="2042"/>
      <c r="T295" s="2042"/>
      <c r="U295" s="2042"/>
      <c r="V295" s="2042"/>
      <c r="W295" s="2042"/>
      <c r="X295" s="2042"/>
      <c r="Y295" s="2042"/>
      <c r="Z295" s="2042"/>
      <c r="AA295" s="2042"/>
      <c r="AB295" s="2042"/>
      <c r="AC295" s="2042"/>
      <c r="AD295" s="204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33" t="s">
        <v>1562</v>
      </c>
      <c r="B299" s="1633"/>
      <c r="C299" s="1919" t="s">
        <v>601</v>
      </c>
      <c r="D299" s="1919"/>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6" t="s">
        <v>2425</v>
      </c>
      <c r="G300" s="1897"/>
      <c r="H300" s="1897"/>
      <c r="I300" s="1897"/>
      <c r="J300" s="1897"/>
      <c r="K300" s="1897"/>
      <c r="L300" s="1897"/>
      <c r="M300" s="1897"/>
      <c r="N300" s="1897"/>
      <c r="O300" s="1897"/>
      <c r="P300" s="1897"/>
      <c r="Q300" s="1897"/>
      <c r="R300" s="1897"/>
      <c r="S300" s="1897"/>
      <c r="T300" s="1897"/>
      <c r="U300" s="1897"/>
      <c r="V300" s="1897"/>
      <c r="W300" s="1897"/>
      <c r="X300" s="1897"/>
      <c r="Y300" s="1897"/>
      <c r="Z300" s="1897"/>
      <c r="AA300" s="1897"/>
      <c r="AB300" s="1897"/>
      <c r="AC300" s="1897"/>
      <c r="AD300" s="1898"/>
      <c r="AE300" s="586"/>
      <c r="AF300" s="586"/>
      <c r="AG300" s="574"/>
      <c r="AH300" s="586"/>
      <c r="AI300" s="586"/>
      <c r="AJ300" s="585"/>
      <c r="AK300" s="585"/>
      <c r="AL300" s="585"/>
      <c r="AM300" s="585"/>
      <c r="AN300" s="73"/>
      <c r="AO300" s="14"/>
      <c r="AP300" s="592" t="s">
        <v>1328</v>
      </c>
    </row>
    <row r="301" spans="1:49" hidden="1">
      <c r="F301" s="1896"/>
      <c r="G301" s="1897"/>
      <c r="H301" s="1897"/>
      <c r="I301" s="1897"/>
      <c r="J301" s="1897"/>
      <c r="K301" s="1897"/>
      <c r="L301" s="1897"/>
      <c r="M301" s="1897"/>
      <c r="N301" s="1897"/>
      <c r="O301" s="1897"/>
      <c r="P301" s="1897"/>
      <c r="Q301" s="1897"/>
      <c r="R301" s="1897"/>
      <c r="S301" s="1897"/>
      <c r="T301" s="1897"/>
      <c r="U301" s="1897"/>
      <c r="V301" s="1897"/>
      <c r="W301" s="1897"/>
      <c r="X301" s="1897"/>
      <c r="Y301" s="1897"/>
      <c r="Z301" s="1897"/>
      <c r="AA301" s="1897"/>
      <c r="AB301" s="1897"/>
      <c r="AC301" s="1897"/>
      <c r="AD301" s="1898"/>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2" t="s">
        <v>1328</v>
      </c>
      <c r="G305" s="2023"/>
      <c r="H305" s="2023"/>
      <c r="I305" s="2023"/>
      <c r="J305" s="2023"/>
      <c r="K305" s="2023"/>
      <c r="L305" s="2023"/>
      <c r="M305" s="2023"/>
      <c r="N305" s="2023"/>
      <c r="O305" s="2023"/>
      <c r="P305" s="2023"/>
      <c r="Q305" s="2023"/>
      <c r="R305" s="2023"/>
      <c r="S305" s="2023"/>
      <c r="T305" s="2023"/>
      <c r="U305" s="2023"/>
      <c r="V305" s="2023"/>
      <c r="W305" s="2023"/>
      <c r="X305" s="2023"/>
      <c r="Y305" s="2023"/>
      <c r="Z305" s="2023"/>
      <c r="AA305" s="2023"/>
      <c r="AB305" s="2023"/>
      <c r="AC305" s="2023"/>
      <c r="AD305" s="2024"/>
      <c r="AE305" s="677"/>
      <c r="AF305" s="677"/>
      <c r="AG305" s="677"/>
      <c r="AH305" s="677"/>
      <c r="AI305" s="677"/>
      <c r="AJ305" s="677"/>
      <c r="AK305" s="677"/>
      <c r="AL305" s="585"/>
      <c r="AM305" s="585"/>
      <c r="AN305" s="73"/>
      <c r="AO305" s="14"/>
      <c r="AP305" s="30"/>
    </row>
    <row r="306" spans="1:42" hidden="1">
      <c r="A306" s="585"/>
      <c r="B306" s="586"/>
      <c r="C306" s="765"/>
      <c r="D306" s="765"/>
      <c r="E306" s="582"/>
      <c r="F306" s="2022"/>
      <c r="G306" s="2023"/>
      <c r="H306" s="2023"/>
      <c r="I306" s="2023"/>
      <c r="J306" s="2023"/>
      <c r="K306" s="2023"/>
      <c r="L306" s="2023"/>
      <c r="M306" s="2023"/>
      <c r="N306" s="2023"/>
      <c r="O306" s="2023"/>
      <c r="P306" s="2023"/>
      <c r="Q306" s="2023"/>
      <c r="R306" s="2023"/>
      <c r="S306" s="2023"/>
      <c r="T306" s="2023"/>
      <c r="U306" s="2023"/>
      <c r="V306" s="2023"/>
      <c r="W306" s="2023"/>
      <c r="X306" s="2023"/>
      <c r="Y306" s="2023"/>
      <c r="Z306" s="2023"/>
      <c r="AA306" s="2023"/>
      <c r="AB306" s="2023"/>
      <c r="AC306" s="2023"/>
      <c r="AD306" s="2024"/>
      <c r="AE306" s="586"/>
      <c r="AF306" s="586"/>
      <c r="AG306" s="574"/>
      <c r="AH306" s="586"/>
      <c r="AI306" s="586"/>
      <c r="AJ306" s="585"/>
      <c r="AK306" s="585"/>
      <c r="AL306" s="585"/>
      <c r="AM306" s="585"/>
      <c r="AN306" s="73"/>
      <c r="AO306" s="14"/>
      <c r="AP306" s="30"/>
    </row>
    <row r="307" spans="1:42" hidden="1">
      <c r="A307" s="585"/>
      <c r="B307" s="586"/>
      <c r="C307" s="765"/>
      <c r="D307" s="765"/>
      <c r="E307" s="582"/>
      <c r="F307" s="2022"/>
      <c r="G307" s="2023"/>
      <c r="H307" s="2023"/>
      <c r="I307" s="2023"/>
      <c r="J307" s="2023"/>
      <c r="K307" s="2023"/>
      <c r="L307" s="2023"/>
      <c r="M307" s="2023"/>
      <c r="N307" s="2023"/>
      <c r="O307" s="2023"/>
      <c r="P307" s="2023"/>
      <c r="Q307" s="2023"/>
      <c r="R307" s="2023"/>
      <c r="S307" s="2023"/>
      <c r="T307" s="2023"/>
      <c r="U307" s="2023"/>
      <c r="V307" s="2023"/>
      <c r="W307" s="2023"/>
      <c r="X307" s="2023"/>
      <c r="Y307" s="2023"/>
      <c r="Z307" s="2023"/>
      <c r="AA307" s="2023"/>
      <c r="AB307" s="2023"/>
      <c r="AC307" s="2023"/>
      <c r="AD307" s="2024"/>
      <c r="AE307" s="586"/>
      <c r="AF307" s="586"/>
      <c r="AG307" s="574"/>
      <c r="AH307" s="586"/>
      <c r="AI307" s="586"/>
      <c r="AJ307" s="585"/>
      <c r="AK307" s="585"/>
      <c r="AL307" s="585"/>
      <c r="AM307" s="585"/>
      <c r="AN307" s="73"/>
      <c r="AO307" s="14"/>
      <c r="AP307" s="30"/>
    </row>
    <row r="308" spans="1:42" hidden="1">
      <c r="A308" s="585"/>
      <c r="B308" s="586"/>
      <c r="C308" s="765"/>
      <c r="D308" s="765"/>
      <c r="E308" s="582"/>
      <c r="F308" s="2022"/>
      <c r="G308" s="2023"/>
      <c r="H308" s="2023"/>
      <c r="I308" s="2023"/>
      <c r="J308" s="2023"/>
      <c r="K308" s="2023"/>
      <c r="L308" s="2023"/>
      <c r="M308" s="2023"/>
      <c r="N308" s="2023"/>
      <c r="O308" s="2023"/>
      <c r="P308" s="2023"/>
      <c r="Q308" s="2023"/>
      <c r="R308" s="2023"/>
      <c r="S308" s="2023"/>
      <c r="T308" s="2023"/>
      <c r="U308" s="2023"/>
      <c r="V308" s="2023"/>
      <c r="W308" s="2023"/>
      <c r="X308" s="2023"/>
      <c r="Y308" s="2023"/>
      <c r="Z308" s="2023"/>
      <c r="AA308" s="2023"/>
      <c r="AB308" s="2023"/>
      <c r="AC308" s="2023"/>
      <c r="AD308" s="2024"/>
      <c r="AE308" s="586"/>
      <c r="AF308" s="586"/>
      <c r="AG308" s="574"/>
      <c r="AH308" s="586"/>
      <c r="AI308" s="586"/>
      <c r="AJ308" s="585"/>
      <c r="AK308" s="585"/>
      <c r="AL308" s="585"/>
      <c r="AM308" s="585"/>
      <c r="AN308" s="73"/>
      <c r="AO308" s="14"/>
      <c r="AP308" s="30"/>
    </row>
    <row r="309" spans="1:42" hidden="1">
      <c r="A309" s="585"/>
      <c r="B309" s="586"/>
      <c r="C309" s="765"/>
      <c r="D309" s="765"/>
      <c r="E309" s="582"/>
      <c r="F309" s="2025"/>
      <c r="G309" s="2026"/>
      <c r="H309" s="2026"/>
      <c r="I309" s="2026"/>
      <c r="J309" s="2026"/>
      <c r="K309" s="2026"/>
      <c r="L309" s="2026"/>
      <c r="M309" s="2026"/>
      <c r="N309" s="2026"/>
      <c r="O309" s="2026"/>
      <c r="P309" s="2026"/>
      <c r="Q309" s="2026"/>
      <c r="R309" s="2026"/>
      <c r="S309" s="2026"/>
      <c r="T309" s="2026"/>
      <c r="U309" s="2026"/>
      <c r="V309" s="2026"/>
      <c r="W309" s="2026"/>
      <c r="X309" s="2026"/>
      <c r="Y309" s="2026"/>
      <c r="Z309" s="2026"/>
      <c r="AA309" s="2026"/>
      <c r="AB309" s="2026"/>
      <c r="AC309" s="2026"/>
      <c r="AD309" s="2027"/>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8" t="s">
        <v>1328</v>
      </c>
      <c r="J313" s="2028"/>
      <c r="K313" s="2028"/>
      <c r="L313" s="2028"/>
      <c r="M313" s="2028"/>
      <c r="N313" s="2028"/>
      <c r="O313" s="2028"/>
      <c r="P313" s="2028"/>
      <c r="Q313" s="2028"/>
      <c r="R313" s="2028"/>
      <c r="S313" s="2028"/>
      <c r="T313" s="2028"/>
      <c r="U313" s="2028"/>
      <c r="V313" s="2028"/>
      <c r="W313" s="2028"/>
      <c r="X313" s="2028"/>
      <c r="Y313" s="2028"/>
      <c r="Z313" s="2028"/>
      <c r="AA313" s="2028"/>
      <c r="AB313" s="2028"/>
      <c r="AC313" s="2028"/>
      <c r="AD313" s="2029"/>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8"/>
      <c r="J314" s="2028"/>
      <c r="K314" s="2028"/>
      <c r="L314" s="2028"/>
      <c r="M314" s="2028"/>
      <c r="N314" s="2028"/>
      <c r="O314" s="2028"/>
      <c r="P314" s="2028"/>
      <c r="Q314" s="2028"/>
      <c r="R314" s="2028"/>
      <c r="S314" s="2028"/>
      <c r="T314" s="2028"/>
      <c r="U314" s="2028"/>
      <c r="V314" s="2028"/>
      <c r="W314" s="2028"/>
      <c r="X314" s="2028"/>
      <c r="Y314" s="2028"/>
      <c r="Z314" s="2028"/>
      <c r="AA314" s="2028"/>
      <c r="AB314" s="2028"/>
      <c r="AC314" s="2028"/>
      <c r="AD314" s="2029"/>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8"/>
      <c r="J315" s="2028"/>
      <c r="K315" s="2028"/>
      <c r="L315" s="2028"/>
      <c r="M315" s="2028"/>
      <c r="N315" s="2028"/>
      <c r="O315" s="2028"/>
      <c r="P315" s="2028"/>
      <c r="Q315" s="2028"/>
      <c r="R315" s="2028"/>
      <c r="S315" s="2028"/>
      <c r="T315" s="2028"/>
      <c r="U315" s="2028"/>
      <c r="V315" s="2028"/>
      <c r="W315" s="2028"/>
      <c r="X315" s="2028"/>
      <c r="Y315" s="2028"/>
      <c r="Z315" s="2028"/>
      <c r="AA315" s="2028"/>
      <c r="AB315" s="2028"/>
      <c r="AC315" s="2028"/>
      <c r="AD315" s="2029"/>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0"/>
      <c r="J316" s="2030"/>
      <c r="K316" s="2030"/>
      <c r="L316" s="2030"/>
      <c r="M316" s="2030"/>
      <c r="N316" s="2030"/>
      <c r="O316" s="2030"/>
      <c r="P316" s="2030"/>
      <c r="Q316" s="2030"/>
      <c r="R316" s="2030"/>
      <c r="S316" s="2030"/>
      <c r="T316" s="2030"/>
      <c r="U316" s="2030"/>
      <c r="V316" s="2030"/>
      <c r="W316" s="2030"/>
      <c r="X316" s="2030"/>
      <c r="Y316" s="2030"/>
      <c r="Z316" s="2030"/>
      <c r="AA316" s="2030"/>
      <c r="AB316" s="2030"/>
      <c r="AC316" s="2030"/>
      <c r="AD316" s="2031"/>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8" t="s">
        <v>1328</v>
      </c>
      <c r="J318" s="2028"/>
      <c r="K318" s="2028"/>
      <c r="L318" s="2028"/>
      <c r="M318" s="2028"/>
      <c r="N318" s="2028"/>
      <c r="O318" s="2028"/>
      <c r="P318" s="2028"/>
      <c r="Q318" s="2028"/>
      <c r="R318" s="2028"/>
      <c r="S318" s="2028"/>
      <c r="T318" s="2028"/>
      <c r="U318" s="2028"/>
      <c r="V318" s="2028"/>
      <c r="W318" s="2028"/>
      <c r="X318" s="2028"/>
      <c r="Y318" s="2028"/>
      <c r="Z318" s="2028"/>
      <c r="AA318" s="2028"/>
      <c r="AB318" s="2028"/>
      <c r="AC318" s="2028"/>
      <c r="AD318" s="2029"/>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8"/>
      <c r="J319" s="2028"/>
      <c r="K319" s="2028"/>
      <c r="L319" s="2028"/>
      <c r="M319" s="2028"/>
      <c r="N319" s="2028"/>
      <c r="O319" s="2028"/>
      <c r="P319" s="2028"/>
      <c r="Q319" s="2028"/>
      <c r="R319" s="2028"/>
      <c r="S319" s="2028"/>
      <c r="T319" s="2028"/>
      <c r="U319" s="2028"/>
      <c r="V319" s="2028"/>
      <c r="W319" s="2028"/>
      <c r="X319" s="2028"/>
      <c r="Y319" s="2028"/>
      <c r="Z319" s="2028"/>
      <c r="AA319" s="2028"/>
      <c r="AB319" s="2028"/>
      <c r="AC319" s="2028"/>
      <c r="AD319" s="2029"/>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0"/>
      <c r="J320" s="2030"/>
      <c r="K320" s="2030"/>
      <c r="L320" s="2030"/>
      <c r="M320" s="2030"/>
      <c r="N320" s="2030"/>
      <c r="O320" s="2030"/>
      <c r="P320" s="2030"/>
      <c r="Q320" s="2030"/>
      <c r="R320" s="2030"/>
      <c r="S320" s="2030"/>
      <c r="T320" s="2030"/>
      <c r="U320" s="2030"/>
      <c r="V320" s="2030"/>
      <c r="W320" s="2030"/>
      <c r="X320" s="2030"/>
      <c r="Y320" s="2030"/>
      <c r="Z320" s="2030"/>
      <c r="AA320" s="2030"/>
      <c r="AB320" s="2030"/>
      <c r="AC320" s="2030"/>
      <c r="AD320" s="2031"/>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33" t="s">
        <v>1565</v>
      </c>
      <c r="B322" s="1633"/>
      <c r="C322" s="1919" t="s">
        <v>601</v>
      </c>
      <c r="D322" s="1919"/>
      <c r="E322" s="582"/>
      <c r="F322" s="2016" t="s">
        <v>2426</v>
      </c>
      <c r="G322" s="2017"/>
      <c r="H322" s="2017"/>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8"/>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9"/>
      <c r="G323" s="2020"/>
      <c r="H323" s="2020"/>
      <c r="I323" s="2020"/>
      <c r="J323" s="2020"/>
      <c r="K323" s="2020"/>
      <c r="L323" s="2020"/>
      <c r="M323" s="2020"/>
      <c r="N323" s="2020"/>
      <c r="O323" s="2020"/>
      <c r="P323" s="2020"/>
      <c r="Q323" s="2020"/>
      <c r="R323" s="2020"/>
      <c r="S323" s="2020"/>
      <c r="T323" s="2020"/>
      <c r="U323" s="2020"/>
      <c r="V323" s="2020"/>
      <c r="W323" s="2020"/>
      <c r="X323" s="2020"/>
      <c r="Y323" s="2020"/>
      <c r="Z323" s="2020"/>
      <c r="AA323" s="2020"/>
      <c r="AB323" s="2020"/>
      <c r="AC323" s="2020"/>
      <c r="AD323" s="2021"/>
      <c r="AE323" s="586"/>
      <c r="AF323" s="586"/>
      <c r="AG323" s="586"/>
      <c r="AH323" s="586"/>
      <c r="AI323" s="586"/>
      <c r="AJ323" s="585"/>
      <c r="AK323" s="585"/>
      <c r="AL323" s="585"/>
      <c r="AM323" s="585"/>
      <c r="AN323" s="73"/>
      <c r="AO323" s="14"/>
    </row>
    <row r="324" spans="1:44" ht="15" hidden="1" customHeight="1">
      <c r="A324" s="585"/>
      <c r="B324" s="586"/>
      <c r="C324" s="586"/>
      <c r="D324" s="586"/>
      <c r="E324" s="586"/>
      <c r="F324" s="2019"/>
      <c r="G324" s="2020"/>
      <c r="H324" s="2020"/>
      <c r="I324" s="2020"/>
      <c r="J324" s="2020"/>
      <c r="K324" s="2020"/>
      <c r="L324" s="2020"/>
      <c r="M324" s="2020"/>
      <c r="N324" s="2020"/>
      <c r="O324" s="2020"/>
      <c r="P324" s="2020"/>
      <c r="Q324" s="2020"/>
      <c r="R324" s="2020"/>
      <c r="S324" s="2020"/>
      <c r="T324" s="2020"/>
      <c r="U324" s="2020"/>
      <c r="V324" s="2020"/>
      <c r="W324" s="2020"/>
      <c r="X324" s="2020"/>
      <c r="Y324" s="2020"/>
      <c r="Z324" s="2020"/>
      <c r="AA324" s="2020"/>
      <c r="AB324" s="2020"/>
      <c r="AC324" s="2020"/>
      <c r="AD324" s="2021"/>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4">
        <f>IF(NOT(OR(Application!M354="Yes",Application!M355="Yes")),0,AP284)</f>
        <v>10</v>
      </c>
      <c r="AL327" s="1905"/>
      <c r="AM327" s="190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10" t="s">
        <v>1487</v>
      </c>
      <c r="AF330" s="1910"/>
      <c r="AG330" s="1910"/>
      <c r="AH330" s="1910"/>
      <c r="AI330" s="1910"/>
      <c r="AJ330" s="1910"/>
      <c r="AK330" s="191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4" t="s">
        <v>1627</v>
      </c>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c r="AA332" s="1914"/>
      <c r="AB332" s="1914"/>
      <c r="AC332" s="1914"/>
      <c r="AD332" s="1914"/>
      <c r="AE332" s="1914"/>
      <c r="AF332" s="1914"/>
      <c r="AG332" s="1914"/>
      <c r="AH332" s="1914"/>
      <c r="AI332" s="1914"/>
      <c r="AJ332" s="1914"/>
      <c r="AK332" s="638"/>
      <c r="AL332" s="638"/>
      <c r="AM332" s="638"/>
      <c r="AN332" s="632"/>
    </row>
    <row r="333" spans="1:44" s="585" customFormat="1" ht="12.75" customHeight="1">
      <c r="A333" s="638"/>
      <c r="B333" s="646"/>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c r="AA333" s="1914"/>
      <c r="AB333" s="1914"/>
      <c r="AC333" s="1914"/>
      <c r="AD333" s="1914"/>
      <c r="AE333" s="1914"/>
      <c r="AF333" s="1914"/>
      <c r="AG333" s="1914"/>
      <c r="AH333" s="1914"/>
      <c r="AI333" s="1914"/>
      <c r="AJ333" s="1914"/>
      <c r="AK333" s="638"/>
      <c r="AL333" s="638"/>
      <c r="AM333" s="638"/>
      <c r="AN333" s="632"/>
    </row>
    <row r="334" spans="1:44" s="585" customFormat="1" ht="12.75" customHeight="1">
      <c r="A334" s="638"/>
      <c r="B334" s="646"/>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c r="AA334" s="1914"/>
      <c r="AB334" s="1914"/>
      <c r="AC334" s="1914"/>
      <c r="AD334" s="1914"/>
      <c r="AE334" s="1914"/>
      <c r="AF334" s="1914"/>
      <c r="AG334" s="1914"/>
      <c r="AH334" s="1914"/>
      <c r="AI334" s="1914"/>
      <c r="AJ334" s="1914"/>
      <c r="AK334" s="638"/>
      <c r="AL334" s="638"/>
      <c r="AM334" s="638"/>
      <c r="AN334" s="632"/>
      <c r="AQ334" s="605"/>
    </row>
    <row r="335" spans="1:44" s="585" customFormat="1" ht="12.75" customHeight="1">
      <c r="A335" s="638"/>
      <c r="B335" s="646"/>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c r="AA335" s="1914"/>
      <c r="AB335" s="1914"/>
      <c r="AC335" s="1914"/>
      <c r="AD335" s="1914"/>
      <c r="AE335" s="1914"/>
      <c r="AF335" s="1914"/>
      <c r="AG335" s="1914"/>
      <c r="AH335" s="1914"/>
      <c r="AI335" s="1914"/>
      <c r="AJ335" s="1914"/>
      <c r="AK335" s="638"/>
      <c r="AL335" s="638"/>
      <c r="AM335" s="638"/>
      <c r="AN335" s="632"/>
      <c r="AQ335" s="605"/>
    </row>
    <row r="336" spans="1:44" s="585" customFormat="1" ht="12.4" customHeight="1">
      <c r="A336" s="638"/>
      <c r="B336" s="646"/>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c r="AA336" s="1914"/>
      <c r="AB336" s="1914"/>
      <c r="AC336" s="1914"/>
      <c r="AD336" s="1914"/>
      <c r="AE336" s="1914"/>
      <c r="AF336" s="1914"/>
      <c r="AG336" s="1914"/>
      <c r="AH336" s="1914"/>
      <c r="AI336" s="1914"/>
      <c r="AJ336" s="1914"/>
      <c r="AK336" s="638"/>
      <c r="AL336" s="638"/>
      <c r="AM336" s="638"/>
      <c r="AN336" s="632"/>
      <c r="AQ336" s="605"/>
      <c r="AR336" s="605"/>
    </row>
    <row r="337" spans="1:46" s="585" customFormat="1" ht="45.75" customHeight="1">
      <c r="A337" s="638"/>
      <c r="B337" s="646"/>
      <c r="C337" s="1914" t="s">
        <v>2517</v>
      </c>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c r="AA337" s="1914"/>
      <c r="AB337" s="1914"/>
      <c r="AC337" s="1914"/>
      <c r="AD337" s="1914"/>
      <c r="AE337" s="1914"/>
      <c r="AF337" s="1914"/>
      <c r="AG337" s="1914"/>
      <c r="AH337" s="1914"/>
      <c r="AI337" s="1914"/>
      <c r="AJ337" s="1914"/>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4" t="s">
        <v>2128</v>
      </c>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c r="AA339" s="1914"/>
      <c r="AB339" s="1914"/>
      <c r="AC339" s="1914"/>
      <c r="AD339" s="1914"/>
      <c r="AE339" s="1914"/>
      <c r="AF339" s="1914"/>
      <c r="AG339" s="1914"/>
      <c r="AH339" s="1914"/>
      <c r="AI339" s="1914"/>
      <c r="AJ339" s="1914"/>
      <c r="AK339" s="638"/>
      <c r="AL339" s="638"/>
      <c r="AM339" s="638"/>
      <c r="AN339" s="632"/>
      <c r="AQ339" s="605"/>
      <c r="AR339" s="605"/>
    </row>
    <row r="340" spans="1:46" s="585" customFormat="1" ht="30" customHeight="1">
      <c r="A340" s="638"/>
      <c r="B340" s="646"/>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c r="AA340" s="1914"/>
      <c r="AB340" s="1914"/>
      <c r="AC340" s="1914"/>
      <c r="AD340" s="1914"/>
      <c r="AE340" s="1914"/>
      <c r="AF340" s="1914"/>
      <c r="AG340" s="1914"/>
      <c r="AH340" s="1914"/>
      <c r="AI340" s="1914"/>
      <c r="AJ340" s="1914"/>
      <c r="AK340" s="638"/>
      <c r="AL340" s="638"/>
      <c r="AM340" s="638"/>
      <c r="AN340" s="632"/>
      <c r="AR340" s="605"/>
    </row>
    <row r="341" spans="1:46" s="585" customFormat="1" ht="12.75" customHeight="1">
      <c r="A341" s="638"/>
      <c r="B341" s="646"/>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c r="AA341" s="1914"/>
      <c r="AB341" s="1914"/>
      <c r="AC341" s="1914"/>
      <c r="AD341" s="1914"/>
      <c r="AE341" s="1914"/>
      <c r="AF341" s="1914"/>
      <c r="AG341" s="1914"/>
      <c r="AH341" s="1914"/>
      <c r="AI341" s="1914"/>
      <c r="AJ341" s="1914"/>
      <c r="AK341" s="638"/>
      <c r="AL341" s="638"/>
      <c r="AM341" s="638"/>
      <c r="AN341" s="632"/>
      <c r="AR341" s="605"/>
    </row>
    <row r="342" spans="1:46" s="585" customFormat="1" ht="12.75" customHeight="1">
      <c r="A342" s="638"/>
      <c r="B342" s="646"/>
      <c r="C342" s="1914" t="s">
        <v>1628</v>
      </c>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c r="AA342" s="1914"/>
      <c r="AB342" s="1914"/>
      <c r="AC342" s="1914"/>
      <c r="AD342" s="1914"/>
      <c r="AE342" s="1914"/>
      <c r="AF342" s="1914"/>
      <c r="AG342" s="1914"/>
      <c r="AH342" s="1914"/>
      <c r="AI342" s="1914"/>
      <c r="AJ342" s="1914"/>
      <c r="AK342" s="638"/>
      <c r="AL342" s="638"/>
      <c r="AM342" s="638"/>
      <c r="AN342" s="632"/>
      <c r="AQ342" s="605"/>
      <c r="AR342" s="605"/>
    </row>
    <row r="343" spans="1:46" s="585" customFormat="1" ht="12.75" customHeight="1">
      <c r="A343" s="638"/>
      <c r="B343" s="646"/>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638"/>
      <c r="AL343" s="638"/>
      <c r="AM343" s="638"/>
      <c r="AN343" s="632"/>
      <c r="AQ343" s="605"/>
      <c r="AR343" s="605"/>
    </row>
    <row r="344" spans="1:46" s="585" customFormat="1" ht="13.15" customHeight="1">
      <c r="A344" s="638"/>
      <c r="B344" s="646"/>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638"/>
      <c r="AL344" s="638"/>
      <c r="AM344" s="638"/>
      <c r="AN344" s="632"/>
      <c r="AQ344" s="605"/>
      <c r="AR344" s="605"/>
    </row>
    <row r="345" spans="1:46" s="585" customFormat="1" ht="12.75" customHeight="1">
      <c r="A345" s="638"/>
      <c r="B345" s="646"/>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638"/>
      <c r="AL345" s="638"/>
      <c r="AM345" s="638"/>
      <c r="AN345" s="632"/>
      <c r="AO345" s="729"/>
      <c r="AP345" s="729"/>
      <c r="AQ345" s="605"/>
    </row>
    <row r="346" spans="1:46" s="585" customFormat="1" ht="11.85" customHeight="1">
      <c r="A346" s="638"/>
      <c r="B346" s="646"/>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638"/>
      <c r="AL346" s="638"/>
      <c r="AM346" s="638"/>
      <c r="AN346" s="632"/>
      <c r="AO346" s="730" t="s">
        <v>113</v>
      </c>
      <c r="AP346" s="731">
        <f>IF(C370="Yes",5,0)</f>
        <v>0</v>
      </c>
      <c r="AS346" s="574" t="s">
        <v>1629</v>
      </c>
    </row>
    <row r="347" spans="1:46" s="585" customFormat="1" ht="12.75" customHeight="1">
      <c r="A347" s="638"/>
      <c r="B347" s="646"/>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638"/>
      <c r="AL347" s="638"/>
      <c r="AM347" s="638"/>
      <c r="AN347" s="632"/>
      <c r="AO347" s="730" t="s">
        <v>114</v>
      </c>
      <c r="AP347" s="731">
        <f>IF(C378="Yes",5,0)</f>
        <v>0</v>
      </c>
      <c r="AS347" s="1879">
        <f>IF(Application!D210="Non-Targeted",(SUM(AQ355+AQ364)),AS351)</f>
        <v>10</v>
      </c>
      <c r="AT347" s="1879"/>
    </row>
    <row r="348" spans="1:46" s="585" customFormat="1" ht="12.75" customHeight="1">
      <c r="A348" s="638"/>
      <c r="B348" s="646"/>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c r="AA348" s="1914"/>
      <c r="AB348" s="1914"/>
      <c r="AC348" s="1914"/>
      <c r="AD348" s="1914"/>
      <c r="AE348" s="1914"/>
      <c r="AF348" s="1914"/>
      <c r="AG348" s="1914"/>
      <c r="AH348" s="1914"/>
      <c r="AI348" s="1914"/>
      <c r="AJ348" s="1914"/>
      <c r="AK348" s="638"/>
      <c r="AL348" s="638"/>
      <c r="AM348" s="638"/>
      <c r="AN348" s="632"/>
      <c r="AO348" s="730" t="s">
        <v>120</v>
      </c>
      <c r="AP348" s="731">
        <f>IF(C386="Yes",7,0)</f>
        <v>0</v>
      </c>
      <c r="AS348" s="574" t="s">
        <v>1630</v>
      </c>
    </row>
    <row r="349" spans="1:46" s="585" customFormat="1" ht="12.75" customHeight="1">
      <c r="A349" s="638"/>
      <c r="B349" s="646"/>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c r="AA349" s="1914"/>
      <c r="AB349" s="1914"/>
      <c r="AC349" s="1914"/>
      <c r="AD349" s="1914"/>
      <c r="AE349" s="1914"/>
      <c r="AF349" s="1914"/>
      <c r="AG349" s="1914"/>
      <c r="AH349" s="1914"/>
      <c r="AI349" s="1914"/>
      <c r="AJ349" s="1914"/>
      <c r="AK349" s="638"/>
      <c r="AL349" s="638"/>
      <c r="AM349" s="638"/>
      <c r="AN349" s="632"/>
      <c r="AO349" s="632"/>
      <c r="AP349" s="731">
        <f>IF(C388="Yes",5,0)</f>
        <v>5</v>
      </c>
      <c r="AS349" s="1879">
        <f>IF(AND(AQ355&gt;0,AQ364&gt;0),(AQ355+AQ364)/2,0)</f>
        <v>0</v>
      </c>
      <c r="AT349" s="1879"/>
    </row>
    <row r="350" spans="1:46" s="585" customFormat="1" ht="12.75" customHeight="1">
      <c r="A350" s="638"/>
      <c r="B350" s="646"/>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638"/>
      <c r="AL350" s="638"/>
      <c r="AM350" s="638"/>
      <c r="AN350" s="632"/>
      <c r="AO350" s="730" t="s">
        <v>591</v>
      </c>
      <c r="AP350" s="731">
        <f>IF(C396="Yes",5,0)</f>
        <v>0</v>
      </c>
      <c r="AS350" s="574" t="s">
        <v>2145</v>
      </c>
    </row>
    <row r="351" spans="1:46" s="585" customFormat="1" ht="12.75" customHeight="1">
      <c r="A351" s="638"/>
      <c r="B351" s="646"/>
      <c r="C351" s="2008" t="s">
        <v>1631</v>
      </c>
      <c r="D351" s="2008"/>
      <c r="E351" s="2008"/>
      <c r="F351" s="2008"/>
      <c r="G351" s="2008"/>
      <c r="H351" s="2008"/>
      <c r="I351" s="2008"/>
      <c r="J351" s="2008"/>
      <c r="K351" s="2008"/>
      <c r="L351" s="2008"/>
      <c r="M351" s="2008"/>
      <c r="N351" s="2008"/>
      <c r="O351" s="2008"/>
      <c r="P351" s="2008"/>
      <c r="Q351" s="2008"/>
      <c r="R351" s="2008"/>
      <c r="S351" s="2008"/>
      <c r="T351" s="2008"/>
      <c r="U351" s="2008"/>
      <c r="V351" s="2008"/>
      <c r="W351" s="2008"/>
      <c r="X351" s="2008"/>
      <c r="Y351" s="2008"/>
      <c r="Z351" s="2008"/>
      <c r="AA351" s="2008"/>
      <c r="AB351" s="2008"/>
      <c r="AC351" s="2008"/>
      <c r="AD351" s="2008"/>
      <c r="AE351" s="2008"/>
      <c r="AF351" s="2008"/>
      <c r="AG351" s="2008"/>
      <c r="AH351" s="2008"/>
      <c r="AI351" s="2008"/>
      <c r="AJ351" s="2008"/>
      <c r="AK351" s="638"/>
      <c r="AL351" s="638"/>
      <c r="AM351" s="638"/>
      <c r="AN351" s="632"/>
      <c r="AO351" s="632"/>
      <c r="AP351" s="731">
        <f>IF(C398="Yes",3,0)</f>
        <v>0</v>
      </c>
      <c r="AS351" s="1879">
        <f>IF(AQ355=0,AQ364,AQ355)</f>
        <v>10</v>
      </c>
      <c r="AT351" s="1879"/>
    </row>
    <row r="352" spans="1:46" s="585" customFormat="1" ht="12.75" customHeight="1">
      <c r="A352" s="638"/>
      <c r="B352" s="646"/>
      <c r="C352" s="2008"/>
      <c r="D352" s="2008"/>
      <c r="E352" s="2008"/>
      <c r="F352" s="2008"/>
      <c r="G352" s="2008"/>
      <c r="H352" s="2008"/>
      <c r="I352" s="2008"/>
      <c r="J352" s="2008"/>
      <c r="K352" s="2008"/>
      <c r="L352" s="2008"/>
      <c r="M352" s="2008"/>
      <c r="N352" s="2008"/>
      <c r="O352" s="2008"/>
      <c r="P352" s="2008"/>
      <c r="Q352" s="2008"/>
      <c r="R352" s="2008"/>
      <c r="S352" s="2008"/>
      <c r="T352" s="2008"/>
      <c r="U352" s="2008"/>
      <c r="V352" s="2008"/>
      <c r="W352" s="2008"/>
      <c r="X352" s="2008"/>
      <c r="Y352" s="2008"/>
      <c r="Z352" s="2008"/>
      <c r="AA352" s="2008"/>
      <c r="AB352" s="2008"/>
      <c r="AC352" s="2008"/>
      <c r="AD352" s="2008"/>
      <c r="AE352" s="2008"/>
      <c r="AF352" s="2008"/>
      <c r="AG352" s="2008"/>
      <c r="AH352" s="2008"/>
      <c r="AI352" s="2008"/>
      <c r="AJ352" s="2008"/>
      <c r="AK352" s="638"/>
      <c r="AL352" s="638"/>
      <c r="AM352" s="638"/>
      <c r="AN352" s="632"/>
      <c r="AO352" s="730" t="s">
        <v>788</v>
      </c>
      <c r="AP352" s="731">
        <f>IF(C401="Yes",5,0)</f>
        <v>5</v>
      </c>
    </row>
    <row r="353" spans="1:81" s="585" customFormat="1" ht="12.75" customHeight="1">
      <c r="A353" s="638"/>
      <c r="B353" s="646"/>
      <c r="C353" s="2008"/>
      <c r="D353" s="2008"/>
      <c r="E353" s="2008"/>
      <c r="F353" s="2008"/>
      <c r="G353" s="2008"/>
      <c r="H353" s="2008"/>
      <c r="I353" s="2008"/>
      <c r="J353" s="2008"/>
      <c r="K353" s="2008"/>
      <c r="L353" s="2008"/>
      <c r="M353" s="2008"/>
      <c r="N353" s="2008"/>
      <c r="O353" s="2008"/>
      <c r="P353" s="2008"/>
      <c r="Q353" s="2008"/>
      <c r="R353" s="2008"/>
      <c r="S353" s="2008"/>
      <c r="T353" s="2008"/>
      <c r="U353" s="2008"/>
      <c r="V353" s="2008"/>
      <c r="W353" s="2008"/>
      <c r="X353" s="2008"/>
      <c r="Y353" s="2008"/>
      <c r="Z353" s="2008"/>
      <c r="AA353" s="2008"/>
      <c r="AB353" s="2008"/>
      <c r="AC353" s="2008"/>
      <c r="AD353" s="2008"/>
      <c r="AE353" s="2008"/>
      <c r="AF353" s="2008"/>
      <c r="AG353" s="2008"/>
      <c r="AH353" s="2008"/>
      <c r="AI353" s="2008"/>
      <c r="AJ353" s="2008"/>
      <c r="AK353" s="638"/>
      <c r="AL353" s="638"/>
      <c r="AM353" s="638"/>
      <c r="AN353" s="632"/>
      <c r="AO353" s="730" t="s">
        <v>594</v>
      </c>
      <c r="AP353" s="731">
        <f>IF(C410="Yes",5,0)</f>
        <v>0</v>
      </c>
    </row>
    <row r="354" spans="1:81" s="585" customFormat="1" ht="11.85" customHeight="1">
      <c r="A354" s="638"/>
      <c r="B354" s="646"/>
      <c r="C354" s="2008"/>
      <c r="D354" s="2008"/>
      <c r="E354" s="2008"/>
      <c r="F354" s="2008"/>
      <c r="G354" s="2008"/>
      <c r="H354" s="2008"/>
      <c r="I354" s="2008"/>
      <c r="J354" s="2008"/>
      <c r="K354" s="2008"/>
      <c r="L354" s="2008"/>
      <c r="M354" s="2008"/>
      <c r="N354" s="2008"/>
      <c r="O354" s="2008"/>
      <c r="P354" s="2008"/>
      <c r="Q354" s="2008"/>
      <c r="R354" s="2008"/>
      <c r="S354" s="2008"/>
      <c r="T354" s="2008"/>
      <c r="U354" s="2008"/>
      <c r="V354" s="2008"/>
      <c r="W354" s="2008"/>
      <c r="X354" s="2008"/>
      <c r="Y354" s="2008"/>
      <c r="Z354" s="2008"/>
      <c r="AA354" s="2008"/>
      <c r="AB354" s="2008"/>
      <c r="AC354" s="2008"/>
      <c r="AD354" s="2008"/>
      <c r="AE354" s="2008"/>
      <c r="AF354" s="2008"/>
      <c r="AG354" s="2008"/>
      <c r="AH354" s="2008"/>
      <c r="AI354" s="2008"/>
      <c r="AJ354" s="2008"/>
      <c r="AK354" s="638"/>
      <c r="AL354" s="638"/>
      <c r="AM354" s="638"/>
      <c r="AN354" s="632"/>
      <c r="AO354" s="732"/>
      <c r="AP354" s="733">
        <f>IF(C412="Yes",3,0)</f>
        <v>0</v>
      </c>
    </row>
    <row r="355" spans="1:81" s="585" customFormat="1" ht="12.4" customHeight="1">
      <c r="A355" s="638"/>
      <c r="B355" s="646"/>
      <c r="C355" s="2008"/>
      <c r="D355" s="2008"/>
      <c r="E355" s="2008"/>
      <c r="F355" s="2008"/>
      <c r="G355" s="2008"/>
      <c r="H355" s="2008"/>
      <c r="I355" s="2008"/>
      <c r="J355" s="2008"/>
      <c r="K355" s="2008"/>
      <c r="L355" s="2008"/>
      <c r="M355" s="2008"/>
      <c r="N355" s="2008"/>
      <c r="O355" s="2008"/>
      <c r="P355" s="2008"/>
      <c r="Q355" s="2008"/>
      <c r="R355" s="2008"/>
      <c r="S355" s="2008"/>
      <c r="T355" s="2008"/>
      <c r="U355" s="2008"/>
      <c r="V355" s="2008"/>
      <c r="W355" s="2008"/>
      <c r="X355" s="2008"/>
      <c r="Y355" s="2008"/>
      <c r="Z355" s="2008"/>
      <c r="AA355" s="2008"/>
      <c r="AB355" s="2008"/>
      <c r="AC355" s="2008"/>
      <c r="AD355" s="2008"/>
      <c r="AE355" s="2008"/>
      <c r="AF355" s="2008"/>
      <c r="AG355" s="2008"/>
      <c r="AH355" s="2008"/>
      <c r="AI355" s="2008"/>
      <c r="AJ355" s="2008"/>
      <c r="AK355" s="638"/>
      <c r="AL355" s="638"/>
      <c r="AM355" s="638"/>
      <c r="AN355" s="632"/>
      <c r="AO355" s="734" t="s">
        <v>229</v>
      </c>
      <c r="AP355" s="735">
        <f>SUM(AP346:AP354)</f>
        <v>10</v>
      </c>
      <c r="AQ355" s="1917">
        <f>IF(AP355&gt;0,AP355,0)</f>
        <v>10</v>
      </c>
      <c r="AR355" s="1917"/>
    </row>
    <row r="356" spans="1:81" s="585" customFormat="1" ht="12.75" customHeight="1">
      <c r="A356" s="638"/>
      <c r="B356" s="646"/>
      <c r="C356" s="2008"/>
      <c r="D356" s="2008"/>
      <c r="E356" s="2008"/>
      <c r="F356" s="2008"/>
      <c r="G356" s="2008"/>
      <c r="H356" s="2008"/>
      <c r="I356" s="2008"/>
      <c r="J356" s="2008"/>
      <c r="K356" s="2008"/>
      <c r="L356" s="2008"/>
      <c r="M356" s="2008"/>
      <c r="N356" s="2008"/>
      <c r="O356" s="2008"/>
      <c r="P356" s="2008"/>
      <c r="Q356" s="2008"/>
      <c r="R356" s="2008"/>
      <c r="S356" s="2008"/>
      <c r="T356" s="2008"/>
      <c r="U356" s="2008"/>
      <c r="V356" s="2008"/>
      <c r="W356" s="2008"/>
      <c r="X356" s="2008"/>
      <c r="Y356" s="2008"/>
      <c r="Z356" s="2008"/>
      <c r="AA356" s="2008"/>
      <c r="AB356" s="2008"/>
      <c r="AC356" s="2008"/>
      <c r="AD356" s="2008"/>
      <c r="AE356" s="2008"/>
      <c r="AF356" s="2008"/>
      <c r="AG356" s="2008"/>
      <c r="AH356" s="2008"/>
      <c r="AI356" s="2008"/>
      <c r="AJ356" s="2008"/>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4" t="s">
        <v>1632</v>
      </c>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c r="AA358" s="1914"/>
      <c r="AB358" s="1914"/>
      <c r="AC358" s="1914"/>
      <c r="AD358" s="1914"/>
      <c r="AE358" s="1914"/>
      <c r="AF358" s="1914"/>
      <c r="AG358" s="1914"/>
      <c r="AH358" s="1914"/>
      <c r="AI358" s="1914"/>
      <c r="AJ358" s="1914"/>
      <c r="AK358" s="638"/>
      <c r="AL358" s="638"/>
      <c r="AM358" s="638"/>
      <c r="AN358" s="632"/>
      <c r="AO358" s="730" t="s">
        <v>466</v>
      </c>
      <c r="AP358" s="731">
        <f>IF(C431="Yes",5,0)</f>
        <v>0</v>
      </c>
    </row>
    <row r="359" spans="1:81" s="585" customFormat="1" ht="12.75" customHeight="1">
      <c r="A359" s="638"/>
      <c r="B359" s="646"/>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c r="AA359" s="1914"/>
      <c r="AB359" s="1914"/>
      <c r="AC359" s="1914"/>
      <c r="AD359" s="1914"/>
      <c r="AE359" s="1914"/>
      <c r="AF359" s="1914"/>
      <c r="AG359" s="1914"/>
      <c r="AH359" s="1914"/>
      <c r="AI359" s="1914"/>
      <c r="AJ359" s="1914"/>
      <c r="AK359" s="638"/>
      <c r="AL359" s="638"/>
      <c r="AM359" s="638"/>
      <c r="AN359" s="632"/>
      <c r="AO359" s="730" t="s">
        <v>471</v>
      </c>
      <c r="AP359" s="731">
        <f>IF(C438="Yes",5,0)</f>
        <v>0</v>
      </c>
    </row>
    <row r="360" spans="1:81" s="585" customFormat="1" ht="68.099999999999994" customHeight="1">
      <c r="A360" s="638"/>
      <c r="B360" s="646"/>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c r="AA360" s="1914"/>
      <c r="AB360" s="1914"/>
      <c r="AC360" s="1914"/>
      <c r="AD360" s="1914"/>
      <c r="AE360" s="1914"/>
      <c r="AF360" s="1914"/>
      <c r="AG360" s="1914"/>
      <c r="AH360" s="1914"/>
      <c r="AI360" s="1914"/>
      <c r="AJ360" s="1914"/>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5">
        <f>Application!CS649-U363</f>
        <v>192</v>
      </c>
      <c r="V362" s="1915"/>
      <c r="W362" s="1915"/>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6">
        <f>Application!AG742</f>
        <v>0</v>
      </c>
      <c r="V363" s="1916"/>
      <c r="W363" s="1916"/>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7">
        <f>IF(AP364&gt;0,AP364,0)</f>
        <v>0</v>
      </c>
      <c r="AR364" s="1917"/>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8" t="s">
        <v>1637</v>
      </c>
      <c r="G366" s="1908"/>
      <c r="H366" s="1908"/>
      <c r="I366" s="1908"/>
      <c r="J366" s="1908"/>
      <c r="K366" s="1908"/>
      <c r="L366" s="1908"/>
      <c r="M366" s="1908"/>
      <c r="N366" s="1908"/>
      <c r="O366" s="1908"/>
      <c r="P366" s="1908"/>
      <c r="Q366" s="1908"/>
      <c r="R366" s="1908"/>
      <c r="S366" s="1908"/>
      <c r="T366" s="1908"/>
      <c r="U366" s="1908"/>
      <c r="V366" s="1908"/>
      <c r="W366" s="1908"/>
      <c r="X366" s="1908"/>
      <c r="Y366" s="1908"/>
      <c r="Z366" s="1908"/>
      <c r="AA366" s="1908"/>
      <c r="AB366" s="1908"/>
      <c r="AC366" s="1908"/>
      <c r="AD366" s="1908"/>
      <c r="AE366" s="1908"/>
      <c r="AF366" s="190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9"/>
      <c r="G367" s="1909"/>
      <c r="H367" s="1909"/>
      <c r="I367" s="1909"/>
      <c r="J367" s="1909"/>
      <c r="K367" s="1909"/>
      <c r="L367" s="1909"/>
      <c r="M367" s="1909"/>
      <c r="N367" s="1909"/>
      <c r="O367" s="1909"/>
      <c r="P367" s="1909"/>
      <c r="Q367" s="1909"/>
      <c r="R367" s="1909"/>
      <c r="S367" s="1909"/>
      <c r="T367" s="1909"/>
      <c r="U367" s="1909"/>
      <c r="V367" s="1909"/>
      <c r="W367" s="1909"/>
      <c r="X367" s="1909"/>
      <c r="Y367" s="1909"/>
      <c r="Z367" s="1909"/>
      <c r="AA367" s="1909"/>
      <c r="AB367" s="1909"/>
      <c r="AC367" s="1909"/>
      <c r="AD367" s="1909"/>
      <c r="AE367" s="1909"/>
      <c r="AF367" s="190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9"/>
      <c r="G368" s="1909"/>
      <c r="H368" s="1909"/>
      <c r="I368" s="1909"/>
      <c r="J368" s="1909"/>
      <c r="K368" s="1909"/>
      <c r="L368" s="1909"/>
      <c r="M368" s="1909"/>
      <c r="N368" s="1909"/>
      <c r="O368" s="1909"/>
      <c r="P368" s="1909"/>
      <c r="Q368" s="1909"/>
      <c r="R368" s="1909"/>
      <c r="S368" s="1909"/>
      <c r="T368" s="1909"/>
      <c r="U368" s="1909"/>
      <c r="V368" s="1909"/>
      <c r="W368" s="1909"/>
      <c r="X368" s="1909"/>
      <c r="Y368" s="1909"/>
      <c r="Z368" s="1909"/>
      <c r="AA368" s="1909"/>
      <c r="AB368" s="1909"/>
      <c r="AC368" s="1909"/>
      <c r="AD368" s="1909"/>
      <c r="AE368" s="1909"/>
      <c r="AF368" s="190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9"/>
      <c r="G369" s="1909"/>
      <c r="H369" s="1909"/>
      <c r="I369" s="1909"/>
      <c r="J369" s="1909"/>
      <c r="K369" s="1909"/>
      <c r="L369" s="1909"/>
      <c r="M369" s="1909"/>
      <c r="N369" s="1909"/>
      <c r="O369" s="1909"/>
      <c r="P369" s="1909"/>
      <c r="Q369" s="1909"/>
      <c r="R369" s="1909"/>
      <c r="S369" s="1909"/>
      <c r="T369" s="1909"/>
      <c r="U369" s="1909"/>
      <c r="V369" s="1909"/>
      <c r="W369" s="1909"/>
      <c r="X369" s="1909"/>
      <c r="Y369" s="1909"/>
      <c r="Z369" s="1909"/>
      <c r="AA369" s="1909"/>
      <c r="AB369" s="1909"/>
      <c r="AC369" s="1909"/>
      <c r="AD369" s="1909"/>
      <c r="AE369" s="1909"/>
      <c r="AF369" s="190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8" t="s">
        <v>601</v>
      </c>
      <c r="D370" s="1919"/>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7" t="s">
        <v>1639</v>
      </c>
      <c r="AG370" s="1907"/>
      <c r="AH370" s="1907"/>
      <c r="AI370" s="1907"/>
      <c r="AJ370" s="1907"/>
      <c r="AK370" s="1907"/>
      <c r="AL370" s="192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8" t="s">
        <v>1640</v>
      </c>
      <c r="G373" s="1908"/>
      <c r="H373" s="1908"/>
      <c r="I373" s="1908"/>
      <c r="J373" s="1908"/>
      <c r="K373" s="1908"/>
      <c r="L373" s="1908"/>
      <c r="M373" s="1908"/>
      <c r="N373" s="1908"/>
      <c r="O373" s="1908"/>
      <c r="P373" s="1908"/>
      <c r="Q373" s="1908"/>
      <c r="R373" s="1908"/>
      <c r="S373" s="1908"/>
      <c r="T373" s="1908"/>
      <c r="U373" s="1908"/>
      <c r="V373" s="1908"/>
      <c r="W373" s="1908"/>
      <c r="X373" s="1908"/>
      <c r="Y373" s="1908"/>
      <c r="Z373" s="1908"/>
      <c r="AA373" s="1908"/>
      <c r="AB373" s="1908"/>
      <c r="AC373" s="1908"/>
      <c r="AD373" s="1908"/>
      <c r="AE373" s="1908"/>
      <c r="AF373" s="190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9"/>
      <c r="G374" s="1909"/>
      <c r="H374" s="1909"/>
      <c r="I374" s="1909"/>
      <c r="J374" s="1909"/>
      <c r="K374" s="1909"/>
      <c r="L374" s="1909"/>
      <c r="M374" s="1909"/>
      <c r="N374" s="1909"/>
      <c r="O374" s="1909"/>
      <c r="P374" s="1909"/>
      <c r="Q374" s="1909"/>
      <c r="R374" s="1909"/>
      <c r="S374" s="1909"/>
      <c r="T374" s="1909"/>
      <c r="U374" s="1909"/>
      <c r="V374" s="1909"/>
      <c r="W374" s="1909"/>
      <c r="X374" s="1909"/>
      <c r="Y374" s="1909"/>
      <c r="Z374" s="1909"/>
      <c r="AA374" s="1909"/>
      <c r="AB374" s="1909"/>
      <c r="AC374" s="1909"/>
      <c r="AD374" s="1909"/>
      <c r="AE374" s="1909"/>
      <c r="AF374" s="190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9"/>
      <c r="G375" s="1909"/>
      <c r="H375" s="1909"/>
      <c r="I375" s="1909"/>
      <c r="J375" s="1909"/>
      <c r="K375" s="1909"/>
      <c r="L375" s="1909"/>
      <c r="M375" s="1909"/>
      <c r="N375" s="1909"/>
      <c r="O375" s="1909"/>
      <c r="P375" s="1909"/>
      <c r="Q375" s="1909"/>
      <c r="R375" s="1909"/>
      <c r="S375" s="1909"/>
      <c r="T375" s="1909"/>
      <c r="U375" s="1909"/>
      <c r="V375" s="1909"/>
      <c r="W375" s="1909"/>
      <c r="X375" s="1909"/>
      <c r="Y375" s="1909"/>
      <c r="Z375" s="1909"/>
      <c r="AA375" s="1909"/>
      <c r="AB375" s="1909"/>
      <c r="AC375" s="1909"/>
      <c r="AD375" s="1909"/>
      <c r="AE375" s="1909"/>
      <c r="AF375" s="190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9"/>
      <c r="G376" s="1909"/>
      <c r="H376" s="1909"/>
      <c r="I376" s="1909"/>
      <c r="J376" s="1909"/>
      <c r="K376" s="1909"/>
      <c r="L376" s="1909"/>
      <c r="M376" s="1909"/>
      <c r="N376" s="1909"/>
      <c r="O376" s="1909"/>
      <c r="P376" s="1909"/>
      <c r="Q376" s="1909"/>
      <c r="R376" s="1909"/>
      <c r="S376" s="1909"/>
      <c r="T376" s="1909"/>
      <c r="U376" s="1909"/>
      <c r="V376" s="1909"/>
      <c r="W376" s="1909"/>
      <c r="X376" s="1909"/>
      <c r="Y376" s="1909"/>
      <c r="Z376" s="1909"/>
      <c r="AA376" s="1909"/>
      <c r="AB376" s="1909"/>
      <c r="AC376" s="1909"/>
      <c r="AD376" s="1909"/>
      <c r="AE376" s="1909"/>
      <c r="AF376" s="190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9"/>
      <c r="G377" s="1909"/>
      <c r="H377" s="1909"/>
      <c r="I377" s="1909"/>
      <c r="J377" s="1909"/>
      <c r="K377" s="1909"/>
      <c r="L377" s="1909"/>
      <c r="M377" s="1909"/>
      <c r="N377" s="1909"/>
      <c r="O377" s="1909"/>
      <c r="P377" s="1909"/>
      <c r="Q377" s="1909"/>
      <c r="R377" s="1909"/>
      <c r="S377" s="1909"/>
      <c r="T377" s="1909"/>
      <c r="U377" s="1909"/>
      <c r="V377" s="1909"/>
      <c r="W377" s="1909"/>
      <c r="X377" s="1909"/>
      <c r="Y377" s="1909"/>
      <c r="Z377" s="1909"/>
      <c r="AA377" s="1909"/>
      <c r="AB377" s="1909"/>
      <c r="AC377" s="1909"/>
      <c r="AD377" s="1909"/>
      <c r="AE377" s="1909"/>
      <c r="AF377" s="1909"/>
      <c r="AL377" s="767"/>
      <c r="AN377" s="632"/>
      <c r="BS377" s="30"/>
      <c r="BT377" s="30"/>
      <c r="BU377" s="14"/>
      <c r="BV377" s="14"/>
      <c r="BW377" s="14"/>
      <c r="BX377" s="14"/>
      <c r="BY377" s="14"/>
      <c r="BZ377" s="14"/>
      <c r="CA377" s="14"/>
      <c r="CB377" s="14"/>
      <c r="CC377" s="14"/>
    </row>
    <row r="378" spans="1:81" s="585" customFormat="1" ht="12.75" customHeight="1">
      <c r="A378" s="571"/>
      <c r="B378" s="14"/>
      <c r="C378" s="1918" t="s">
        <v>601</v>
      </c>
      <c r="D378" s="1919"/>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7" t="s">
        <v>1639</v>
      </c>
      <c r="AG378" s="1907"/>
      <c r="AH378" s="1907"/>
      <c r="AI378" s="1907"/>
      <c r="AJ378" s="1907"/>
      <c r="AK378" s="1907"/>
      <c r="AL378" s="192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8" t="s">
        <v>1642</v>
      </c>
      <c r="G381" s="1908"/>
      <c r="H381" s="1908"/>
      <c r="I381" s="1908"/>
      <c r="J381" s="1908"/>
      <c r="K381" s="1908"/>
      <c r="L381" s="1908"/>
      <c r="M381" s="1908"/>
      <c r="N381" s="1908"/>
      <c r="O381" s="1908"/>
      <c r="P381" s="1908"/>
      <c r="Q381" s="1908"/>
      <c r="R381" s="1908"/>
      <c r="S381" s="1908"/>
      <c r="T381" s="1908"/>
      <c r="U381" s="1908"/>
      <c r="V381" s="1908"/>
      <c r="W381" s="1908"/>
      <c r="X381" s="1908"/>
      <c r="Y381" s="1908"/>
      <c r="Z381" s="1908"/>
      <c r="AA381" s="1908"/>
      <c r="AB381" s="1908"/>
      <c r="AC381" s="1908"/>
      <c r="AD381" s="1908"/>
      <c r="AE381" s="1908"/>
      <c r="AF381" s="190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9"/>
      <c r="G382" s="1909"/>
      <c r="H382" s="1909"/>
      <c r="I382" s="1909"/>
      <c r="J382" s="1909"/>
      <c r="K382" s="1909"/>
      <c r="L382" s="1909"/>
      <c r="M382" s="1909"/>
      <c r="N382" s="1909"/>
      <c r="O382" s="1909"/>
      <c r="P382" s="1909"/>
      <c r="Q382" s="1909"/>
      <c r="R382" s="1909"/>
      <c r="S382" s="1909"/>
      <c r="T382" s="1909"/>
      <c r="U382" s="1909"/>
      <c r="V382" s="1909"/>
      <c r="W382" s="1909"/>
      <c r="X382" s="1909"/>
      <c r="Y382" s="1909"/>
      <c r="Z382" s="1909"/>
      <c r="AA382" s="1909"/>
      <c r="AB382" s="1909"/>
      <c r="AC382" s="1909"/>
      <c r="AD382" s="1909"/>
      <c r="AE382" s="1909"/>
      <c r="AF382" s="190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9"/>
      <c r="G383" s="1909"/>
      <c r="H383" s="1909"/>
      <c r="I383" s="1909"/>
      <c r="J383" s="1909"/>
      <c r="K383" s="1909"/>
      <c r="L383" s="1909"/>
      <c r="M383" s="1909"/>
      <c r="N383" s="1909"/>
      <c r="O383" s="1909"/>
      <c r="P383" s="1909"/>
      <c r="Q383" s="1909"/>
      <c r="R383" s="1909"/>
      <c r="S383" s="1909"/>
      <c r="T383" s="1909"/>
      <c r="U383" s="1909"/>
      <c r="V383" s="1909"/>
      <c r="W383" s="1909"/>
      <c r="X383" s="1909"/>
      <c r="Y383" s="1909"/>
      <c r="Z383" s="1909"/>
      <c r="AA383" s="1909"/>
      <c r="AB383" s="1909"/>
      <c r="AC383" s="1909"/>
      <c r="AD383" s="1909"/>
      <c r="AE383" s="1909"/>
      <c r="AF383" s="190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9"/>
      <c r="G384" s="1909"/>
      <c r="H384" s="1909"/>
      <c r="I384" s="1909"/>
      <c r="J384" s="1909"/>
      <c r="K384" s="1909"/>
      <c r="L384" s="1909"/>
      <c r="M384" s="1909"/>
      <c r="N384" s="1909"/>
      <c r="O384" s="1909"/>
      <c r="P384" s="1909"/>
      <c r="Q384" s="1909"/>
      <c r="R384" s="1909"/>
      <c r="S384" s="1909"/>
      <c r="T384" s="1909"/>
      <c r="U384" s="1909"/>
      <c r="V384" s="1909"/>
      <c r="W384" s="1909"/>
      <c r="X384" s="1909"/>
      <c r="Y384" s="1909"/>
      <c r="Z384" s="1909"/>
      <c r="AA384" s="1909"/>
      <c r="AB384" s="1909"/>
      <c r="AC384" s="1909"/>
      <c r="AD384" s="1909"/>
      <c r="AE384" s="1909"/>
      <c r="AF384" s="190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9"/>
      <c r="G385" s="1909"/>
      <c r="H385" s="1909"/>
      <c r="I385" s="1909"/>
      <c r="J385" s="1909"/>
      <c r="K385" s="1909"/>
      <c r="L385" s="1909"/>
      <c r="M385" s="1909"/>
      <c r="N385" s="1909"/>
      <c r="O385" s="1909"/>
      <c r="P385" s="1909"/>
      <c r="Q385" s="1909"/>
      <c r="R385" s="1909"/>
      <c r="S385" s="1909"/>
      <c r="T385" s="1909"/>
      <c r="U385" s="1909"/>
      <c r="V385" s="1909"/>
      <c r="W385" s="1909"/>
      <c r="X385" s="1909"/>
      <c r="Y385" s="1909"/>
      <c r="Z385" s="1909"/>
      <c r="AA385" s="1909"/>
      <c r="AB385" s="1909"/>
      <c r="AC385" s="1909"/>
      <c r="AD385" s="1909"/>
      <c r="AE385" s="1909"/>
      <c r="AF385" s="190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8" t="s">
        <v>601</v>
      </c>
      <c r="D386" s="1919"/>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7" t="s">
        <v>1644</v>
      </c>
      <c r="AG386" s="1907"/>
      <c r="AH386" s="1907"/>
      <c r="AI386" s="1907"/>
      <c r="AJ386" s="1907"/>
      <c r="AK386" s="1907"/>
      <c r="AL386" s="192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8" t="s">
        <v>555</v>
      </c>
      <c r="D388" s="1919"/>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7" t="s">
        <v>1639</v>
      </c>
      <c r="AG388" s="1907"/>
      <c r="AH388" s="1907"/>
      <c r="AI388" s="1907"/>
      <c r="AJ388" s="1907"/>
      <c r="AK388" s="1907"/>
      <c r="AL388" s="192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8" t="s">
        <v>1648</v>
      </c>
      <c r="G392" s="1908"/>
      <c r="H392" s="1908"/>
      <c r="I392" s="1908"/>
      <c r="J392" s="1908"/>
      <c r="K392" s="1908"/>
      <c r="L392" s="1908"/>
      <c r="M392" s="1908"/>
      <c r="N392" s="1908"/>
      <c r="O392" s="1908"/>
      <c r="P392" s="1908"/>
      <c r="Q392" s="1908"/>
      <c r="R392" s="1908"/>
      <c r="S392" s="1908"/>
      <c r="T392" s="1908"/>
      <c r="U392" s="1908"/>
      <c r="V392" s="1908"/>
      <c r="W392" s="1908"/>
      <c r="X392" s="1908"/>
      <c r="Y392" s="1908"/>
      <c r="Z392" s="1908"/>
      <c r="AA392" s="1908"/>
      <c r="AB392" s="1908"/>
      <c r="AC392" s="1908"/>
      <c r="AD392" s="1908"/>
      <c r="AE392" s="1908"/>
      <c r="AF392" s="190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9"/>
      <c r="G393" s="1909"/>
      <c r="H393" s="1909"/>
      <c r="I393" s="1909"/>
      <c r="J393" s="1909"/>
      <c r="K393" s="1909"/>
      <c r="L393" s="1909"/>
      <c r="M393" s="1909"/>
      <c r="N393" s="1909"/>
      <c r="O393" s="1909"/>
      <c r="P393" s="1909"/>
      <c r="Q393" s="1909"/>
      <c r="R393" s="1909"/>
      <c r="S393" s="1909"/>
      <c r="T393" s="1909"/>
      <c r="U393" s="1909"/>
      <c r="V393" s="1909"/>
      <c r="W393" s="1909"/>
      <c r="X393" s="1909"/>
      <c r="Y393" s="1909"/>
      <c r="Z393" s="1909"/>
      <c r="AA393" s="1909"/>
      <c r="AB393" s="1909"/>
      <c r="AC393" s="1909"/>
      <c r="AD393" s="1909"/>
      <c r="AE393" s="1909"/>
      <c r="AF393" s="190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9"/>
      <c r="G394" s="1909"/>
      <c r="H394" s="1909"/>
      <c r="I394" s="1909"/>
      <c r="J394" s="1909"/>
      <c r="K394" s="1909"/>
      <c r="L394" s="1909"/>
      <c r="M394" s="1909"/>
      <c r="N394" s="1909"/>
      <c r="O394" s="1909"/>
      <c r="P394" s="1909"/>
      <c r="Q394" s="1909"/>
      <c r="R394" s="1909"/>
      <c r="S394" s="1909"/>
      <c r="T394" s="1909"/>
      <c r="U394" s="1909"/>
      <c r="V394" s="1909"/>
      <c r="W394" s="1909"/>
      <c r="X394" s="1909"/>
      <c r="Y394" s="1909"/>
      <c r="Z394" s="1909"/>
      <c r="AA394" s="1909"/>
      <c r="AB394" s="1909"/>
      <c r="AC394" s="1909"/>
      <c r="AD394" s="1909"/>
      <c r="AE394" s="1909"/>
      <c r="AF394" s="190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9"/>
      <c r="G395" s="1909"/>
      <c r="H395" s="1909"/>
      <c r="I395" s="1909"/>
      <c r="J395" s="1909"/>
      <c r="K395" s="1909"/>
      <c r="L395" s="1909"/>
      <c r="M395" s="1909"/>
      <c r="N395" s="1909"/>
      <c r="O395" s="1909"/>
      <c r="P395" s="1909"/>
      <c r="Q395" s="1909"/>
      <c r="R395" s="1909"/>
      <c r="S395" s="1909"/>
      <c r="T395" s="1909"/>
      <c r="U395" s="1909"/>
      <c r="V395" s="1909"/>
      <c r="W395" s="1909"/>
      <c r="X395" s="1909"/>
      <c r="Y395" s="1909"/>
      <c r="Z395" s="1909"/>
      <c r="AA395" s="1909"/>
      <c r="AB395" s="1909"/>
      <c r="AC395" s="1909"/>
      <c r="AD395" s="1909"/>
      <c r="AE395" s="1909"/>
      <c r="AF395" s="190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8" t="s">
        <v>601</v>
      </c>
      <c r="D396" s="1919"/>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7" t="s">
        <v>1639</v>
      </c>
      <c r="AG396" s="1907"/>
      <c r="AH396" s="1907"/>
      <c r="AI396" s="1907"/>
      <c r="AJ396" s="1907"/>
      <c r="AK396" s="1907"/>
      <c r="AL396" s="192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8" t="s">
        <v>601</v>
      </c>
      <c r="D398" s="1919"/>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7" t="s">
        <v>1651</v>
      </c>
      <c r="AG398" s="1907"/>
      <c r="AH398" s="1907"/>
      <c r="AI398" s="1907"/>
      <c r="AJ398" s="1907"/>
      <c r="AK398" s="1907"/>
      <c r="AL398" s="192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8" t="s">
        <v>555</v>
      </c>
      <c r="D401" s="1919"/>
      <c r="E401" s="750" t="s">
        <v>1652</v>
      </c>
      <c r="F401" s="1908" t="s">
        <v>1653</v>
      </c>
      <c r="G401" s="1908"/>
      <c r="H401" s="1908"/>
      <c r="I401" s="1908"/>
      <c r="J401" s="1908"/>
      <c r="K401" s="1908"/>
      <c r="L401" s="1908"/>
      <c r="M401" s="1908"/>
      <c r="N401" s="1908"/>
      <c r="O401" s="1908"/>
      <c r="P401" s="1908"/>
      <c r="Q401" s="1908"/>
      <c r="R401" s="1908"/>
      <c r="S401" s="1908"/>
      <c r="T401" s="1908"/>
      <c r="U401" s="1908"/>
      <c r="V401" s="1908"/>
      <c r="W401" s="1908"/>
      <c r="X401" s="1908"/>
      <c r="Y401" s="1908"/>
      <c r="Z401" s="1908"/>
      <c r="AA401" s="1908"/>
      <c r="AB401" s="1908"/>
      <c r="AC401" s="1908"/>
      <c r="AD401" s="1908"/>
      <c r="AE401" s="190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9"/>
      <c r="G402" s="1909"/>
      <c r="H402" s="1909"/>
      <c r="I402" s="1909"/>
      <c r="J402" s="1909"/>
      <c r="K402" s="1909"/>
      <c r="L402" s="1909"/>
      <c r="M402" s="1909"/>
      <c r="N402" s="1909"/>
      <c r="O402" s="1909"/>
      <c r="P402" s="1909"/>
      <c r="Q402" s="1909"/>
      <c r="R402" s="1909"/>
      <c r="S402" s="1909"/>
      <c r="T402" s="1909"/>
      <c r="U402" s="1909"/>
      <c r="V402" s="1909"/>
      <c r="W402" s="1909"/>
      <c r="X402" s="1909"/>
      <c r="Y402" s="1909"/>
      <c r="Z402" s="1909"/>
      <c r="AA402" s="1909"/>
      <c r="AB402" s="1909"/>
      <c r="AC402" s="1909"/>
      <c r="AD402" s="1909"/>
      <c r="AE402" s="1909"/>
      <c r="AF402" s="1977" t="s">
        <v>1639</v>
      </c>
      <c r="AG402" s="1977"/>
      <c r="AH402" s="1977"/>
      <c r="AI402" s="1977"/>
      <c r="AJ402" s="1977"/>
      <c r="AK402" s="1977"/>
      <c r="AL402" s="2007"/>
      <c r="AM402" s="605"/>
      <c r="AN402" s="632"/>
      <c r="BS402" s="605"/>
      <c r="BT402" s="605"/>
      <c r="BY402" s="605"/>
      <c r="BZ402" s="605"/>
      <c r="CA402" s="605"/>
      <c r="CB402" s="605"/>
      <c r="CC402" s="605"/>
    </row>
    <row r="403" spans="1:81" s="585" customFormat="1" ht="12.75" customHeight="1">
      <c r="A403" s="571"/>
      <c r="B403" s="14"/>
      <c r="C403" s="766"/>
      <c r="D403" s="14"/>
      <c r="E403" s="726"/>
      <c r="F403" s="1909"/>
      <c r="G403" s="1909"/>
      <c r="H403" s="1909"/>
      <c r="I403" s="1909"/>
      <c r="J403" s="1909"/>
      <c r="K403" s="1909"/>
      <c r="L403" s="1909"/>
      <c r="M403" s="1909"/>
      <c r="N403" s="1909"/>
      <c r="O403" s="1909"/>
      <c r="P403" s="1909"/>
      <c r="Q403" s="1909"/>
      <c r="R403" s="1909"/>
      <c r="S403" s="1909"/>
      <c r="T403" s="1909"/>
      <c r="U403" s="1909"/>
      <c r="V403" s="1909"/>
      <c r="W403" s="1909"/>
      <c r="X403" s="1909"/>
      <c r="Y403" s="1909"/>
      <c r="Z403" s="1909"/>
      <c r="AA403" s="1909"/>
      <c r="AB403" s="1909"/>
      <c r="AC403" s="1909"/>
      <c r="AD403" s="1909"/>
      <c r="AE403" s="190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1"/>
      <c r="G404" s="1991"/>
      <c r="H404" s="1991"/>
      <c r="I404" s="1991"/>
      <c r="J404" s="1991"/>
      <c r="K404" s="1991"/>
      <c r="L404" s="1991"/>
      <c r="M404" s="1991"/>
      <c r="N404" s="1991"/>
      <c r="O404" s="1991"/>
      <c r="P404" s="1991"/>
      <c r="Q404" s="1991"/>
      <c r="R404" s="1991"/>
      <c r="S404" s="1991"/>
      <c r="T404" s="1991"/>
      <c r="U404" s="1991"/>
      <c r="V404" s="1991"/>
      <c r="W404" s="1991"/>
      <c r="X404" s="1991"/>
      <c r="Y404" s="1991"/>
      <c r="Z404" s="1991"/>
      <c r="AA404" s="1991"/>
      <c r="AB404" s="1991"/>
      <c r="AC404" s="1991"/>
      <c r="AD404" s="1991"/>
      <c r="AE404" s="199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8" t="s">
        <v>1655</v>
      </c>
      <c r="G406" s="1908"/>
      <c r="H406" s="1908"/>
      <c r="I406" s="1908"/>
      <c r="J406" s="1908"/>
      <c r="K406" s="1908"/>
      <c r="L406" s="1908"/>
      <c r="M406" s="1908"/>
      <c r="N406" s="1908"/>
      <c r="O406" s="1908"/>
      <c r="P406" s="1908"/>
      <c r="Q406" s="1908"/>
      <c r="R406" s="1908"/>
      <c r="S406" s="1908"/>
      <c r="T406" s="1908"/>
      <c r="U406" s="1908"/>
      <c r="V406" s="1908"/>
      <c r="W406" s="1908"/>
      <c r="X406" s="1908"/>
      <c r="Y406" s="1908"/>
      <c r="Z406" s="1908"/>
      <c r="AA406" s="1908"/>
      <c r="AB406" s="1908"/>
      <c r="AC406" s="1908"/>
      <c r="AD406" s="1908"/>
      <c r="AE406" s="1908"/>
      <c r="AF406" s="782"/>
      <c r="AG406" s="782"/>
      <c r="AH406" s="782"/>
      <c r="AI406" s="782"/>
      <c r="AJ406" s="782"/>
      <c r="AK406" s="782"/>
      <c r="AL406" s="783"/>
      <c r="AM406" s="605"/>
    </row>
    <row r="407" spans="1:81">
      <c r="A407" s="571"/>
      <c r="C407" s="766"/>
      <c r="E407" s="726"/>
      <c r="F407" s="1909"/>
      <c r="G407" s="1909"/>
      <c r="H407" s="1909"/>
      <c r="I407" s="1909"/>
      <c r="J407" s="1909"/>
      <c r="K407" s="1909"/>
      <c r="L407" s="1909"/>
      <c r="M407" s="1909"/>
      <c r="N407" s="1909"/>
      <c r="O407" s="1909"/>
      <c r="P407" s="1909"/>
      <c r="Q407" s="1909"/>
      <c r="R407" s="1909"/>
      <c r="S407" s="1909"/>
      <c r="T407" s="1909"/>
      <c r="U407" s="1909"/>
      <c r="V407" s="1909"/>
      <c r="W407" s="1909"/>
      <c r="X407" s="1909"/>
      <c r="Y407" s="1909"/>
      <c r="Z407" s="1909"/>
      <c r="AA407" s="1909"/>
      <c r="AB407" s="1909"/>
      <c r="AC407" s="1909"/>
      <c r="AD407" s="1909"/>
      <c r="AE407" s="1909"/>
      <c r="AF407" s="574"/>
      <c r="AG407" s="571"/>
      <c r="AH407" s="585"/>
      <c r="AI407" s="585"/>
      <c r="AJ407" s="585"/>
      <c r="AK407" s="585"/>
      <c r="AL407" s="767"/>
      <c r="AM407" s="605"/>
    </row>
    <row r="408" spans="1:81" s="585" customFormat="1" ht="12.75" customHeight="1">
      <c r="A408" s="571"/>
      <c r="B408" s="14"/>
      <c r="C408" s="766"/>
      <c r="D408" s="14"/>
      <c r="E408" s="726"/>
      <c r="F408" s="1909"/>
      <c r="G408" s="1909"/>
      <c r="H408" s="1909"/>
      <c r="I408" s="1909"/>
      <c r="J408" s="1909"/>
      <c r="K408" s="1909"/>
      <c r="L408" s="1909"/>
      <c r="M408" s="1909"/>
      <c r="N408" s="1909"/>
      <c r="O408" s="1909"/>
      <c r="P408" s="1909"/>
      <c r="Q408" s="1909"/>
      <c r="R408" s="1909"/>
      <c r="S408" s="1909"/>
      <c r="T408" s="1909"/>
      <c r="U408" s="1909"/>
      <c r="V408" s="1909"/>
      <c r="W408" s="1909"/>
      <c r="X408" s="1909"/>
      <c r="Y408" s="1909"/>
      <c r="Z408" s="1909"/>
      <c r="AA408" s="1909"/>
      <c r="AB408" s="1909"/>
      <c r="AC408" s="1909"/>
      <c r="AD408" s="1909"/>
      <c r="AE408" s="1909"/>
      <c r="AL408" s="767"/>
      <c r="AM408" s="605"/>
      <c r="AN408" s="632"/>
    </row>
    <row r="409" spans="1:81" s="585" customFormat="1" ht="12.75" customHeight="1">
      <c r="A409" s="571"/>
      <c r="B409" s="14"/>
      <c r="C409" s="774"/>
      <c r="F409" s="1909"/>
      <c r="G409" s="1909"/>
      <c r="H409" s="1909"/>
      <c r="I409" s="1909"/>
      <c r="J409" s="1909"/>
      <c r="K409" s="1909"/>
      <c r="L409" s="1909"/>
      <c r="M409" s="1909"/>
      <c r="N409" s="1909"/>
      <c r="O409" s="1909"/>
      <c r="P409" s="1909"/>
      <c r="Q409" s="1909"/>
      <c r="R409" s="1909"/>
      <c r="S409" s="1909"/>
      <c r="T409" s="1909"/>
      <c r="U409" s="1909"/>
      <c r="V409" s="1909"/>
      <c r="W409" s="1909"/>
      <c r="X409" s="1909"/>
      <c r="Y409" s="1909"/>
      <c r="Z409" s="1909"/>
      <c r="AA409" s="1909"/>
      <c r="AB409" s="1909"/>
      <c r="AC409" s="1909"/>
      <c r="AD409" s="1909"/>
      <c r="AE409" s="1909"/>
      <c r="AL409" s="767"/>
      <c r="AM409" s="605"/>
      <c r="AN409" s="632"/>
    </row>
    <row r="410" spans="1:81" s="585" customFormat="1" ht="12.75" customHeight="1">
      <c r="A410" s="571"/>
      <c r="B410" s="14"/>
      <c r="C410" s="1918" t="s">
        <v>601</v>
      </c>
      <c r="D410" s="1919"/>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7" t="s">
        <v>1639</v>
      </c>
      <c r="AG410" s="1977"/>
      <c r="AH410" s="1977"/>
      <c r="AI410" s="1977"/>
      <c r="AJ410" s="1977"/>
      <c r="AK410" s="1977"/>
      <c r="AL410" s="2007"/>
      <c r="AM410" s="605"/>
      <c r="AN410" s="632"/>
    </row>
    <row r="411" spans="1:81" s="585" customFormat="1" ht="12.75" customHeight="1">
      <c r="A411" s="571"/>
      <c r="B411" s="14"/>
      <c r="C411" s="774"/>
      <c r="AL411" s="767"/>
      <c r="AM411" s="605"/>
      <c r="AN411" s="632"/>
    </row>
    <row r="412" spans="1:81" s="585" customFormat="1" ht="12.75" customHeight="1">
      <c r="A412" s="571"/>
      <c r="B412" s="14"/>
      <c r="C412" s="1918" t="s">
        <v>601</v>
      </c>
      <c r="D412" s="1919"/>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7" t="s">
        <v>1651</v>
      </c>
      <c r="AG412" s="1977"/>
      <c r="AH412" s="1977"/>
      <c r="AI412" s="1977"/>
      <c r="AJ412" s="1977"/>
      <c r="AK412" s="1977"/>
      <c r="AL412" s="200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8" t="s">
        <v>1660</v>
      </c>
      <c r="G416" s="1908"/>
      <c r="H416" s="1908"/>
      <c r="I416" s="1908"/>
      <c r="J416" s="1908"/>
      <c r="K416" s="1908"/>
      <c r="L416" s="1908"/>
      <c r="M416" s="1908"/>
      <c r="N416" s="1908"/>
      <c r="O416" s="1908"/>
      <c r="P416" s="1908"/>
      <c r="Q416" s="1908"/>
      <c r="R416" s="1908"/>
      <c r="S416" s="1908"/>
      <c r="T416" s="1908"/>
      <c r="U416" s="1908"/>
      <c r="V416" s="1908"/>
      <c r="W416" s="1908"/>
      <c r="X416" s="1908"/>
      <c r="Y416" s="1908"/>
      <c r="Z416" s="1908"/>
      <c r="AA416" s="1908"/>
      <c r="AB416" s="1908"/>
      <c r="AC416" s="1908"/>
      <c r="AD416" s="1908"/>
      <c r="AE416" s="1908"/>
      <c r="AF416" s="749"/>
      <c r="AG416" s="749"/>
      <c r="AH416" s="749"/>
      <c r="AI416" s="749"/>
      <c r="AJ416" s="749"/>
      <c r="AK416" s="749"/>
      <c r="AL416" s="780"/>
      <c r="AM416" s="605"/>
      <c r="AN416" s="632"/>
    </row>
    <row r="417" spans="1:60" s="585" customFormat="1" ht="12.75" customHeight="1">
      <c r="A417" s="571"/>
      <c r="B417" s="14"/>
      <c r="C417" s="766"/>
      <c r="D417" s="14"/>
      <c r="E417" s="726"/>
      <c r="F417" s="1909"/>
      <c r="G417" s="1909"/>
      <c r="H417" s="1909"/>
      <c r="I417" s="1909"/>
      <c r="J417" s="1909"/>
      <c r="K417" s="1909"/>
      <c r="L417" s="1909"/>
      <c r="M417" s="1909"/>
      <c r="N417" s="1909"/>
      <c r="O417" s="1909"/>
      <c r="P417" s="1909"/>
      <c r="Q417" s="1909"/>
      <c r="R417" s="1909"/>
      <c r="S417" s="1909"/>
      <c r="T417" s="1909"/>
      <c r="U417" s="1909"/>
      <c r="V417" s="1909"/>
      <c r="W417" s="1909"/>
      <c r="X417" s="1909"/>
      <c r="Y417" s="1909"/>
      <c r="Z417" s="1909"/>
      <c r="AA417" s="1909"/>
      <c r="AB417" s="1909"/>
      <c r="AC417" s="1909"/>
      <c r="AD417" s="1909"/>
      <c r="AE417" s="1909"/>
      <c r="AF417" s="574"/>
      <c r="AG417" s="571"/>
      <c r="AL417" s="767"/>
      <c r="AM417" s="605"/>
      <c r="AN417" s="632"/>
    </row>
    <row r="418" spans="1:60" s="585" customFormat="1" ht="12.4" customHeight="1">
      <c r="A418" s="571"/>
      <c r="B418" s="14"/>
      <c r="C418" s="766"/>
      <c r="D418" s="14"/>
      <c r="E418" s="726"/>
      <c r="F418" s="1909"/>
      <c r="G418" s="1909"/>
      <c r="H418" s="1909"/>
      <c r="I418" s="1909"/>
      <c r="J418" s="1909"/>
      <c r="K418" s="1909"/>
      <c r="L418" s="1909"/>
      <c r="M418" s="1909"/>
      <c r="N418" s="1909"/>
      <c r="O418" s="1909"/>
      <c r="P418" s="1909"/>
      <c r="Q418" s="1909"/>
      <c r="R418" s="1909"/>
      <c r="S418" s="1909"/>
      <c r="T418" s="1909"/>
      <c r="U418" s="1909"/>
      <c r="V418" s="1909"/>
      <c r="W418" s="1909"/>
      <c r="X418" s="1909"/>
      <c r="Y418" s="1909"/>
      <c r="Z418" s="1909"/>
      <c r="AA418" s="1909"/>
      <c r="AB418" s="1909"/>
      <c r="AC418" s="1909"/>
      <c r="AD418" s="1909"/>
      <c r="AE418" s="1909"/>
      <c r="AL418" s="767"/>
      <c r="AM418" s="605"/>
      <c r="AN418" s="632"/>
    </row>
    <row r="419" spans="1:60" s="585" customFormat="1" ht="12.75" customHeight="1">
      <c r="A419" s="571"/>
      <c r="B419" s="14"/>
      <c r="C419" s="1918" t="s">
        <v>601</v>
      </c>
      <c r="D419" s="1919"/>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7" t="s">
        <v>1639</v>
      </c>
      <c r="AG419" s="1977"/>
      <c r="AH419" s="1977"/>
      <c r="AI419" s="1977"/>
      <c r="AJ419" s="1977"/>
      <c r="AK419" s="1977"/>
      <c r="AL419" s="200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08" t="s">
        <v>1663</v>
      </c>
      <c r="G422" s="1908"/>
      <c r="H422" s="1908"/>
      <c r="I422" s="1908"/>
      <c r="J422" s="1908"/>
      <c r="K422" s="1908"/>
      <c r="L422" s="1908"/>
      <c r="M422" s="1908"/>
      <c r="N422" s="1908"/>
      <c r="O422" s="1908"/>
      <c r="P422" s="1908"/>
      <c r="Q422" s="1908"/>
      <c r="R422" s="1908"/>
      <c r="S422" s="1908"/>
      <c r="T422" s="1908"/>
      <c r="U422" s="1908"/>
      <c r="V422" s="1908"/>
      <c r="W422" s="1908"/>
      <c r="X422" s="1908"/>
      <c r="Y422" s="1908"/>
      <c r="Z422" s="1908"/>
      <c r="AA422" s="1908"/>
      <c r="AB422" s="1908"/>
      <c r="AC422" s="1908"/>
      <c r="AD422" s="1908"/>
      <c r="AE422" s="1908"/>
      <c r="AF422" s="782"/>
      <c r="AG422" s="782"/>
      <c r="AH422" s="782"/>
      <c r="AI422" s="782"/>
      <c r="AJ422" s="782"/>
      <c r="AK422" s="782"/>
      <c r="AL422" s="783"/>
      <c r="AM422" s="605"/>
      <c r="AO422" s="585"/>
      <c r="AP422" s="585"/>
      <c r="BD422" s="14"/>
      <c r="BE422" s="14"/>
      <c r="BF422" s="14"/>
      <c r="BG422" s="14"/>
      <c r="BH422" s="14"/>
    </row>
    <row r="423" spans="1:60">
      <c r="A423" s="571"/>
      <c r="C423" s="766"/>
      <c r="E423" s="726"/>
      <c r="F423" s="1909"/>
      <c r="G423" s="1909"/>
      <c r="H423" s="1909"/>
      <c r="I423" s="1909"/>
      <c r="J423" s="1909"/>
      <c r="K423" s="1909"/>
      <c r="L423" s="1909"/>
      <c r="M423" s="1909"/>
      <c r="N423" s="1909"/>
      <c r="O423" s="1909"/>
      <c r="P423" s="1909"/>
      <c r="Q423" s="1909"/>
      <c r="R423" s="1909"/>
      <c r="S423" s="1909"/>
      <c r="T423" s="1909"/>
      <c r="U423" s="1909"/>
      <c r="V423" s="1909"/>
      <c r="W423" s="1909"/>
      <c r="X423" s="1909"/>
      <c r="Y423" s="1909"/>
      <c r="Z423" s="1909"/>
      <c r="AA423" s="1909"/>
      <c r="AB423" s="1909"/>
      <c r="AC423" s="1909"/>
      <c r="AD423" s="1909"/>
      <c r="AE423" s="1909"/>
      <c r="AF423" s="629"/>
      <c r="AG423" s="629"/>
      <c r="AH423" s="629"/>
      <c r="AI423" s="629"/>
      <c r="AJ423" s="629"/>
      <c r="AK423" s="629"/>
      <c r="AL423" s="786"/>
      <c r="AM423" s="605"/>
      <c r="AO423" s="585"/>
      <c r="AP423" s="585"/>
    </row>
    <row r="424" spans="1:60" s="585" customFormat="1" ht="12.75" customHeight="1">
      <c r="A424" s="571"/>
      <c r="B424" s="14"/>
      <c r="C424" s="766"/>
      <c r="D424" s="14"/>
      <c r="E424" s="726"/>
      <c r="F424" s="1909"/>
      <c r="G424" s="1909"/>
      <c r="H424" s="1909"/>
      <c r="I424" s="1909"/>
      <c r="J424" s="1909"/>
      <c r="K424" s="1909"/>
      <c r="L424" s="1909"/>
      <c r="M424" s="1909"/>
      <c r="N424" s="1909"/>
      <c r="O424" s="1909"/>
      <c r="P424" s="1909"/>
      <c r="Q424" s="1909"/>
      <c r="R424" s="1909"/>
      <c r="S424" s="1909"/>
      <c r="T424" s="1909"/>
      <c r="U424" s="1909"/>
      <c r="V424" s="1909"/>
      <c r="W424" s="1909"/>
      <c r="X424" s="1909"/>
      <c r="Y424" s="1909"/>
      <c r="Z424" s="1909"/>
      <c r="AA424" s="1909"/>
      <c r="AB424" s="1909"/>
      <c r="AC424" s="1909"/>
      <c r="AD424" s="1909"/>
      <c r="AE424" s="1909"/>
      <c r="AF424" s="629"/>
      <c r="AG424" s="629"/>
      <c r="AH424" s="629"/>
      <c r="AI424" s="629"/>
      <c r="AJ424" s="629"/>
      <c r="AK424" s="629"/>
      <c r="AL424" s="786"/>
      <c r="AM424" s="605"/>
      <c r="AN424" s="632"/>
    </row>
    <row r="425" spans="1:60" s="585" customFormat="1" ht="12.75" customHeight="1">
      <c r="A425" s="571"/>
      <c r="B425" s="14"/>
      <c r="C425" s="787"/>
      <c r="D425" s="765"/>
      <c r="E425" s="754"/>
      <c r="F425" s="1909"/>
      <c r="G425" s="1909"/>
      <c r="H425" s="1909"/>
      <c r="I425" s="1909"/>
      <c r="J425" s="1909"/>
      <c r="K425" s="1909"/>
      <c r="L425" s="1909"/>
      <c r="M425" s="1909"/>
      <c r="N425" s="1909"/>
      <c r="O425" s="1909"/>
      <c r="P425" s="1909"/>
      <c r="Q425" s="1909"/>
      <c r="R425" s="1909"/>
      <c r="S425" s="1909"/>
      <c r="T425" s="1909"/>
      <c r="U425" s="1909"/>
      <c r="V425" s="1909"/>
      <c r="W425" s="1909"/>
      <c r="X425" s="1909"/>
      <c r="Y425" s="1909"/>
      <c r="Z425" s="1909"/>
      <c r="AA425" s="1909"/>
      <c r="AB425" s="1909"/>
      <c r="AC425" s="1909"/>
      <c r="AD425" s="1909"/>
      <c r="AE425" s="190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9"/>
      <c r="G426" s="1909"/>
      <c r="H426" s="1909"/>
      <c r="I426" s="1909"/>
      <c r="J426" s="1909"/>
      <c r="K426" s="1909"/>
      <c r="L426" s="1909"/>
      <c r="M426" s="1909"/>
      <c r="N426" s="1909"/>
      <c r="O426" s="1909"/>
      <c r="P426" s="1909"/>
      <c r="Q426" s="1909"/>
      <c r="R426" s="1909"/>
      <c r="S426" s="1909"/>
      <c r="T426" s="1909"/>
      <c r="U426" s="1909"/>
      <c r="V426" s="1909"/>
      <c r="W426" s="1909"/>
      <c r="X426" s="1909"/>
      <c r="Y426" s="1909"/>
      <c r="Z426" s="1909"/>
      <c r="AA426" s="1909"/>
      <c r="AB426" s="1909"/>
      <c r="AC426" s="1909"/>
      <c r="AD426" s="1909"/>
      <c r="AE426" s="1909"/>
      <c r="AF426" s="629"/>
      <c r="AG426" s="629"/>
      <c r="AH426" s="629"/>
      <c r="AI426" s="629"/>
      <c r="AJ426" s="629"/>
      <c r="AK426" s="629"/>
      <c r="AL426" s="786"/>
      <c r="AM426" s="605"/>
      <c r="AN426" s="632"/>
    </row>
    <row r="427" spans="1:60" s="585" customFormat="1" ht="12.75" customHeight="1">
      <c r="A427" s="571"/>
      <c r="B427" s="14"/>
      <c r="C427" s="787"/>
      <c r="D427" s="765"/>
      <c r="E427" s="754"/>
      <c r="F427" s="1909"/>
      <c r="G427" s="1909"/>
      <c r="H427" s="1909"/>
      <c r="I427" s="1909"/>
      <c r="J427" s="1909"/>
      <c r="K427" s="1909"/>
      <c r="L427" s="1909"/>
      <c r="M427" s="1909"/>
      <c r="N427" s="1909"/>
      <c r="O427" s="1909"/>
      <c r="P427" s="1909"/>
      <c r="Q427" s="1909"/>
      <c r="R427" s="1909"/>
      <c r="S427" s="1909"/>
      <c r="T427" s="1909"/>
      <c r="U427" s="1909"/>
      <c r="V427" s="1909"/>
      <c r="W427" s="1909"/>
      <c r="X427" s="1909"/>
      <c r="Y427" s="1909"/>
      <c r="Z427" s="1909"/>
      <c r="AA427" s="1909"/>
      <c r="AB427" s="1909"/>
      <c r="AC427" s="1909"/>
      <c r="AD427" s="1909"/>
      <c r="AE427" s="1909"/>
      <c r="AF427" s="629"/>
      <c r="AG427" s="629"/>
      <c r="AH427" s="629"/>
      <c r="AI427" s="629"/>
      <c r="AJ427" s="629"/>
      <c r="AK427" s="629"/>
      <c r="AL427" s="786"/>
      <c r="AM427" s="605"/>
      <c r="AN427" s="632"/>
    </row>
    <row r="428" spans="1:60" s="585" customFormat="1" ht="12.75" customHeight="1">
      <c r="A428" s="571"/>
      <c r="B428" s="14"/>
      <c r="C428" s="787"/>
      <c r="D428" s="765"/>
      <c r="E428" s="754"/>
      <c r="F428" s="1909"/>
      <c r="G428" s="1909"/>
      <c r="H428" s="1909"/>
      <c r="I428" s="1909"/>
      <c r="J428" s="1909"/>
      <c r="K428" s="1909"/>
      <c r="L428" s="1909"/>
      <c r="M428" s="1909"/>
      <c r="N428" s="1909"/>
      <c r="O428" s="1909"/>
      <c r="P428" s="1909"/>
      <c r="Q428" s="1909"/>
      <c r="R428" s="1909"/>
      <c r="S428" s="1909"/>
      <c r="T428" s="1909"/>
      <c r="U428" s="1909"/>
      <c r="V428" s="1909"/>
      <c r="W428" s="1909"/>
      <c r="X428" s="1909"/>
      <c r="Y428" s="1909"/>
      <c r="Z428" s="1909"/>
      <c r="AA428" s="1909"/>
      <c r="AB428" s="1909"/>
      <c r="AC428" s="1909"/>
      <c r="AD428" s="1909"/>
      <c r="AE428" s="1909"/>
      <c r="AF428" s="629"/>
      <c r="AG428" s="629"/>
      <c r="AH428" s="629"/>
      <c r="AI428" s="629"/>
      <c r="AJ428" s="629"/>
      <c r="AK428" s="629"/>
      <c r="AL428" s="786"/>
      <c r="AM428" s="605"/>
      <c r="AN428" s="632"/>
    </row>
    <row r="429" spans="1:60" s="585" customFormat="1" ht="12.75" customHeight="1">
      <c r="A429" s="571"/>
      <c r="B429" s="14"/>
      <c r="C429" s="787"/>
      <c r="D429" s="765"/>
      <c r="E429" s="754"/>
      <c r="F429" s="1909"/>
      <c r="G429" s="1909"/>
      <c r="H429" s="1909"/>
      <c r="I429" s="1909"/>
      <c r="J429" s="1909"/>
      <c r="K429" s="1909"/>
      <c r="L429" s="1909"/>
      <c r="M429" s="1909"/>
      <c r="N429" s="1909"/>
      <c r="O429" s="1909"/>
      <c r="P429" s="1909"/>
      <c r="Q429" s="1909"/>
      <c r="R429" s="1909"/>
      <c r="S429" s="1909"/>
      <c r="T429" s="1909"/>
      <c r="U429" s="1909"/>
      <c r="V429" s="1909"/>
      <c r="W429" s="1909"/>
      <c r="X429" s="1909"/>
      <c r="Y429" s="1909"/>
      <c r="Z429" s="1909"/>
      <c r="AA429" s="1909"/>
      <c r="AB429" s="1909"/>
      <c r="AC429" s="1909"/>
      <c r="AD429" s="1909"/>
      <c r="AE429" s="1909"/>
      <c r="AF429" s="629"/>
      <c r="AG429" s="629"/>
      <c r="AH429" s="629"/>
      <c r="AI429" s="629"/>
      <c r="AJ429" s="629"/>
      <c r="AK429" s="629"/>
      <c r="AL429" s="786"/>
      <c r="AM429" s="605"/>
      <c r="AN429" s="632"/>
    </row>
    <row r="430" spans="1:60" s="585" customFormat="1" ht="17.25" customHeight="1">
      <c r="A430" s="571"/>
      <c r="B430" s="14"/>
      <c r="C430" s="787"/>
      <c r="D430" s="765"/>
      <c r="E430" s="754"/>
      <c r="F430" s="1909"/>
      <c r="G430" s="1909"/>
      <c r="H430" s="1909"/>
      <c r="I430" s="1909"/>
      <c r="J430" s="1909"/>
      <c r="K430" s="1909"/>
      <c r="L430" s="1909"/>
      <c r="M430" s="1909"/>
      <c r="N430" s="1909"/>
      <c r="O430" s="1909"/>
      <c r="P430" s="1909"/>
      <c r="Q430" s="1909"/>
      <c r="R430" s="1909"/>
      <c r="S430" s="1909"/>
      <c r="T430" s="1909"/>
      <c r="U430" s="1909"/>
      <c r="V430" s="1909"/>
      <c r="W430" s="1909"/>
      <c r="X430" s="1909"/>
      <c r="Y430" s="1909"/>
      <c r="Z430" s="1909"/>
      <c r="AA430" s="1909"/>
      <c r="AB430" s="1909"/>
      <c r="AC430" s="1909"/>
      <c r="AD430" s="1909"/>
      <c r="AE430" s="1909"/>
      <c r="AL430" s="767"/>
      <c r="AM430" s="605"/>
      <c r="AN430" s="632"/>
    </row>
    <row r="431" spans="1:60" s="585" customFormat="1" ht="12.75" customHeight="1">
      <c r="A431" s="571"/>
      <c r="B431" s="14"/>
      <c r="C431" s="1918" t="s">
        <v>601</v>
      </c>
      <c r="D431" s="1919"/>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7" t="s">
        <v>1639</v>
      </c>
      <c r="AG431" s="1977"/>
      <c r="AH431" s="1977"/>
      <c r="AI431" s="1977"/>
      <c r="AJ431" s="1977"/>
      <c r="AK431" s="1977"/>
      <c r="AL431" s="200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8" t="s">
        <v>1666</v>
      </c>
      <c r="G434" s="1908"/>
      <c r="H434" s="1908"/>
      <c r="I434" s="1908"/>
      <c r="J434" s="1908"/>
      <c r="K434" s="1908"/>
      <c r="L434" s="1908"/>
      <c r="M434" s="1908"/>
      <c r="N434" s="1908"/>
      <c r="O434" s="1908"/>
      <c r="P434" s="1908"/>
      <c r="Q434" s="1908"/>
      <c r="R434" s="1908"/>
      <c r="S434" s="1908"/>
      <c r="T434" s="1908"/>
      <c r="U434" s="1908"/>
      <c r="V434" s="1908"/>
      <c r="W434" s="1908"/>
      <c r="X434" s="1908"/>
      <c r="Y434" s="1908"/>
      <c r="Z434" s="1908"/>
      <c r="AA434" s="1908"/>
      <c r="AB434" s="1908"/>
      <c r="AC434" s="1908"/>
      <c r="AD434" s="1908"/>
      <c r="AE434" s="1908"/>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9"/>
      <c r="G435" s="1909"/>
      <c r="H435" s="1909"/>
      <c r="I435" s="1909"/>
      <c r="J435" s="1909"/>
      <c r="K435" s="1909"/>
      <c r="L435" s="1909"/>
      <c r="M435" s="1909"/>
      <c r="N435" s="1909"/>
      <c r="O435" s="1909"/>
      <c r="P435" s="1909"/>
      <c r="Q435" s="1909"/>
      <c r="R435" s="1909"/>
      <c r="S435" s="1909"/>
      <c r="T435" s="1909"/>
      <c r="U435" s="1909"/>
      <c r="V435" s="1909"/>
      <c r="W435" s="1909"/>
      <c r="X435" s="1909"/>
      <c r="Y435" s="1909"/>
      <c r="Z435" s="1909"/>
      <c r="AA435" s="1909"/>
      <c r="AB435" s="1909"/>
      <c r="AC435" s="1909"/>
      <c r="AD435" s="1909"/>
      <c r="AE435" s="1909"/>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9"/>
      <c r="G436" s="1909"/>
      <c r="H436" s="1909"/>
      <c r="I436" s="1909"/>
      <c r="J436" s="1909"/>
      <c r="K436" s="1909"/>
      <c r="L436" s="1909"/>
      <c r="M436" s="1909"/>
      <c r="N436" s="1909"/>
      <c r="O436" s="1909"/>
      <c r="P436" s="1909"/>
      <c r="Q436" s="1909"/>
      <c r="R436" s="1909"/>
      <c r="S436" s="1909"/>
      <c r="T436" s="1909"/>
      <c r="U436" s="1909"/>
      <c r="V436" s="1909"/>
      <c r="W436" s="1909"/>
      <c r="X436" s="1909"/>
      <c r="Y436" s="1909"/>
      <c r="Z436" s="1909"/>
      <c r="AA436" s="1909"/>
      <c r="AB436" s="1909"/>
      <c r="AC436" s="1909"/>
      <c r="AD436" s="1909"/>
      <c r="AE436" s="1909"/>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9"/>
      <c r="G437" s="1909"/>
      <c r="H437" s="1909"/>
      <c r="I437" s="1909"/>
      <c r="J437" s="1909"/>
      <c r="K437" s="1909"/>
      <c r="L437" s="1909"/>
      <c r="M437" s="1909"/>
      <c r="N437" s="1909"/>
      <c r="O437" s="1909"/>
      <c r="P437" s="1909"/>
      <c r="Q437" s="1909"/>
      <c r="R437" s="1909"/>
      <c r="S437" s="1909"/>
      <c r="T437" s="1909"/>
      <c r="U437" s="1909"/>
      <c r="V437" s="1909"/>
      <c r="W437" s="1909"/>
      <c r="X437" s="1909"/>
      <c r="Y437" s="1909"/>
      <c r="Z437" s="1909"/>
      <c r="AA437" s="1909"/>
      <c r="AB437" s="1909"/>
      <c r="AC437" s="1909"/>
      <c r="AD437" s="1909"/>
      <c r="AE437" s="1909"/>
      <c r="AL437" s="767"/>
      <c r="AM437" s="605"/>
      <c r="AN437" s="632"/>
      <c r="AO437" s="585" t="s">
        <v>1669</v>
      </c>
      <c r="AP437" s="585">
        <v>5</v>
      </c>
      <c r="AQ437" s="571"/>
    </row>
    <row r="438" spans="1:54" s="585" customFormat="1" ht="12.75" customHeight="1">
      <c r="A438" s="571"/>
      <c r="B438" s="14"/>
      <c r="C438" s="1918" t="s">
        <v>601</v>
      </c>
      <c r="D438" s="1919"/>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7" t="s">
        <v>1639</v>
      </c>
      <c r="AG438" s="1977"/>
      <c r="AH438" s="1977"/>
      <c r="AI438" s="1977"/>
      <c r="AJ438" s="1977"/>
      <c r="AK438" s="1977"/>
      <c r="AL438" s="2007"/>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2" t="s">
        <v>601</v>
      </c>
      <c r="D442" s="2033"/>
      <c r="E442" s="750" t="s">
        <v>1675</v>
      </c>
      <c r="F442" s="1908" t="s">
        <v>1676</v>
      </c>
      <c r="G442" s="1908"/>
      <c r="H442" s="1908"/>
      <c r="I442" s="1908"/>
      <c r="J442" s="1908"/>
      <c r="K442" s="1908"/>
      <c r="L442" s="1908"/>
      <c r="M442" s="1908"/>
      <c r="N442" s="1908"/>
      <c r="O442" s="1908"/>
      <c r="P442" s="1908"/>
      <c r="Q442" s="1908"/>
      <c r="R442" s="1908"/>
      <c r="S442" s="1908"/>
      <c r="T442" s="1908"/>
      <c r="U442" s="1908"/>
      <c r="V442" s="1908"/>
      <c r="W442" s="1908"/>
      <c r="X442" s="1908"/>
      <c r="Y442" s="1908"/>
      <c r="Z442" s="1908"/>
      <c r="AA442" s="1908"/>
      <c r="AB442" s="1908"/>
      <c r="AC442" s="1908"/>
      <c r="AD442" s="1908"/>
      <c r="AE442" s="1908"/>
      <c r="AF442" s="2003" t="s">
        <v>1639</v>
      </c>
      <c r="AG442" s="2003"/>
      <c r="AH442" s="2003"/>
      <c r="AI442" s="2003"/>
      <c r="AJ442" s="2003"/>
      <c r="AK442" s="2003"/>
      <c r="AL442" s="2004"/>
      <c r="AM442" s="605"/>
      <c r="AN442" s="789"/>
      <c r="AO442" s="585" t="s">
        <v>1677</v>
      </c>
      <c r="AP442" s="585">
        <v>1</v>
      </c>
    </row>
    <row r="443" spans="1:54" s="585" customFormat="1" ht="12.75" customHeight="1">
      <c r="A443" s="571"/>
      <c r="B443" s="14"/>
      <c r="C443" s="787"/>
      <c r="D443" s="765"/>
      <c r="E443" s="754"/>
      <c r="F443" s="1909"/>
      <c r="G443" s="1909"/>
      <c r="H443" s="1909"/>
      <c r="I443" s="1909"/>
      <c r="J443" s="1909"/>
      <c r="K443" s="1909"/>
      <c r="L443" s="1909"/>
      <c r="M443" s="1909"/>
      <c r="N443" s="1909"/>
      <c r="O443" s="1909"/>
      <c r="P443" s="1909"/>
      <c r="Q443" s="1909"/>
      <c r="R443" s="1909"/>
      <c r="S443" s="1909"/>
      <c r="T443" s="1909"/>
      <c r="U443" s="1909"/>
      <c r="V443" s="1909"/>
      <c r="W443" s="1909"/>
      <c r="X443" s="1909"/>
      <c r="Y443" s="1909"/>
      <c r="Z443" s="1909"/>
      <c r="AA443" s="1909"/>
      <c r="AB443" s="1909"/>
      <c r="AC443" s="1909"/>
      <c r="AD443" s="1909"/>
      <c r="AE443" s="1909"/>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8" t="s">
        <v>601</v>
      </c>
      <c r="D446" s="1919"/>
      <c r="E446" s="750" t="s">
        <v>1681</v>
      </c>
      <c r="F446" s="1908" t="s">
        <v>1682</v>
      </c>
      <c r="G446" s="1908"/>
      <c r="H446" s="1908"/>
      <c r="I446" s="1908"/>
      <c r="J446" s="1908"/>
      <c r="K446" s="1908"/>
      <c r="L446" s="1908"/>
      <c r="M446" s="1908"/>
      <c r="N446" s="1908"/>
      <c r="O446" s="1908"/>
      <c r="P446" s="1908"/>
      <c r="Q446" s="1908"/>
      <c r="R446" s="1908"/>
      <c r="S446" s="1908"/>
      <c r="T446" s="1908"/>
      <c r="U446" s="1908"/>
      <c r="V446" s="1908"/>
      <c r="W446" s="1908"/>
      <c r="X446" s="1908"/>
      <c r="Y446" s="1908"/>
      <c r="Z446" s="1908"/>
      <c r="AA446" s="1908"/>
      <c r="AB446" s="1908"/>
      <c r="AC446" s="1908"/>
      <c r="AD446" s="1908"/>
      <c r="AE446" s="1908"/>
      <c r="AF446" s="2003" t="s">
        <v>1639</v>
      </c>
      <c r="AG446" s="2003"/>
      <c r="AH446" s="2003"/>
      <c r="AI446" s="2003"/>
      <c r="AJ446" s="2003"/>
      <c r="AK446" s="2003"/>
      <c r="AL446" s="2004"/>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9"/>
      <c r="G447" s="1909"/>
      <c r="H447" s="1909"/>
      <c r="I447" s="1909"/>
      <c r="J447" s="1909"/>
      <c r="K447" s="1909"/>
      <c r="L447" s="1909"/>
      <c r="M447" s="1909"/>
      <c r="N447" s="1909"/>
      <c r="O447" s="1909"/>
      <c r="P447" s="1909"/>
      <c r="Q447" s="1909"/>
      <c r="R447" s="1909"/>
      <c r="S447" s="1909"/>
      <c r="T447" s="1909"/>
      <c r="U447" s="1909"/>
      <c r="V447" s="1909"/>
      <c r="W447" s="1909"/>
      <c r="X447" s="1909"/>
      <c r="Y447" s="1909"/>
      <c r="Z447" s="1909"/>
      <c r="AA447" s="1909"/>
      <c r="AB447" s="1909"/>
      <c r="AC447" s="1909"/>
      <c r="AD447" s="1909"/>
      <c r="AE447" s="190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9"/>
      <c r="G448" s="1909"/>
      <c r="H448" s="1909"/>
      <c r="I448" s="1909"/>
      <c r="J448" s="1909"/>
      <c r="K448" s="1909"/>
      <c r="L448" s="1909"/>
      <c r="M448" s="1909"/>
      <c r="N448" s="1909"/>
      <c r="O448" s="1909"/>
      <c r="P448" s="1909"/>
      <c r="Q448" s="1909"/>
      <c r="R448" s="1909"/>
      <c r="S448" s="1909"/>
      <c r="T448" s="1909"/>
      <c r="U448" s="1909"/>
      <c r="V448" s="1909"/>
      <c r="W448" s="1909"/>
      <c r="X448" s="1909"/>
      <c r="Y448" s="1909"/>
      <c r="Z448" s="1909"/>
      <c r="AA448" s="1909"/>
      <c r="AB448" s="1909"/>
      <c r="AC448" s="1909"/>
      <c r="AD448" s="1909"/>
      <c r="AE448" s="1909"/>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1"/>
      <c r="G449" s="1991"/>
      <c r="H449" s="1991"/>
      <c r="I449" s="1991"/>
      <c r="J449" s="1991"/>
      <c r="K449" s="1991"/>
      <c r="L449" s="1991"/>
      <c r="M449" s="1991"/>
      <c r="N449" s="1991"/>
      <c r="O449" s="1991"/>
      <c r="P449" s="1991"/>
      <c r="Q449" s="1991"/>
      <c r="R449" s="1991"/>
      <c r="S449" s="1991"/>
      <c r="T449" s="1991"/>
      <c r="U449" s="1991"/>
      <c r="V449" s="1991"/>
      <c r="W449" s="1991"/>
      <c r="X449" s="1991"/>
      <c r="Y449" s="1991"/>
      <c r="Z449" s="1991"/>
      <c r="AA449" s="1991"/>
      <c r="AB449" s="1991"/>
      <c r="AC449" s="1991"/>
      <c r="AD449" s="1991"/>
      <c r="AE449" s="199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8" t="s">
        <v>1685</v>
      </c>
      <c r="G451" s="1908"/>
      <c r="H451" s="1908"/>
      <c r="I451" s="1908"/>
      <c r="J451" s="1908"/>
      <c r="K451" s="1908"/>
      <c r="L451" s="1908"/>
      <c r="M451" s="1908"/>
      <c r="N451" s="1908"/>
      <c r="O451" s="1908"/>
      <c r="P451" s="1908"/>
      <c r="Q451" s="1908"/>
      <c r="R451" s="1908"/>
      <c r="S451" s="1908"/>
      <c r="T451" s="1908"/>
      <c r="U451" s="1908"/>
      <c r="V451" s="1908"/>
      <c r="W451" s="1908"/>
      <c r="X451" s="1908"/>
      <c r="Y451" s="1908"/>
      <c r="Z451" s="1908"/>
      <c r="AA451" s="1908"/>
      <c r="AB451" s="1908"/>
      <c r="AC451" s="1908"/>
      <c r="AD451" s="1908"/>
      <c r="AE451" s="1908"/>
      <c r="AF451" s="1908"/>
      <c r="AG451" s="779"/>
      <c r="AH451" s="749"/>
      <c r="AI451" s="749"/>
      <c r="AJ451" s="749"/>
      <c r="AK451" s="749"/>
      <c r="AL451" s="780"/>
      <c r="AM451" s="605"/>
      <c r="AN451" s="632"/>
    </row>
    <row r="452" spans="1:49" s="585" customFormat="1" ht="12.75" customHeight="1">
      <c r="A452" s="571"/>
      <c r="B452" s="14"/>
      <c r="C452" s="766"/>
      <c r="D452" s="14"/>
      <c r="E452" s="726"/>
      <c r="F452" s="1909"/>
      <c r="G452" s="1909"/>
      <c r="H452" s="1909"/>
      <c r="I452" s="1909"/>
      <c r="J452" s="1909"/>
      <c r="K452" s="1909"/>
      <c r="L452" s="1909"/>
      <c r="M452" s="1909"/>
      <c r="N452" s="1909"/>
      <c r="O452" s="1909"/>
      <c r="P452" s="1909"/>
      <c r="Q452" s="1909"/>
      <c r="R452" s="1909"/>
      <c r="S452" s="1909"/>
      <c r="T452" s="1909"/>
      <c r="U452" s="1909"/>
      <c r="V452" s="1909"/>
      <c r="W452" s="1909"/>
      <c r="X452" s="1909"/>
      <c r="Y452" s="1909"/>
      <c r="Z452" s="1909"/>
      <c r="AA452" s="1909"/>
      <c r="AB452" s="1909"/>
      <c r="AC452" s="1909"/>
      <c r="AD452" s="1909"/>
      <c r="AE452" s="1909"/>
      <c r="AF452" s="1909"/>
      <c r="AL452" s="767"/>
      <c r="AM452" s="605"/>
      <c r="AN452" s="632"/>
    </row>
    <row r="453" spans="1:49" s="585" customFormat="1" ht="12.75" customHeight="1">
      <c r="A453" s="571"/>
      <c r="B453" s="14"/>
      <c r="C453" s="774"/>
      <c r="F453" s="1909"/>
      <c r="G453" s="1909"/>
      <c r="H453" s="1909"/>
      <c r="I453" s="1909"/>
      <c r="J453" s="1909"/>
      <c r="K453" s="1909"/>
      <c r="L453" s="1909"/>
      <c r="M453" s="1909"/>
      <c r="N453" s="1909"/>
      <c r="O453" s="1909"/>
      <c r="P453" s="1909"/>
      <c r="Q453" s="1909"/>
      <c r="R453" s="1909"/>
      <c r="S453" s="1909"/>
      <c r="T453" s="1909"/>
      <c r="U453" s="1909"/>
      <c r="V453" s="1909"/>
      <c r="W453" s="1909"/>
      <c r="X453" s="1909"/>
      <c r="Y453" s="1909"/>
      <c r="Z453" s="1909"/>
      <c r="AA453" s="1909"/>
      <c r="AB453" s="1909"/>
      <c r="AC453" s="1909"/>
      <c r="AD453" s="1909"/>
      <c r="AE453" s="1909"/>
      <c r="AF453" s="1909"/>
      <c r="AL453" s="767"/>
      <c r="AM453" s="605"/>
      <c r="AN453" s="632"/>
    </row>
    <row r="454" spans="1:49" s="585" customFormat="1" ht="12.75" customHeight="1">
      <c r="A454" s="571"/>
      <c r="B454" s="14"/>
      <c r="C454" s="774"/>
      <c r="F454" s="1909"/>
      <c r="G454" s="1909"/>
      <c r="H454" s="1909"/>
      <c r="I454" s="1909"/>
      <c r="J454" s="1909"/>
      <c r="K454" s="1909"/>
      <c r="L454" s="1909"/>
      <c r="M454" s="1909"/>
      <c r="N454" s="1909"/>
      <c r="O454" s="1909"/>
      <c r="P454" s="1909"/>
      <c r="Q454" s="1909"/>
      <c r="R454" s="1909"/>
      <c r="S454" s="1909"/>
      <c r="T454" s="1909"/>
      <c r="U454" s="1909"/>
      <c r="V454" s="1909"/>
      <c r="W454" s="1909"/>
      <c r="X454" s="1909"/>
      <c r="Y454" s="1909"/>
      <c r="Z454" s="1909"/>
      <c r="AA454" s="1909"/>
      <c r="AB454" s="1909"/>
      <c r="AC454" s="1909"/>
      <c r="AD454" s="1909"/>
      <c r="AE454" s="1909"/>
      <c r="AF454" s="1909"/>
      <c r="AL454" s="767"/>
      <c r="AM454" s="605"/>
      <c r="AN454" s="632"/>
    </row>
    <row r="455" spans="1:49" s="585" customFormat="1" ht="12.75" customHeight="1">
      <c r="A455" s="571"/>
      <c r="B455" s="14"/>
      <c r="C455" s="1918" t="s">
        <v>601</v>
      </c>
      <c r="D455" s="1919"/>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7" t="s">
        <v>1639</v>
      </c>
      <c r="AG455" s="1907"/>
      <c r="AH455" s="1907"/>
      <c r="AI455" s="1907"/>
      <c r="AJ455" s="1907"/>
      <c r="AK455" s="1907"/>
      <c r="AL455" s="192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4">
        <f>IF(Application!D213="N/A",AS347,AS349)</f>
        <v>10</v>
      </c>
      <c r="AL458" s="1905"/>
      <c r="AM458" s="190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07" t="s">
        <v>1689</v>
      </c>
      <c r="AF461" s="1907"/>
      <c r="AG461" s="1907"/>
      <c r="AH461" s="1907"/>
      <c r="AI461" s="1907"/>
      <c r="AJ461" s="1907"/>
      <c r="AK461" s="1907"/>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4" t="s">
        <v>601</v>
      </c>
      <c r="D467" s="1985"/>
      <c r="E467" s="797" t="s">
        <v>517</v>
      </c>
      <c r="F467" s="2005" t="s">
        <v>1695</v>
      </c>
      <c r="G467" s="2005"/>
      <c r="H467" s="2005"/>
      <c r="I467" s="2005"/>
      <c r="J467" s="2005"/>
      <c r="K467" s="2005"/>
      <c r="L467" s="2005"/>
      <c r="M467" s="2005"/>
      <c r="N467" s="2005"/>
      <c r="O467" s="2005"/>
      <c r="P467" s="2005"/>
      <c r="Q467" s="2005"/>
      <c r="R467" s="2005"/>
      <c r="S467" s="2005"/>
      <c r="T467" s="2005"/>
      <c r="U467" s="2005"/>
      <c r="V467" s="2005"/>
      <c r="W467" s="2005"/>
      <c r="X467" s="2005"/>
      <c r="Y467" s="2005"/>
      <c r="Z467" s="2005"/>
      <c r="AA467" s="2005"/>
      <c r="AB467" s="2005"/>
      <c r="AC467" s="2005"/>
      <c r="AD467" s="2005"/>
      <c r="AE467" s="2005"/>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6"/>
      <c r="G468" s="2006"/>
      <c r="H468" s="2006"/>
      <c r="I468" s="2006"/>
      <c r="J468" s="2006"/>
      <c r="K468" s="2006"/>
      <c r="L468" s="2006"/>
      <c r="M468" s="2006"/>
      <c r="N468" s="2006"/>
      <c r="O468" s="2006"/>
      <c r="P468" s="2006"/>
      <c r="Q468" s="2006"/>
      <c r="R468" s="2006"/>
      <c r="S468" s="2006"/>
      <c r="T468" s="2006"/>
      <c r="U468" s="2006"/>
      <c r="V468" s="2006"/>
      <c r="W468" s="2006"/>
      <c r="X468" s="2006"/>
      <c r="Y468" s="2006"/>
      <c r="Z468" s="2006"/>
      <c r="AA468" s="2006"/>
      <c r="AB468" s="2006"/>
      <c r="AC468" s="2006"/>
      <c r="AD468" s="2006"/>
      <c r="AE468" s="2006"/>
      <c r="AG468" s="586"/>
      <c r="AH468" s="586"/>
      <c r="AI468" s="586"/>
      <c r="AJ468" s="586"/>
      <c r="AK468" s="767"/>
      <c r="AN468" s="632"/>
      <c r="AO468" s="585" t="s">
        <v>1677</v>
      </c>
      <c r="AP468" s="585">
        <v>1</v>
      </c>
    </row>
    <row r="469" spans="1:50" s="585" customFormat="1" ht="12.75" hidden="1" customHeight="1">
      <c r="C469" s="800"/>
      <c r="D469" s="762"/>
      <c r="E469" s="801"/>
      <c r="F469" s="2000" t="s">
        <v>601</v>
      </c>
      <c r="G469" s="2000"/>
      <c r="H469" s="2000"/>
      <c r="I469" s="2000"/>
      <c r="J469" s="2000"/>
      <c r="K469" s="2000"/>
      <c r="L469" s="2000"/>
      <c r="M469" s="2000"/>
      <c r="N469" s="2000"/>
      <c r="O469" s="2000"/>
      <c r="P469" s="2000"/>
      <c r="Q469" s="2000"/>
      <c r="R469" s="2000"/>
      <c r="S469" s="2000"/>
      <c r="T469" s="2000"/>
      <c r="U469" s="2000"/>
      <c r="V469" s="2000"/>
      <c r="W469" s="2000"/>
      <c r="X469" s="2000"/>
      <c r="Y469" s="2000"/>
      <c r="Z469" s="2000"/>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1" t="s">
        <v>555</v>
      </c>
      <c r="D471" s="2002"/>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3" t="s">
        <v>601</v>
      </c>
      <c r="W474" s="1913"/>
      <c r="X474" s="1913"/>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3" t="s">
        <v>601</v>
      </c>
      <c r="W476" s="1913"/>
      <c r="X476" s="1913"/>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3" t="s">
        <v>601</v>
      </c>
      <c r="W481" s="1913"/>
      <c r="X481" s="1913"/>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7"/>
      <c r="E484" s="1987"/>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3" t="s">
        <v>601</v>
      </c>
      <c r="W485" s="1913"/>
      <c r="X485" s="1913"/>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3" t="s">
        <v>601</v>
      </c>
      <c r="W487" s="1913"/>
      <c r="X487" s="1913"/>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4" t="s">
        <v>601</v>
      </c>
      <c r="D490" s="1985"/>
      <c r="E490" s="797" t="s">
        <v>517</v>
      </c>
      <c r="F490" s="2005" t="s">
        <v>1695</v>
      </c>
      <c r="G490" s="2005"/>
      <c r="H490" s="2005"/>
      <c r="I490" s="2005"/>
      <c r="J490" s="2005"/>
      <c r="K490" s="2005"/>
      <c r="L490" s="2005"/>
      <c r="M490" s="2005"/>
      <c r="N490" s="2005"/>
      <c r="O490" s="2005"/>
      <c r="P490" s="2005"/>
      <c r="Q490" s="2005"/>
      <c r="R490" s="2005"/>
      <c r="S490" s="2005"/>
      <c r="T490" s="2005"/>
      <c r="U490" s="2005"/>
      <c r="V490" s="2005"/>
      <c r="W490" s="2005"/>
      <c r="X490" s="2005"/>
      <c r="Y490" s="2005"/>
      <c r="Z490" s="2005"/>
      <c r="AA490" s="2005"/>
      <c r="AB490" s="2005"/>
      <c r="AC490" s="2005"/>
      <c r="AD490" s="2005"/>
      <c r="AE490" s="2005"/>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6"/>
      <c r="G491" s="2006"/>
      <c r="H491" s="2006"/>
      <c r="I491" s="2006"/>
      <c r="J491" s="2006"/>
      <c r="K491" s="2006"/>
      <c r="L491" s="2006"/>
      <c r="M491" s="2006"/>
      <c r="N491" s="2006"/>
      <c r="O491" s="2006"/>
      <c r="P491" s="2006"/>
      <c r="Q491" s="2006"/>
      <c r="R491" s="2006"/>
      <c r="S491" s="2006"/>
      <c r="T491" s="2006"/>
      <c r="U491" s="2006"/>
      <c r="V491" s="2006"/>
      <c r="W491" s="2006"/>
      <c r="X491" s="2006"/>
      <c r="Y491" s="2006"/>
      <c r="Z491" s="2006"/>
      <c r="AA491" s="2006"/>
      <c r="AB491" s="2006"/>
      <c r="AC491" s="2006"/>
      <c r="AD491" s="2006"/>
      <c r="AE491" s="2006"/>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2" t="s">
        <v>601</v>
      </c>
      <c r="G492" s="1992"/>
      <c r="H492" s="1992"/>
      <c r="I492" s="1992"/>
      <c r="J492" s="1992"/>
      <c r="K492" s="1992"/>
      <c r="L492" s="1992"/>
      <c r="M492" s="1992"/>
      <c r="N492" s="1992"/>
      <c r="O492" s="1992"/>
      <c r="P492" s="1992"/>
      <c r="Q492" s="1992"/>
      <c r="R492" s="1992"/>
      <c r="S492" s="1992"/>
      <c r="T492" s="1992"/>
      <c r="U492" s="1992"/>
      <c r="V492" s="1992"/>
      <c r="W492" s="1992"/>
      <c r="X492" s="1992"/>
      <c r="Y492" s="1992"/>
      <c r="Z492" s="1992"/>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4" t="s">
        <v>601</v>
      </c>
      <c r="D494" s="1985"/>
      <c r="E494" s="797" t="s">
        <v>770</v>
      </c>
      <c r="F494" s="1993" t="s">
        <v>1717</v>
      </c>
      <c r="G494" s="1993"/>
      <c r="H494" s="1993"/>
      <c r="I494" s="1993"/>
      <c r="J494" s="1993"/>
      <c r="K494" s="1993"/>
      <c r="L494" s="1993"/>
      <c r="M494" s="1993"/>
      <c r="N494" s="1993"/>
      <c r="O494" s="1993"/>
      <c r="P494" s="1993"/>
      <c r="Q494" s="1993"/>
      <c r="R494" s="1993"/>
      <c r="S494" s="1993"/>
      <c r="T494" s="1993"/>
      <c r="U494" s="1993"/>
      <c r="V494" s="1993"/>
      <c r="W494" s="1993"/>
      <c r="X494" s="1993"/>
      <c r="Y494" s="1993"/>
      <c r="Z494" s="1993"/>
      <c r="AA494" s="1993"/>
      <c r="AB494" s="1993"/>
      <c r="AC494" s="1993"/>
      <c r="AD494" s="1993"/>
      <c r="AE494" s="199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4"/>
      <c r="G495" s="1994"/>
      <c r="H495" s="1994"/>
      <c r="I495" s="1994"/>
      <c r="J495" s="1994"/>
      <c r="K495" s="1994"/>
      <c r="L495" s="1994"/>
      <c r="M495" s="1994"/>
      <c r="N495" s="1994"/>
      <c r="O495" s="1994"/>
      <c r="P495" s="1994"/>
      <c r="Q495" s="1994"/>
      <c r="R495" s="1994"/>
      <c r="S495" s="1994"/>
      <c r="T495" s="1994"/>
      <c r="U495" s="1994"/>
      <c r="V495" s="1994"/>
      <c r="W495" s="1994"/>
      <c r="X495" s="1994"/>
      <c r="Y495" s="1994"/>
      <c r="Z495" s="1994"/>
      <c r="AA495" s="1994"/>
      <c r="AB495" s="1994"/>
      <c r="AC495" s="1994"/>
      <c r="AD495" s="1994"/>
      <c r="AE495" s="199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5" t="s">
        <v>601</v>
      </c>
      <c r="G497" s="1995"/>
      <c r="H497" s="199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4" t="s">
        <v>601</v>
      </c>
      <c r="D499" s="1985"/>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6"/>
      <c r="D501" s="1987"/>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8" t="s">
        <v>601</v>
      </c>
      <c r="H502" s="1988"/>
      <c r="I502" s="1988"/>
      <c r="J502" s="1988"/>
      <c r="K502" s="1988"/>
      <c r="L502" s="1988"/>
      <c r="M502" s="1988"/>
      <c r="N502" s="1988"/>
      <c r="O502" s="1988"/>
      <c r="P502" s="1988"/>
      <c r="Q502" s="1988"/>
      <c r="R502" s="1988"/>
      <c r="S502" s="1988"/>
      <c r="T502" s="1988"/>
      <c r="U502" s="1988"/>
      <c r="V502" s="1988"/>
      <c r="W502" s="1988"/>
      <c r="X502" s="1988"/>
      <c r="Y502" s="1988"/>
      <c r="Z502" s="1988"/>
      <c r="AA502" s="1988"/>
      <c r="AB502" s="1988"/>
      <c r="AC502" s="1988"/>
      <c r="AD502" s="1988"/>
      <c r="AE502" s="1988"/>
      <c r="AF502" s="198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9" t="s">
        <v>601</v>
      </c>
      <c r="D504" s="1990"/>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9" t="s">
        <v>601</v>
      </c>
      <c r="D508" s="1990"/>
      <c r="F508" s="831" t="s">
        <v>1725</v>
      </c>
      <c r="G508" s="1909" t="s">
        <v>1726</v>
      </c>
      <c r="H508" s="1909"/>
      <c r="I508" s="1909"/>
      <c r="J508" s="1909"/>
      <c r="K508" s="1909"/>
      <c r="L508" s="1909"/>
      <c r="M508" s="1909"/>
      <c r="N508" s="1909"/>
      <c r="O508" s="1909"/>
      <c r="P508" s="1909"/>
      <c r="Q508" s="1909"/>
      <c r="R508" s="1909"/>
      <c r="S508" s="1909"/>
      <c r="T508" s="1909"/>
      <c r="U508" s="1909"/>
      <c r="V508" s="1909"/>
      <c r="W508" s="1909"/>
      <c r="X508" s="1909"/>
      <c r="Y508" s="1909"/>
      <c r="Z508" s="1909"/>
      <c r="AA508" s="1909"/>
      <c r="AB508" s="1909"/>
      <c r="AC508" s="1909"/>
      <c r="AD508" s="1909"/>
      <c r="AE508" s="1909"/>
      <c r="AF508" s="1909"/>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1"/>
      <c r="H509" s="1991"/>
      <c r="I509" s="1991"/>
      <c r="J509" s="1991"/>
      <c r="K509" s="1991"/>
      <c r="L509" s="1991"/>
      <c r="M509" s="1991"/>
      <c r="N509" s="1991"/>
      <c r="O509" s="1991"/>
      <c r="P509" s="1991"/>
      <c r="Q509" s="1991"/>
      <c r="R509" s="1991"/>
      <c r="S509" s="1991"/>
      <c r="T509" s="1991"/>
      <c r="U509" s="1991"/>
      <c r="V509" s="1991"/>
      <c r="W509" s="1991"/>
      <c r="X509" s="1991"/>
      <c r="Y509" s="1991"/>
      <c r="Z509" s="1991"/>
      <c r="AA509" s="1991"/>
      <c r="AB509" s="1991"/>
      <c r="AC509" s="1991"/>
      <c r="AD509" s="1991"/>
      <c r="AE509" s="1991"/>
      <c r="AF509" s="199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6" t="s">
        <v>601</v>
      </c>
      <c r="D512" s="1997"/>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8" t="s">
        <v>601</v>
      </c>
      <c r="G513" s="1998"/>
      <c r="H513" s="1998"/>
      <c r="I513" s="1998"/>
      <c r="J513" s="1998"/>
      <c r="K513" s="1998"/>
      <c r="L513" s="1998"/>
      <c r="M513" s="1998"/>
      <c r="N513" s="1998"/>
      <c r="O513" s="1998"/>
      <c r="P513" s="1998"/>
      <c r="Q513" s="1998"/>
      <c r="R513" s="1998"/>
      <c r="S513" s="1998"/>
      <c r="T513" s="1998"/>
      <c r="U513" s="1998"/>
      <c r="V513" s="1998"/>
      <c r="W513" s="1998"/>
      <c r="X513" s="1998"/>
      <c r="Y513" s="1998"/>
      <c r="Z513" s="1998"/>
      <c r="AA513" s="1998"/>
      <c r="AB513" s="1998"/>
      <c r="AC513" s="1998"/>
      <c r="AD513" s="1998"/>
      <c r="AE513" s="1998"/>
      <c r="AF513" s="1998"/>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9"/>
      <c r="G514" s="1999"/>
      <c r="H514" s="1999"/>
      <c r="I514" s="1999"/>
      <c r="J514" s="1999"/>
      <c r="K514" s="1999"/>
      <c r="L514" s="1999"/>
      <c r="M514" s="1999"/>
      <c r="N514" s="1999"/>
      <c r="O514" s="1999"/>
      <c r="P514" s="1999"/>
      <c r="Q514" s="1999"/>
      <c r="R514" s="1999"/>
      <c r="S514" s="1999"/>
      <c r="T514" s="1999"/>
      <c r="U514" s="1999"/>
      <c r="V514" s="1999"/>
      <c r="W514" s="1999"/>
      <c r="X514" s="1999"/>
      <c r="Y514" s="1999"/>
      <c r="Z514" s="1999"/>
      <c r="AA514" s="1999"/>
      <c r="AB514" s="1999"/>
      <c r="AC514" s="1999"/>
      <c r="AD514" s="1999"/>
      <c r="AE514" s="1999"/>
      <c r="AF514" s="1999"/>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4">
        <f>SUM(AG468:AG513)</f>
        <v>0</v>
      </c>
      <c r="AL524" s="1905"/>
      <c r="AM524" s="190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0" t="s">
        <v>1738</v>
      </c>
      <c r="AF527" s="1910"/>
      <c r="AG527" s="1910"/>
      <c r="AH527" s="1910"/>
      <c r="AI527" s="1910"/>
      <c r="AJ527" s="1910"/>
      <c r="AK527" s="1910"/>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9" t="s">
        <v>601</v>
      </c>
      <c r="D530" s="1919"/>
      <c r="E530" s="586"/>
      <c r="F530" s="1978" t="s">
        <v>1739</v>
      </c>
      <c r="G530" s="1979"/>
      <c r="H530" s="1979"/>
      <c r="I530" s="1979"/>
      <c r="J530" s="1979"/>
      <c r="K530" s="1979"/>
      <c r="L530" s="1979"/>
      <c r="M530" s="1979"/>
      <c r="N530" s="1979"/>
      <c r="O530" s="1979"/>
      <c r="P530" s="1979"/>
      <c r="Q530" s="1979"/>
      <c r="R530" s="1979"/>
      <c r="S530" s="1979"/>
      <c r="T530" s="1979"/>
      <c r="U530" s="1979"/>
      <c r="V530" s="1979"/>
      <c r="W530" s="1979"/>
      <c r="X530" s="1979"/>
      <c r="Y530" s="1979"/>
      <c r="Z530" s="1979"/>
      <c r="AA530" s="1979"/>
      <c r="AB530" s="1979"/>
      <c r="AC530" s="1979"/>
      <c r="AD530" s="1979"/>
      <c r="AE530" s="1979"/>
      <c r="AF530" s="1979"/>
      <c r="AG530" s="1979"/>
      <c r="AH530" s="1979"/>
      <c r="AI530" s="1979"/>
      <c r="AJ530" s="1979"/>
      <c r="AK530" s="1979"/>
      <c r="AL530" s="1980"/>
      <c r="AM530" s="630"/>
      <c r="AN530" s="632"/>
    </row>
    <row r="531" spans="1:49" s="585" customFormat="1" ht="12.75" customHeight="1">
      <c r="A531" s="574"/>
      <c r="B531" s="574"/>
      <c r="C531" s="586"/>
      <c r="D531" s="586"/>
      <c r="E531" s="586"/>
      <c r="F531" s="1981"/>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1982"/>
      <c r="AH531" s="1982"/>
      <c r="AI531" s="1982"/>
      <c r="AJ531" s="1982"/>
      <c r="AK531" s="1982"/>
      <c r="AL531" s="198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9" t="s">
        <v>555</v>
      </c>
      <c r="D533" s="1919"/>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6" t="s">
        <v>1741</v>
      </c>
      <c r="G534" s="1897"/>
      <c r="H534" s="1897"/>
      <c r="I534" s="1897"/>
      <c r="J534" s="1897"/>
      <c r="K534" s="1897"/>
      <c r="L534" s="1897"/>
      <c r="M534" s="1897"/>
      <c r="N534" s="1897"/>
      <c r="O534" s="1897"/>
      <c r="P534" s="1897"/>
      <c r="Q534" s="1897"/>
      <c r="R534" s="1897"/>
      <c r="S534" s="1897"/>
      <c r="T534" s="1897"/>
      <c r="U534" s="1897"/>
      <c r="V534" s="1897"/>
      <c r="W534" s="1897"/>
      <c r="X534" s="1897"/>
      <c r="Y534" s="1897"/>
      <c r="Z534" s="1897"/>
      <c r="AA534" s="1897"/>
      <c r="AB534" s="1897"/>
      <c r="AC534" s="1897"/>
      <c r="AD534" s="1897"/>
      <c r="AE534" s="1897"/>
      <c r="AF534" s="1897"/>
      <c r="AG534" s="1897"/>
      <c r="AH534" s="1897"/>
      <c r="AI534" s="1897"/>
      <c r="AJ534" s="1897"/>
      <c r="AK534" s="1897"/>
      <c r="AL534" s="1898"/>
      <c r="AM534" s="630"/>
      <c r="AN534" s="632"/>
      <c r="AS534" s="906"/>
      <c r="AT534" s="906"/>
      <c r="AU534" s="906"/>
      <c r="AV534" s="906"/>
      <c r="AW534" s="906"/>
    </row>
    <row r="535" spans="1:49" s="585" customFormat="1" ht="12.75" customHeight="1">
      <c r="B535" s="842"/>
      <c r="C535" s="842"/>
      <c r="D535" s="842"/>
      <c r="E535" s="842"/>
      <c r="F535" s="1896"/>
      <c r="G535" s="1897"/>
      <c r="H535" s="1897"/>
      <c r="I535" s="1897"/>
      <c r="J535" s="1897"/>
      <c r="K535" s="1897"/>
      <c r="L535" s="1897"/>
      <c r="M535" s="1897"/>
      <c r="N535" s="1897"/>
      <c r="O535" s="1897"/>
      <c r="P535" s="1897"/>
      <c r="Q535" s="1897"/>
      <c r="R535" s="1897"/>
      <c r="S535" s="1897"/>
      <c r="T535" s="1897"/>
      <c r="U535" s="1897"/>
      <c r="V535" s="1897"/>
      <c r="W535" s="1897"/>
      <c r="X535" s="1897"/>
      <c r="Y535" s="1897"/>
      <c r="Z535" s="1897"/>
      <c r="AA535" s="1897"/>
      <c r="AB535" s="1897"/>
      <c r="AC535" s="1897"/>
      <c r="AD535" s="1897"/>
      <c r="AE535" s="1897"/>
      <c r="AF535" s="1897"/>
      <c r="AG535" s="1897"/>
      <c r="AH535" s="1897"/>
      <c r="AI535" s="1897"/>
      <c r="AJ535" s="1897"/>
      <c r="AK535" s="1897"/>
      <c r="AL535" s="1898"/>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6" t="s">
        <v>1742</v>
      </c>
      <c r="G537" s="1897"/>
      <c r="H537" s="1897"/>
      <c r="I537" s="1897"/>
      <c r="J537" s="1897"/>
      <c r="K537" s="1897"/>
      <c r="L537" s="1897"/>
      <c r="M537" s="1897"/>
      <c r="N537" s="1897"/>
      <c r="O537" s="1897"/>
      <c r="P537" s="1897"/>
      <c r="Q537" s="1897"/>
      <c r="R537" s="1897"/>
      <c r="S537" s="1897"/>
      <c r="T537" s="1897"/>
      <c r="U537" s="1897"/>
      <c r="V537" s="1897"/>
      <c r="W537" s="1897"/>
      <c r="X537" s="1897"/>
      <c r="Y537" s="1897"/>
      <c r="Z537" s="1897"/>
      <c r="AA537" s="1897"/>
      <c r="AB537" s="1897"/>
      <c r="AC537" s="1897"/>
      <c r="AD537" s="1897"/>
      <c r="AE537" s="1897"/>
      <c r="AF537" s="1897"/>
      <c r="AG537" s="1897"/>
      <c r="AH537" s="1897"/>
      <c r="AI537" s="1897"/>
      <c r="AJ537" s="1897"/>
      <c r="AK537" s="1897"/>
      <c r="AL537" s="849"/>
      <c r="AM537" s="630"/>
      <c r="AN537" s="632"/>
    </row>
    <row r="538" spans="1:49" s="585" customFormat="1" ht="12.75" customHeight="1">
      <c r="B538" s="842"/>
      <c r="C538" s="842"/>
      <c r="D538" s="842"/>
      <c r="E538" s="842"/>
      <c r="F538" s="1899"/>
      <c r="G538" s="1900"/>
      <c r="H538" s="1900"/>
      <c r="I538" s="1900"/>
      <c r="J538" s="1900"/>
      <c r="K538" s="1900"/>
      <c r="L538" s="1900"/>
      <c r="M538" s="1900"/>
      <c r="N538" s="1900"/>
      <c r="O538" s="1900"/>
      <c r="P538" s="1900"/>
      <c r="Q538" s="1900"/>
      <c r="R538" s="1900"/>
      <c r="S538" s="1900"/>
      <c r="T538" s="1900"/>
      <c r="U538" s="1900"/>
      <c r="V538" s="1900"/>
      <c r="W538" s="1900"/>
      <c r="X538" s="1900"/>
      <c r="Y538" s="1900"/>
      <c r="Z538" s="1900"/>
      <c r="AA538" s="1900"/>
      <c r="AB538" s="1900"/>
      <c r="AC538" s="1900"/>
      <c r="AD538" s="1900"/>
      <c r="AE538" s="1900"/>
      <c r="AF538" s="1900"/>
      <c r="AG538" s="1900"/>
      <c r="AH538" s="1900"/>
      <c r="AI538" s="1900"/>
      <c r="AJ538" s="1900"/>
      <c r="AK538" s="190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1">
        <f>Application!AJ961</f>
        <v>38686608</v>
      </c>
      <c r="AQ539" s="1891"/>
      <c r="AR539" s="189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1">
        <f>'Sources and Uses Budget'!S107+'Sources and Uses Budget'!T107</f>
        <v>36726878</v>
      </c>
      <c r="AG540" s="1901"/>
      <c r="AH540" s="1901"/>
      <c r="AI540" s="1901"/>
      <c r="AJ540" s="190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2">
        <f>IFERROR(AP548,0)</f>
        <v>83390452.400000006</v>
      </c>
      <c r="AG541" s="1902"/>
      <c r="AH541" s="1902"/>
      <c r="AI541" s="1902"/>
      <c r="AJ541" s="1902"/>
      <c r="AK541" s="630"/>
      <c r="AL541" s="630"/>
      <c r="AM541" s="630"/>
      <c r="AN541" s="632"/>
      <c r="AP541" s="1891">
        <f>Application!AJ1010</f>
        <v>25533161.280000001</v>
      </c>
      <c r="AQ541" s="1891"/>
      <c r="AR541" s="189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3">
        <f>IFERROR(ROUNDDOWN(IF(C533="YES",((1-(AF540/AF541))*2),(1-(AF540/AF541))),2),0)</f>
        <v>1.1100000000000001</v>
      </c>
      <c r="AG542" s="1903"/>
      <c r="AH542" s="1903"/>
      <c r="AI542" s="1903"/>
      <c r="AJ542" s="1903"/>
      <c r="AK542" s="630"/>
      <c r="AL542" s="630"/>
      <c r="AM542" s="630"/>
      <c r="AN542" s="632"/>
      <c r="AP542" s="1892">
        <f>Application!AJ1014</f>
        <v>21664500.48</v>
      </c>
      <c r="AQ542" s="1892"/>
      <c r="AR542" s="189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1">
        <f>IF(((AP541+AP542)/AP539)&gt;0.8,0.8,((AP541+AP542)/AP539))</f>
        <v>0.8</v>
      </c>
      <c r="AQ543" s="1911"/>
      <c r="AR543" s="1911"/>
    </row>
    <row r="544" spans="1:49" s="585" customFormat="1" ht="12.75" customHeight="1">
      <c r="A544" s="659"/>
      <c r="B544" s="1957" t="s">
        <v>2430</v>
      </c>
      <c r="C544" s="1958"/>
      <c r="D544" s="1958"/>
      <c r="E544" s="1958"/>
      <c r="F544" s="1958"/>
      <c r="G544" s="1958"/>
      <c r="H544" s="1958"/>
      <c r="I544" s="1958"/>
      <c r="J544" s="1958"/>
      <c r="K544" s="1958"/>
      <c r="L544" s="1958"/>
      <c r="M544" s="1958"/>
      <c r="N544" s="1958"/>
      <c r="O544" s="1958"/>
      <c r="P544" s="1958"/>
      <c r="Q544" s="1958"/>
      <c r="R544" s="1958"/>
      <c r="S544" s="1958"/>
      <c r="T544" s="1958"/>
      <c r="U544" s="1958"/>
      <c r="V544" s="1958"/>
      <c r="W544" s="1958"/>
      <c r="X544" s="1958"/>
      <c r="Y544" s="1958"/>
      <c r="Z544" s="1958"/>
      <c r="AA544" s="1958"/>
      <c r="AB544" s="1958"/>
      <c r="AC544" s="1958"/>
      <c r="AD544" s="1958"/>
      <c r="AE544" s="1958"/>
      <c r="AF544" s="1958"/>
      <c r="AG544" s="1958"/>
      <c r="AH544" s="1958"/>
      <c r="AI544" s="1958"/>
      <c r="AJ544" s="1959"/>
      <c r="AK544" s="630"/>
      <c r="AL544" s="630"/>
      <c r="AM544" s="630"/>
      <c r="AN544" s="632"/>
    </row>
    <row r="545" spans="1:44" s="585" customFormat="1" ht="12.75" customHeight="1">
      <c r="A545" s="659"/>
      <c r="B545" s="1960"/>
      <c r="C545" s="1961"/>
      <c r="D545" s="1961"/>
      <c r="E545" s="1961"/>
      <c r="F545" s="1961"/>
      <c r="G545" s="1961"/>
      <c r="H545" s="1961"/>
      <c r="I545" s="1961"/>
      <c r="J545" s="1961"/>
      <c r="K545" s="1961"/>
      <c r="L545" s="1961"/>
      <c r="M545" s="1961"/>
      <c r="N545" s="1961"/>
      <c r="O545" s="1961"/>
      <c r="P545" s="1961"/>
      <c r="Q545" s="1961"/>
      <c r="R545" s="1961"/>
      <c r="S545" s="1961"/>
      <c r="T545" s="1961"/>
      <c r="U545" s="1961"/>
      <c r="V545" s="1961"/>
      <c r="W545" s="1961"/>
      <c r="X545" s="1961"/>
      <c r="Y545" s="1961"/>
      <c r="Z545" s="1961"/>
      <c r="AA545" s="1961"/>
      <c r="AB545" s="1961"/>
      <c r="AC545" s="1961"/>
      <c r="AD545" s="1961"/>
      <c r="AE545" s="1961"/>
      <c r="AF545" s="1961"/>
      <c r="AG545" s="1961"/>
      <c r="AH545" s="1961"/>
      <c r="AI545" s="1961"/>
      <c r="AJ545" s="1962"/>
      <c r="AK545" s="630"/>
      <c r="AL545" s="630"/>
      <c r="AM545" s="630"/>
      <c r="AN545" s="632"/>
      <c r="AP545" s="1891">
        <f>AP546-AP541-AP542</f>
        <v>52441166</v>
      </c>
      <c r="AQ545" s="1912"/>
      <c r="AR545" s="1912"/>
    </row>
    <row r="546" spans="1:44" s="585" customFormat="1" ht="12.75" customHeight="1">
      <c r="A546" s="659"/>
      <c r="B546" s="1963"/>
      <c r="C546" s="1964"/>
      <c r="D546" s="1964"/>
      <c r="E546" s="1964"/>
      <c r="F546" s="1964"/>
      <c r="G546" s="1964"/>
      <c r="H546" s="1964"/>
      <c r="I546" s="1964"/>
      <c r="J546" s="1964"/>
      <c r="K546" s="1964"/>
      <c r="L546" s="1964"/>
      <c r="M546" s="1964"/>
      <c r="N546" s="1964"/>
      <c r="O546" s="1964"/>
      <c r="P546" s="1964"/>
      <c r="Q546" s="1964"/>
      <c r="R546" s="1964"/>
      <c r="S546" s="1964"/>
      <c r="T546" s="1964"/>
      <c r="U546" s="1964"/>
      <c r="V546" s="1964"/>
      <c r="W546" s="1964"/>
      <c r="X546" s="1964"/>
      <c r="Y546" s="1964"/>
      <c r="Z546" s="1964"/>
      <c r="AA546" s="1964"/>
      <c r="AB546" s="1964"/>
      <c r="AC546" s="1964"/>
      <c r="AD546" s="1964"/>
      <c r="AE546" s="1964"/>
      <c r="AF546" s="1964"/>
      <c r="AG546" s="1964"/>
      <c r="AH546" s="1964"/>
      <c r="AI546" s="1964"/>
      <c r="AJ546" s="1965"/>
      <c r="AK546" s="630"/>
      <c r="AL546" s="630"/>
      <c r="AM546" s="630"/>
      <c r="AN546" s="632"/>
      <c r="AP546" s="1891">
        <f>Application!AJ1018</f>
        <v>99638827.760000005</v>
      </c>
      <c r="AQ546" s="1891"/>
      <c r="AR546" s="189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6">
        <f>IFERROR(IF(AND(C530="N/A",C533="N/A"),0,IF(AF542=0,0,IF((AF542*100)&gt;12,12,(AF542*100)))),0)</f>
        <v>12</v>
      </c>
      <c r="AL548" s="1966"/>
      <c r="AM548" s="1967"/>
      <c r="AN548" s="632"/>
      <c r="AP548" s="1880">
        <f>AP545+(AP539*AP543)</f>
        <v>83390452.400000006</v>
      </c>
      <c r="AQ548" s="1881"/>
      <c r="AR548" s="1882"/>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0" t="s">
        <v>1487</v>
      </c>
      <c r="AF551" s="1910"/>
      <c r="AG551" s="1910"/>
      <c r="AH551" s="1910"/>
      <c r="AI551" s="1910"/>
      <c r="AJ551" s="1910"/>
      <c r="AK551" s="191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7" t="s">
        <v>2421</v>
      </c>
      <c r="C553" s="1897"/>
      <c r="D553" s="1897"/>
      <c r="E553" s="1897"/>
      <c r="F553" s="1897"/>
      <c r="G553" s="1897"/>
      <c r="H553" s="1897"/>
      <c r="I553" s="1897"/>
      <c r="J553" s="1897"/>
      <c r="K553" s="1897"/>
      <c r="L553" s="1897"/>
      <c r="M553" s="1897"/>
      <c r="N553" s="1897"/>
      <c r="O553" s="1897"/>
      <c r="P553" s="1897"/>
      <c r="Q553" s="1897"/>
      <c r="R553" s="1897"/>
      <c r="S553" s="1897"/>
      <c r="T553" s="1897"/>
      <c r="U553" s="1897"/>
      <c r="V553" s="1897"/>
      <c r="W553" s="1897"/>
      <c r="X553" s="1897"/>
      <c r="Y553" s="1897"/>
      <c r="Z553" s="1897"/>
      <c r="AA553" s="1897"/>
      <c r="AB553" s="1897"/>
      <c r="AC553" s="1897"/>
      <c r="AD553" s="1897"/>
      <c r="AE553" s="1897"/>
      <c r="AF553" s="1897"/>
      <c r="AG553" s="1897"/>
      <c r="AH553" s="1897"/>
      <c r="AI553" s="1897"/>
      <c r="AJ553" s="1897"/>
      <c r="AK553" s="677"/>
      <c r="AL553" s="608"/>
      <c r="AM553" s="638"/>
      <c r="AN553" s="632"/>
    </row>
    <row r="554" spans="1:44" s="585" customFormat="1" ht="12.75" customHeight="1">
      <c r="A554" s="638"/>
      <c r="B554" s="1897"/>
      <c r="C554" s="1897"/>
      <c r="D554" s="1897"/>
      <c r="E554" s="1897"/>
      <c r="F554" s="1897"/>
      <c r="G554" s="1897"/>
      <c r="H554" s="1897"/>
      <c r="I554" s="1897"/>
      <c r="J554" s="1897"/>
      <c r="K554" s="1897"/>
      <c r="L554" s="1897"/>
      <c r="M554" s="1897"/>
      <c r="N554" s="1897"/>
      <c r="O554" s="1897"/>
      <c r="P554" s="1897"/>
      <c r="Q554" s="1897"/>
      <c r="R554" s="1897"/>
      <c r="S554" s="1897"/>
      <c r="T554" s="1897"/>
      <c r="U554" s="1897"/>
      <c r="V554" s="1897"/>
      <c r="W554" s="1897"/>
      <c r="X554" s="1897"/>
      <c r="Y554" s="1897"/>
      <c r="Z554" s="1897"/>
      <c r="AA554" s="1897"/>
      <c r="AB554" s="1897"/>
      <c r="AC554" s="1897"/>
      <c r="AD554" s="1897"/>
      <c r="AE554" s="1897"/>
      <c r="AF554" s="1897"/>
      <c r="AG554" s="1897"/>
      <c r="AH554" s="1897"/>
      <c r="AI554" s="1897"/>
      <c r="AJ554" s="1897"/>
      <c r="AK554" s="677"/>
      <c r="AL554" s="608"/>
      <c r="AM554" s="638"/>
      <c r="AN554" s="632"/>
    </row>
    <row r="555" spans="1:44" s="585" customFormat="1" ht="12.75" customHeight="1">
      <c r="A555" s="638"/>
      <c r="B555" s="1897"/>
      <c r="C555" s="1897"/>
      <c r="D555" s="1897"/>
      <c r="E555" s="1897"/>
      <c r="F555" s="1897"/>
      <c r="G555" s="1897"/>
      <c r="H555" s="1897"/>
      <c r="I555" s="1897"/>
      <c r="J555" s="1897"/>
      <c r="K555" s="1897"/>
      <c r="L555" s="1897"/>
      <c r="M555" s="1897"/>
      <c r="N555" s="1897"/>
      <c r="O555" s="1897"/>
      <c r="P555" s="1897"/>
      <c r="Q555" s="1897"/>
      <c r="R555" s="1897"/>
      <c r="S555" s="1897"/>
      <c r="T555" s="1897"/>
      <c r="U555" s="1897"/>
      <c r="V555" s="1897"/>
      <c r="W555" s="1897"/>
      <c r="X555" s="1897"/>
      <c r="Y555" s="1897"/>
      <c r="Z555" s="1897"/>
      <c r="AA555" s="1897"/>
      <c r="AB555" s="1897"/>
      <c r="AC555" s="1897"/>
      <c r="AD555" s="1897"/>
      <c r="AE555" s="1897"/>
      <c r="AF555" s="1897"/>
      <c r="AG555" s="1897"/>
      <c r="AH555" s="1897"/>
      <c r="AI555" s="1897"/>
      <c r="AJ555" s="1897"/>
      <c r="AK555" s="677"/>
      <c r="AL555" s="608"/>
      <c r="AM555" s="638"/>
      <c r="AN555" s="632"/>
    </row>
    <row r="556" spans="1:44" s="585" customFormat="1" ht="12.75" customHeight="1">
      <c r="A556" s="638"/>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677"/>
      <c r="AL556" s="608"/>
      <c r="AM556" s="638"/>
      <c r="AN556" s="632"/>
    </row>
    <row r="557" spans="1:44" s="585" customFormat="1" ht="12.75" customHeight="1">
      <c r="A557" s="638"/>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677"/>
      <c r="AL557" s="608"/>
      <c r="AM557" s="638"/>
      <c r="AN557" s="632"/>
    </row>
    <row r="558" spans="1:44" s="585" customFormat="1" ht="12.75" customHeight="1">
      <c r="A558" s="638"/>
      <c r="B558" s="1897"/>
      <c r="C558" s="1897"/>
      <c r="D558" s="1897"/>
      <c r="E558" s="1897"/>
      <c r="F558" s="1897"/>
      <c r="G558" s="1897"/>
      <c r="H558" s="1897"/>
      <c r="I558" s="1897"/>
      <c r="J558" s="1897"/>
      <c r="K558" s="1897"/>
      <c r="L558" s="1897"/>
      <c r="M558" s="1897"/>
      <c r="N558" s="1897"/>
      <c r="O558" s="1897"/>
      <c r="P558" s="1897"/>
      <c r="Q558" s="1897"/>
      <c r="R558" s="1897"/>
      <c r="S558" s="1897"/>
      <c r="T558" s="1897"/>
      <c r="U558" s="1897"/>
      <c r="V558" s="1897"/>
      <c r="W558" s="1897"/>
      <c r="X558" s="1897"/>
      <c r="Y558" s="1897"/>
      <c r="Z558" s="1897"/>
      <c r="AA558" s="1897"/>
      <c r="AB558" s="1897"/>
      <c r="AC558" s="1897"/>
      <c r="AD558" s="1897"/>
      <c r="AE558" s="1897"/>
      <c r="AF558" s="1897"/>
      <c r="AG558" s="1897"/>
      <c r="AH558" s="1897"/>
      <c r="AI558" s="1897"/>
      <c r="AJ558" s="1897"/>
      <c r="AK558" s="677"/>
      <c r="AL558" s="608"/>
      <c r="AM558" s="638"/>
      <c r="AN558" s="632"/>
    </row>
    <row r="559" spans="1:44" s="585" customFormat="1" ht="12.75" customHeight="1">
      <c r="A559" s="638"/>
      <c r="B559" s="1897"/>
      <c r="C559" s="1897"/>
      <c r="D559" s="1897"/>
      <c r="E559" s="1897"/>
      <c r="F559" s="1897"/>
      <c r="G559" s="1897"/>
      <c r="H559" s="1897"/>
      <c r="I559" s="1897"/>
      <c r="J559" s="1897"/>
      <c r="K559" s="1897"/>
      <c r="L559" s="1897"/>
      <c r="M559" s="1897"/>
      <c r="N559" s="1897"/>
      <c r="O559" s="1897"/>
      <c r="P559" s="1897"/>
      <c r="Q559" s="1897"/>
      <c r="R559" s="1897"/>
      <c r="S559" s="1897"/>
      <c r="T559" s="1897"/>
      <c r="U559" s="1897"/>
      <c r="V559" s="1897"/>
      <c r="W559" s="1897"/>
      <c r="X559" s="1897"/>
      <c r="Y559" s="1897"/>
      <c r="Z559" s="1897"/>
      <c r="AA559" s="1897"/>
      <c r="AB559" s="1897"/>
      <c r="AC559" s="1897"/>
      <c r="AD559" s="1897"/>
      <c r="AE559" s="1897"/>
      <c r="AF559" s="1897"/>
      <c r="AG559" s="1897"/>
      <c r="AH559" s="1897"/>
      <c r="AI559" s="1897"/>
      <c r="AJ559" s="1897"/>
      <c r="AK559" s="677"/>
      <c r="AL559" s="608"/>
      <c r="AM559" s="638"/>
      <c r="AN559" s="632"/>
    </row>
    <row r="560" spans="1:44" ht="12.75" customHeight="1">
      <c r="A560" s="638"/>
      <c r="B560" s="1897"/>
      <c r="C560" s="1897"/>
      <c r="D560" s="1897"/>
      <c r="E560" s="1897"/>
      <c r="F560" s="1897"/>
      <c r="G560" s="1897"/>
      <c r="H560" s="1897"/>
      <c r="I560" s="1897"/>
      <c r="J560" s="1897"/>
      <c r="K560" s="1897"/>
      <c r="L560" s="1897"/>
      <c r="M560" s="1897"/>
      <c r="N560" s="1897"/>
      <c r="O560" s="1897"/>
      <c r="P560" s="1897"/>
      <c r="Q560" s="1897"/>
      <c r="R560" s="1897"/>
      <c r="S560" s="1897"/>
      <c r="T560" s="1897"/>
      <c r="U560" s="1897"/>
      <c r="V560" s="1897"/>
      <c r="W560" s="1897"/>
      <c r="X560" s="1897"/>
      <c r="Y560" s="1897"/>
      <c r="Z560" s="1897"/>
      <c r="AA560" s="1897"/>
      <c r="AB560" s="1897"/>
      <c r="AC560" s="1897"/>
      <c r="AD560" s="1897"/>
      <c r="AE560" s="1897"/>
      <c r="AF560" s="1897"/>
      <c r="AG560" s="1897"/>
      <c r="AH560" s="1897"/>
      <c r="AI560" s="1897"/>
      <c r="AJ560" s="1897"/>
      <c r="AK560" s="677"/>
      <c r="AL560" s="608"/>
      <c r="AM560" s="638"/>
    </row>
    <row r="561" spans="1:42" s="585" customFormat="1" ht="12.75" customHeight="1">
      <c r="B561" s="1897"/>
      <c r="C561" s="1897"/>
      <c r="D561" s="1897"/>
      <c r="E561" s="1897"/>
      <c r="F561" s="1897"/>
      <c r="G561" s="1897"/>
      <c r="H561" s="1897"/>
      <c r="I561" s="1897"/>
      <c r="J561" s="1897"/>
      <c r="K561" s="1897"/>
      <c r="L561" s="1897"/>
      <c r="M561" s="1897"/>
      <c r="N561" s="1897"/>
      <c r="O561" s="1897"/>
      <c r="P561" s="1897"/>
      <c r="Q561" s="1897"/>
      <c r="R561" s="1897"/>
      <c r="S561" s="1897"/>
      <c r="T561" s="1897"/>
      <c r="U561" s="1897"/>
      <c r="V561" s="1897"/>
      <c r="W561" s="1897"/>
      <c r="X561" s="1897"/>
      <c r="Y561" s="1897"/>
      <c r="Z561" s="1897"/>
      <c r="AA561" s="1897"/>
      <c r="AB561" s="1897"/>
      <c r="AC561" s="1897"/>
      <c r="AD561" s="1897"/>
      <c r="AE561" s="1897"/>
      <c r="AF561" s="1897"/>
      <c r="AG561" s="1897"/>
      <c r="AH561" s="1897"/>
      <c r="AI561" s="1897"/>
      <c r="AJ561" s="189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7" t="s">
        <v>1511</v>
      </c>
      <c r="AG567" s="1977"/>
      <c r="AH567" s="1977"/>
      <c r="AI567" s="1977"/>
      <c r="AJ567" s="1977"/>
      <c r="AK567" s="1977"/>
      <c r="AL567" s="1977"/>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7" t="s">
        <v>1569</v>
      </c>
      <c r="AG574" s="1977"/>
      <c r="AH574" s="1977"/>
      <c r="AI574" s="1977"/>
      <c r="AJ574" s="1977"/>
      <c r="AK574" s="1977"/>
      <c r="AL574" s="1977"/>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7" t="s">
        <v>1551</v>
      </c>
      <c r="AG580" s="1977"/>
      <c r="AH580" s="1977"/>
      <c r="AI580" s="1977"/>
      <c r="AJ580" s="1977"/>
      <c r="AK580" s="1977"/>
      <c r="AL580" s="1977"/>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7" t="s">
        <v>1572</v>
      </c>
      <c r="AG586" s="1977"/>
      <c r="AH586" s="1977"/>
      <c r="AI586" s="1977"/>
      <c r="AJ586" s="1977"/>
      <c r="AK586" s="1977"/>
      <c r="AL586" s="1977"/>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5" t="s">
        <v>1328</v>
      </c>
      <c r="P590" s="2015"/>
      <c r="Q590" s="2015"/>
      <c r="R590" s="2015"/>
      <c r="S590" s="2015"/>
      <c r="T590" s="2015"/>
      <c r="U590" s="2015"/>
      <c r="V590" s="2015"/>
      <c r="W590" s="2015"/>
      <c r="X590" s="2015"/>
      <c r="Y590" s="2015"/>
      <c r="Z590" s="2015"/>
      <c r="AA590" s="2015"/>
      <c r="AB590" s="201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7" t="s">
        <v>1525</v>
      </c>
      <c r="AG592" s="1977"/>
      <c r="AH592" s="1977"/>
      <c r="AI592" s="1977"/>
      <c r="AJ592" s="1977"/>
      <c r="AK592" s="1977"/>
      <c r="AL592" s="1977"/>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21" t="s">
        <v>1570</v>
      </c>
      <c r="I595" s="192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4" t="s">
        <v>601</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2" t="s">
        <v>601</v>
      </c>
      <c r="C605" s="2012"/>
      <c r="D605" s="677"/>
      <c r="E605" s="1897" t="s">
        <v>1576</v>
      </c>
      <c r="F605" s="1897"/>
      <c r="G605" s="1897"/>
      <c r="H605" s="1897"/>
      <c r="I605" s="1897"/>
      <c r="J605" s="1897"/>
      <c r="K605" s="1897"/>
      <c r="L605" s="1897"/>
      <c r="M605" s="1897"/>
      <c r="N605" s="1897"/>
      <c r="O605" s="1897"/>
      <c r="P605" s="1897"/>
      <c r="Q605" s="1897"/>
      <c r="R605" s="1897"/>
      <c r="S605" s="1897"/>
      <c r="T605" s="1897"/>
      <c r="U605" s="1897"/>
      <c r="V605" s="1897"/>
      <c r="W605" s="1897"/>
      <c r="X605" s="1897"/>
      <c r="Y605" s="1897"/>
      <c r="Z605" s="1897"/>
      <c r="AA605" s="1897"/>
      <c r="AB605" s="1897"/>
      <c r="AC605" s="1897"/>
      <c r="AD605" s="1897"/>
      <c r="AE605" s="1897"/>
      <c r="AF605" s="1897"/>
      <c r="AG605" s="1897"/>
      <c r="AH605" s="677"/>
      <c r="AI605" s="677"/>
      <c r="AJ605" s="677"/>
      <c r="AK605" s="677"/>
      <c r="AL605" s="677"/>
      <c r="AN605" s="632"/>
    </row>
    <row r="606" spans="2:47" s="585" customFormat="1" ht="12.75" customHeight="1">
      <c r="B606" s="571"/>
      <c r="C606" s="970"/>
      <c r="D606" s="677"/>
      <c r="E606" s="1897"/>
      <c r="F606" s="1897"/>
      <c r="G606" s="1897"/>
      <c r="H606" s="1897"/>
      <c r="I606" s="1897"/>
      <c r="J606" s="1897"/>
      <c r="K606" s="1897"/>
      <c r="L606" s="1897"/>
      <c r="M606" s="1897"/>
      <c r="N606" s="1897"/>
      <c r="O606" s="1897"/>
      <c r="P606" s="1897"/>
      <c r="Q606" s="1897"/>
      <c r="R606" s="1897"/>
      <c r="S606" s="1897"/>
      <c r="T606" s="1897"/>
      <c r="U606" s="1897"/>
      <c r="V606" s="1897"/>
      <c r="W606" s="1897"/>
      <c r="X606" s="1897"/>
      <c r="Y606" s="1897"/>
      <c r="Z606" s="1897"/>
      <c r="AA606" s="1897"/>
      <c r="AB606" s="1897"/>
      <c r="AC606" s="1897"/>
      <c r="AD606" s="1897"/>
      <c r="AE606" s="1897"/>
      <c r="AF606" s="1897"/>
      <c r="AG606" s="1897"/>
      <c r="AH606" s="677"/>
      <c r="AI606" s="677"/>
      <c r="AJ606" s="677"/>
      <c r="AK606" s="677"/>
      <c r="AL606" s="677"/>
      <c r="AN606" s="632"/>
    </row>
    <row r="607" spans="2:47" s="585" customFormat="1" ht="12.75" customHeight="1">
      <c r="B607" s="571"/>
      <c r="C607" s="970"/>
      <c r="D607" s="677"/>
      <c r="E607" s="1897"/>
      <c r="F607" s="1897"/>
      <c r="G607" s="1897"/>
      <c r="H607" s="1897"/>
      <c r="I607" s="1897"/>
      <c r="J607" s="1897"/>
      <c r="K607" s="1897"/>
      <c r="L607" s="1897"/>
      <c r="M607" s="1897"/>
      <c r="N607" s="1897"/>
      <c r="O607" s="1897"/>
      <c r="P607" s="1897"/>
      <c r="Q607" s="1897"/>
      <c r="R607" s="1897"/>
      <c r="S607" s="1897"/>
      <c r="T607" s="1897"/>
      <c r="U607" s="1897"/>
      <c r="V607" s="1897"/>
      <c r="W607" s="1897"/>
      <c r="X607" s="1897"/>
      <c r="Y607" s="1897"/>
      <c r="Z607" s="1897"/>
      <c r="AA607" s="1897"/>
      <c r="AB607" s="1897"/>
      <c r="AC607" s="1897"/>
      <c r="AD607" s="1897"/>
      <c r="AE607" s="1897"/>
      <c r="AF607" s="1897"/>
      <c r="AG607" s="1897"/>
      <c r="AH607" s="677"/>
      <c r="AI607" s="677"/>
      <c r="AJ607" s="677"/>
      <c r="AK607" s="677"/>
      <c r="AL607" s="677"/>
      <c r="AN607" s="632"/>
    </row>
    <row r="608" spans="2:47" s="585" customFormat="1" ht="12.75" customHeight="1">
      <c r="B608" s="571"/>
      <c r="C608" s="970"/>
      <c r="D608" s="677"/>
      <c r="E608" s="1897"/>
      <c r="F608" s="1897"/>
      <c r="G608" s="1897"/>
      <c r="H608" s="1897"/>
      <c r="I608" s="1897"/>
      <c r="J608" s="1897"/>
      <c r="K608" s="1897"/>
      <c r="L608" s="1897"/>
      <c r="M608" s="1897"/>
      <c r="N608" s="1897"/>
      <c r="O608" s="1897"/>
      <c r="P608" s="1897"/>
      <c r="Q608" s="1897"/>
      <c r="R608" s="1897"/>
      <c r="S608" s="1897"/>
      <c r="T608" s="1897"/>
      <c r="U608" s="1897"/>
      <c r="V608" s="1897"/>
      <c r="W608" s="1897"/>
      <c r="X608" s="1897"/>
      <c r="Y608" s="1897"/>
      <c r="Z608" s="1897"/>
      <c r="AA608" s="1897"/>
      <c r="AB608" s="1897"/>
      <c r="AC608" s="1897"/>
      <c r="AD608" s="1897"/>
      <c r="AE608" s="1897"/>
      <c r="AF608" s="1897"/>
      <c r="AG608" s="189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4">
        <f>VLOOKUP($H$595,$AO$575:$AP$580,2,FALSE)+VLOOKUP($I$603,$AO$602:$AP$604,2,FALSE)</f>
        <v>4</v>
      </c>
      <c r="AK610" s="190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3" t="s">
        <v>1955</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4"/>
      <c r="AF614" s="1977" t="s">
        <v>1525</v>
      </c>
      <c r="AG614" s="1977"/>
      <c r="AH614" s="1977"/>
      <c r="AI614" s="1977"/>
      <c r="AJ614" s="1977"/>
      <c r="AK614" s="1977"/>
      <c r="AL614" s="1977"/>
      <c r="AM614" s="585"/>
      <c r="AN614" s="713"/>
    </row>
    <row r="615" spans="1:42" s="585" customFormat="1" ht="12.75" customHeight="1">
      <c r="A615" s="714"/>
      <c r="B615" s="571"/>
      <c r="C615" s="970"/>
      <c r="D615" s="698"/>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1"/>
      <c r="AF615" s="571"/>
      <c r="AG615" s="571"/>
      <c r="AH615" s="571"/>
      <c r="AI615" s="571"/>
      <c r="AJ615" s="571"/>
      <c r="AK615" s="571"/>
      <c r="AL615" s="571"/>
      <c r="AN615" s="632"/>
    </row>
    <row r="616" spans="1:42" s="585" customFormat="1" ht="12.75" customHeight="1">
      <c r="B616" s="571"/>
      <c r="C616" s="968"/>
      <c r="D616" s="698"/>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1"/>
      <c r="AF616" s="571"/>
      <c r="AG616" s="571"/>
      <c r="AH616" s="571"/>
      <c r="AI616" s="571"/>
      <c r="AJ616" s="571"/>
      <c r="AK616" s="571"/>
      <c r="AL616" s="571"/>
      <c r="AN616" s="632"/>
    </row>
    <row r="617" spans="1:42" s="585" customFormat="1" ht="12.75" customHeight="1">
      <c r="B617" s="571"/>
      <c r="C617" s="968"/>
      <c r="D617" s="698"/>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1"/>
      <c r="AF617" s="571"/>
      <c r="AG617" s="571"/>
      <c r="AH617" s="571"/>
      <c r="AI617" s="571"/>
      <c r="AJ617" s="571"/>
      <c r="AK617" s="571"/>
      <c r="AL617" s="571"/>
      <c r="AN617" s="632"/>
    </row>
    <row r="618" spans="1:42" s="585" customFormat="1" ht="12.75" customHeight="1">
      <c r="B618" s="571"/>
      <c r="C618" s="968"/>
      <c r="D618" s="698"/>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1"/>
      <c r="AF618" s="571"/>
      <c r="AG618" s="571"/>
      <c r="AH618" s="571"/>
      <c r="AI618" s="571"/>
      <c r="AJ618" s="571"/>
      <c r="AK618" s="571"/>
      <c r="AL618" s="571"/>
      <c r="AN618" s="632"/>
    </row>
    <row r="619" spans="1:42" s="585" customFormat="1" ht="12.75" customHeight="1">
      <c r="B619" s="571"/>
      <c r="C619" s="968"/>
      <c r="D619" s="698"/>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1"/>
      <c r="AF619" s="571"/>
      <c r="AG619" s="571"/>
      <c r="AH619" s="571"/>
      <c r="AI619" s="571"/>
      <c r="AJ619" s="571"/>
      <c r="AK619" s="571"/>
      <c r="AL619" s="571"/>
      <c r="AN619" s="632"/>
    </row>
    <row r="620" spans="1:42" s="585" customFormat="1" ht="12.75" customHeight="1">
      <c r="A620" s="672"/>
      <c r="B620" s="651"/>
      <c r="C620" s="977"/>
      <c r="D620" s="698"/>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1"/>
      <c r="AF620" s="651"/>
      <c r="AG620" s="651"/>
      <c r="AH620" s="651"/>
      <c r="AI620" s="651"/>
      <c r="AJ620" s="651"/>
      <c r="AK620" s="571"/>
      <c r="AL620" s="571"/>
      <c r="AN620" s="632"/>
    </row>
    <row r="621" spans="1:42" s="585" customFormat="1" ht="12.75" customHeight="1">
      <c r="B621" s="651"/>
      <c r="C621" s="977"/>
      <c r="D621" s="698"/>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2" t="s">
        <v>601</v>
      </c>
      <c r="Y623" s="2012"/>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7" t="s">
        <v>1581</v>
      </c>
      <c r="AG625" s="1977"/>
      <c r="AH625" s="1977"/>
      <c r="AI625" s="1977"/>
      <c r="AJ625" s="1977"/>
      <c r="AK625" s="1977"/>
      <c r="AL625" s="197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1" t="s">
        <v>601</v>
      </c>
      <c r="I627" s="192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4">
        <f>VLOOKUP($H$627,$AO$594:$AP$596,2,FALSE)</f>
        <v>0</v>
      </c>
      <c r="AK629" s="1906"/>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7" t="s">
        <v>2525</v>
      </c>
      <c r="F633" s="1897"/>
      <c r="G633" s="1897"/>
      <c r="H633" s="1897"/>
      <c r="I633" s="1897"/>
      <c r="J633" s="1897"/>
      <c r="K633" s="1897"/>
      <c r="L633" s="1897"/>
      <c r="M633" s="1897"/>
      <c r="N633" s="1897"/>
      <c r="O633" s="1897"/>
      <c r="P633" s="1897"/>
      <c r="Q633" s="1897"/>
      <c r="R633" s="1897"/>
      <c r="S633" s="1897"/>
      <c r="T633" s="1897"/>
      <c r="U633" s="1897"/>
      <c r="V633" s="1897"/>
      <c r="W633" s="1897"/>
      <c r="X633" s="1897"/>
      <c r="Y633" s="1897"/>
      <c r="Z633" s="1897"/>
      <c r="AA633" s="1897"/>
      <c r="AB633" s="1897"/>
      <c r="AC633" s="1897"/>
      <c r="AD633" s="1897"/>
      <c r="AE633" s="571"/>
      <c r="AF633" s="1977" t="s">
        <v>1525</v>
      </c>
      <c r="AG633" s="1977"/>
      <c r="AH633" s="1977"/>
      <c r="AI633" s="1977"/>
      <c r="AJ633" s="1977"/>
      <c r="AK633" s="1977"/>
      <c r="AL633" s="1977"/>
      <c r="AN633" s="632"/>
    </row>
    <row r="634" spans="1:42" s="585" customFormat="1" ht="12.75" customHeight="1">
      <c r="B634" s="571"/>
      <c r="C634" s="571"/>
      <c r="D634" s="698"/>
      <c r="E634" s="1897"/>
      <c r="F634" s="1897"/>
      <c r="G634" s="1897"/>
      <c r="H634" s="1897"/>
      <c r="I634" s="1897"/>
      <c r="J634" s="1897"/>
      <c r="K634" s="1897"/>
      <c r="L634" s="1897"/>
      <c r="M634" s="1897"/>
      <c r="N634" s="1897"/>
      <c r="O634" s="1897"/>
      <c r="P634" s="1897"/>
      <c r="Q634" s="1897"/>
      <c r="R634" s="1897"/>
      <c r="S634" s="1897"/>
      <c r="T634" s="1897"/>
      <c r="U634" s="1897"/>
      <c r="V634" s="1897"/>
      <c r="W634" s="1897"/>
      <c r="X634" s="1897"/>
      <c r="Y634" s="1897"/>
      <c r="Z634" s="1897"/>
      <c r="AA634" s="1897"/>
      <c r="AB634" s="1897"/>
      <c r="AC634" s="1897"/>
      <c r="AD634" s="189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7" t="s">
        <v>1581</v>
      </c>
      <c r="AG636" s="1977"/>
      <c r="AH636" s="1977"/>
      <c r="AI636" s="1977"/>
      <c r="AJ636" s="1977"/>
      <c r="AK636" s="1977"/>
      <c r="AL636" s="1977"/>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1" t="s">
        <v>601</v>
      </c>
      <c r="I639" s="192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4">
        <f>VLOOKUP(H639,AT594:AU596,2,FALSE)</f>
        <v>0</v>
      </c>
      <c r="AK641" s="1906"/>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7" t="s">
        <v>1591</v>
      </c>
      <c r="F646" s="1897"/>
      <c r="G646" s="1897"/>
      <c r="H646" s="1897"/>
      <c r="I646" s="1897"/>
      <c r="J646" s="1897"/>
      <c r="K646" s="1897"/>
      <c r="L646" s="1897"/>
      <c r="M646" s="1897"/>
      <c r="N646" s="1897"/>
      <c r="O646" s="1897"/>
      <c r="P646" s="1897"/>
      <c r="Q646" s="1897"/>
      <c r="R646" s="1897"/>
      <c r="S646" s="1897"/>
      <c r="T646" s="1897"/>
      <c r="U646" s="1897"/>
      <c r="V646" s="1897"/>
      <c r="W646" s="1897"/>
      <c r="X646" s="1897"/>
      <c r="Y646" s="1897"/>
      <c r="Z646" s="1897"/>
      <c r="AA646" s="1897"/>
      <c r="AB646" s="1897"/>
      <c r="AC646" s="1897"/>
      <c r="AD646" s="571"/>
      <c r="AE646" s="571"/>
      <c r="AF646" s="1977" t="s">
        <v>1551</v>
      </c>
      <c r="AG646" s="1977"/>
      <c r="AH646" s="1977"/>
      <c r="AI646" s="1977"/>
      <c r="AJ646" s="1977"/>
      <c r="AK646" s="1977"/>
      <c r="AL646" s="1977"/>
      <c r="AN646" s="632"/>
    </row>
    <row r="647" spans="1:42" s="585" customFormat="1" ht="12.75" customHeight="1">
      <c r="B647" s="571"/>
      <c r="C647" s="574"/>
      <c r="D647" s="571"/>
      <c r="E647" s="1897"/>
      <c r="F647" s="1897"/>
      <c r="G647" s="1897"/>
      <c r="H647" s="1897"/>
      <c r="I647" s="1897"/>
      <c r="J647" s="1897"/>
      <c r="K647" s="1897"/>
      <c r="L647" s="1897"/>
      <c r="M647" s="1897"/>
      <c r="N647" s="1897"/>
      <c r="O647" s="1897"/>
      <c r="P647" s="1897"/>
      <c r="Q647" s="1897"/>
      <c r="R647" s="1897"/>
      <c r="S647" s="1897"/>
      <c r="T647" s="1897"/>
      <c r="U647" s="1897"/>
      <c r="V647" s="1897"/>
      <c r="W647" s="1897"/>
      <c r="X647" s="1897"/>
      <c r="Y647" s="1897"/>
      <c r="Z647" s="1897"/>
      <c r="AA647" s="1897"/>
      <c r="AB647" s="1897"/>
      <c r="AC647" s="1897"/>
      <c r="AD647" s="571"/>
      <c r="AE647" s="571"/>
      <c r="AF647" s="571"/>
      <c r="AG647" s="571"/>
      <c r="AH647" s="571"/>
      <c r="AI647" s="571"/>
      <c r="AJ647" s="571"/>
      <c r="AK647" s="571"/>
      <c r="AL647" s="571"/>
      <c r="AN647" s="632"/>
    </row>
    <row r="648" spans="1:42" s="585" customFormat="1" ht="12.75" customHeight="1">
      <c r="B648" s="571"/>
      <c r="C648" s="574"/>
      <c r="D648" s="698"/>
      <c r="E648" s="1897"/>
      <c r="F648" s="1897"/>
      <c r="G648" s="1897"/>
      <c r="H648" s="1897"/>
      <c r="I648" s="1897"/>
      <c r="J648" s="1897"/>
      <c r="K648" s="1897"/>
      <c r="L648" s="1897"/>
      <c r="M648" s="1897"/>
      <c r="N648" s="1897"/>
      <c r="O648" s="1897"/>
      <c r="P648" s="1897"/>
      <c r="Q648" s="1897"/>
      <c r="R648" s="1897"/>
      <c r="S648" s="1897"/>
      <c r="T648" s="1897"/>
      <c r="U648" s="1897"/>
      <c r="V648" s="1897"/>
      <c r="W648" s="1897"/>
      <c r="X648" s="1897"/>
      <c r="Y648" s="1897"/>
      <c r="Z648" s="1897"/>
      <c r="AA648" s="1897"/>
      <c r="AB648" s="1897"/>
      <c r="AC648" s="189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7" t="s">
        <v>1592</v>
      </c>
      <c r="F650" s="1897"/>
      <c r="G650" s="1897"/>
      <c r="H650" s="1897"/>
      <c r="I650" s="1897"/>
      <c r="J650" s="1897"/>
      <c r="K650" s="1897"/>
      <c r="L650" s="1897"/>
      <c r="M650" s="1897"/>
      <c r="N650" s="1897"/>
      <c r="O650" s="1897"/>
      <c r="P650" s="1897"/>
      <c r="Q650" s="1897"/>
      <c r="R650" s="1897"/>
      <c r="S650" s="1897"/>
      <c r="T650" s="1897"/>
      <c r="U650" s="1897"/>
      <c r="V650" s="1897"/>
      <c r="W650" s="1897"/>
      <c r="X650" s="1897"/>
      <c r="Y650" s="1897"/>
      <c r="Z650" s="1897"/>
      <c r="AA650" s="1897"/>
      <c r="AB650" s="1897"/>
      <c r="AC650" s="1897"/>
      <c r="AD650" s="571"/>
      <c r="AE650" s="571"/>
      <c r="AF650" s="1977" t="s">
        <v>1572</v>
      </c>
      <c r="AG650" s="1977"/>
      <c r="AH650" s="1977"/>
      <c r="AI650" s="1977"/>
      <c r="AJ650" s="1977"/>
      <c r="AK650" s="1977"/>
      <c r="AL650" s="1977"/>
      <c r="AN650" s="632"/>
    </row>
    <row r="651" spans="1:42" s="585" customFormat="1" ht="12.75" customHeight="1">
      <c r="B651" s="571"/>
      <c r="C651" s="574"/>
      <c r="D651" s="571"/>
      <c r="E651" s="1897"/>
      <c r="F651" s="1897"/>
      <c r="G651" s="1897"/>
      <c r="H651" s="1897"/>
      <c r="I651" s="1897"/>
      <c r="J651" s="1897"/>
      <c r="K651" s="1897"/>
      <c r="L651" s="1897"/>
      <c r="M651" s="1897"/>
      <c r="N651" s="1897"/>
      <c r="O651" s="1897"/>
      <c r="P651" s="1897"/>
      <c r="Q651" s="1897"/>
      <c r="R651" s="1897"/>
      <c r="S651" s="1897"/>
      <c r="T651" s="1897"/>
      <c r="U651" s="1897"/>
      <c r="V651" s="1897"/>
      <c r="W651" s="1897"/>
      <c r="X651" s="1897"/>
      <c r="Y651" s="1897"/>
      <c r="Z651" s="1897"/>
      <c r="AA651" s="1897"/>
      <c r="AB651" s="1897"/>
      <c r="AC651" s="1897"/>
      <c r="AD651" s="571"/>
      <c r="AE651" s="571"/>
      <c r="AF651" s="571"/>
      <c r="AG651" s="571"/>
      <c r="AH651" s="571"/>
      <c r="AI651" s="571"/>
      <c r="AJ651" s="571"/>
      <c r="AK651" s="571"/>
      <c r="AL651" s="571"/>
      <c r="AN651" s="632"/>
    </row>
    <row r="652" spans="1:42" s="585" customFormat="1" ht="15" customHeight="1">
      <c r="B652" s="571"/>
      <c r="C652" s="574"/>
      <c r="D652" s="698"/>
      <c r="E652" s="1897"/>
      <c r="F652" s="1897"/>
      <c r="G652" s="1897"/>
      <c r="H652" s="1897"/>
      <c r="I652" s="1897"/>
      <c r="J652" s="1897"/>
      <c r="K652" s="1897"/>
      <c r="L652" s="1897"/>
      <c r="M652" s="1897"/>
      <c r="N652" s="1897"/>
      <c r="O652" s="1897"/>
      <c r="P652" s="1897"/>
      <c r="Q652" s="1897"/>
      <c r="R652" s="1897"/>
      <c r="S652" s="1897"/>
      <c r="T652" s="1897"/>
      <c r="U652" s="1897"/>
      <c r="V652" s="1897"/>
      <c r="W652" s="1897"/>
      <c r="X652" s="1897"/>
      <c r="Y652" s="1897"/>
      <c r="Z652" s="1897"/>
      <c r="AA652" s="1897"/>
      <c r="AB652" s="1897"/>
      <c r="AC652" s="189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7" t="s">
        <v>1593</v>
      </c>
      <c r="F654" s="1897"/>
      <c r="G654" s="1897"/>
      <c r="H654" s="1897"/>
      <c r="I654" s="1897"/>
      <c r="J654" s="1897"/>
      <c r="K654" s="1897"/>
      <c r="L654" s="1897"/>
      <c r="M654" s="1897"/>
      <c r="N654" s="1897"/>
      <c r="O654" s="1897"/>
      <c r="P654" s="1897"/>
      <c r="Q654" s="1897"/>
      <c r="R654" s="1897"/>
      <c r="S654" s="1897"/>
      <c r="T654" s="1897"/>
      <c r="U654" s="1897"/>
      <c r="V654" s="1897"/>
      <c r="W654" s="1897"/>
      <c r="X654" s="1897"/>
      <c r="Y654" s="1897"/>
      <c r="Z654" s="1897"/>
      <c r="AA654" s="1897"/>
      <c r="AB654" s="1897"/>
      <c r="AC654" s="1897"/>
      <c r="AD654" s="571"/>
      <c r="AE654" s="571"/>
      <c r="AF654" s="1977" t="s">
        <v>1525</v>
      </c>
      <c r="AG654" s="1977"/>
      <c r="AH654" s="1977"/>
      <c r="AI654" s="1977"/>
      <c r="AJ654" s="1977"/>
      <c r="AK654" s="1977"/>
      <c r="AL654" s="1977"/>
      <c r="AN654" s="632"/>
    </row>
    <row r="655" spans="1:42" s="585" customFormat="1" ht="12.75" customHeight="1">
      <c r="B655" s="571"/>
      <c r="C655" s="968"/>
      <c r="D655" s="571"/>
      <c r="E655" s="1897"/>
      <c r="F655" s="1897"/>
      <c r="G655" s="1897"/>
      <c r="H655" s="1897"/>
      <c r="I655" s="1897"/>
      <c r="J655" s="1897"/>
      <c r="K655" s="1897"/>
      <c r="L655" s="1897"/>
      <c r="M655" s="1897"/>
      <c r="N655" s="1897"/>
      <c r="O655" s="1897"/>
      <c r="P655" s="1897"/>
      <c r="Q655" s="1897"/>
      <c r="R655" s="1897"/>
      <c r="S655" s="1897"/>
      <c r="T655" s="1897"/>
      <c r="U655" s="1897"/>
      <c r="V655" s="1897"/>
      <c r="W655" s="1897"/>
      <c r="X655" s="1897"/>
      <c r="Y655" s="1897"/>
      <c r="Z655" s="1897"/>
      <c r="AA655" s="1897"/>
      <c r="AB655" s="1897"/>
      <c r="AC655" s="1897"/>
      <c r="AD655" s="571"/>
      <c r="AE655" s="1977"/>
      <c r="AF655" s="1977"/>
      <c r="AG655" s="1977"/>
      <c r="AH655" s="1977"/>
      <c r="AI655" s="1977"/>
      <c r="AJ655" s="1977"/>
      <c r="AK655" s="1977"/>
      <c r="AL655" s="629"/>
      <c r="AN655" s="632"/>
      <c r="AO655" s="585" t="s">
        <v>601</v>
      </c>
      <c r="AP655" s="708">
        <v>0</v>
      </c>
    </row>
    <row r="656" spans="1:42" s="585" customFormat="1" ht="12.75" customHeight="1">
      <c r="A656" s="714"/>
      <c r="B656" s="571"/>
      <c r="C656" s="571"/>
      <c r="D656" s="698"/>
      <c r="E656" s="1897"/>
      <c r="F656" s="1897"/>
      <c r="G656" s="1897"/>
      <c r="H656" s="1897"/>
      <c r="I656" s="1897"/>
      <c r="J656" s="1897"/>
      <c r="K656" s="1897"/>
      <c r="L656" s="1897"/>
      <c r="M656" s="1897"/>
      <c r="N656" s="1897"/>
      <c r="O656" s="1897"/>
      <c r="P656" s="1897"/>
      <c r="Q656" s="1897"/>
      <c r="R656" s="1897"/>
      <c r="S656" s="1897"/>
      <c r="T656" s="1897"/>
      <c r="U656" s="1897"/>
      <c r="V656" s="1897"/>
      <c r="W656" s="1897"/>
      <c r="X656" s="1897"/>
      <c r="Y656" s="1897"/>
      <c r="Z656" s="1897"/>
      <c r="AA656" s="1897"/>
      <c r="AB656" s="1897"/>
      <c r="AC656" s="1897"/>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897" t="s">
        <v>1594</v>
      </c>
      <c r="F658" s="1897"/>
      <c r="G658" s="1897"/>
      <c r="H658" s="1897"/>
      <c r="I658" s="1897"/>
      <c r="J658" s="1897"/>
      <c r="K658" s="1897"/>
      <c r="L658" s="1897"/>
      <c r="M658" s="1897"/>
      <c r="N658" s="1897"/>
      <c r="O658" s="1897"/>
      <c r="P658" s="1897"/>
      <c r="Q658" s="1897"/>
      <c r="R658" s="1897"/>
      <c r="S658" s="1897"/>
      <c r="T658" s="1897"/>
      <c r="U658" s="1897"/>
      <c r="V658" s="1897"/>
      <c r="W658" s="1897"/>
      <c r="X658" s="1897"/>
      <c r="Y658" s="1897"/>
      <c r="Z658" s="1897"/>
      <c r="AA658" s="1897"/>
      <c r="AB658" s="1897"/>
      <c r="AC658" s="1897"/>
      <c r="AD658" s="571"/>
      <c r="AE658" s="571"/>
      <c r="AF658" s="1977" t="s">
        <v>1572</v>
      </c>
      <c r="AG658" s="1977"/>
      <c r="AH658" s="1977"/>
      <c r="AI658" s="1977"/>
      <c r="AJ658" s="1977"/>
      <c r="AK658" s="1977"/>
      <c r="AL658" s="1977"/>
      <c r="AN658" s="632"/>
    </row>
    <row r="659" spans="1:42" s="585" customFormat="1" ht="12.75" customHeight="1">
      <c r="A659" s="705"/>
      <c r="B659" s="571"/>
      <c r="C659" s="984"/>
      <c r="D659" s="698"/>
      <c r="E659" s="1897"/>
      <c r="F659" s="1897"/>
      <c r="G659" s="1897"/>
      <c r="H659" s="1897"/>
      <c r="I659" s="1897"/>
      <c r="J659" s="1897"/>
      <c r="K659" s="1897"/>
      <c r="L659" s="1897"/>
      <c r="M659" s="1897"/>
      <c r="N659" s="1897"/>
      <c r="O659" s="1897"/>
      <c r="P659" s="1897"/>
      <c r="Q659" s="1897"/>
      <c r="R659" s="1897"/>
      <c r="S659" s="1897"/>
      <c r="T659" s="1897"/>
      <c r="U659" s="1897"/>
      <c r="V659" s="1897"/>
      <c r="W659" s="1897"/>
      <c r="X659" s="1897"/>
      <c r="Y659" s="1897"/>
      <c r="Z659" s="1897"/>
      <c r="AA659" s="1897"/>
      <c r="AB659" s="1897"/>
      <c r="AC659" s="189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7"/>
      <c r="F660" s="1897"/>
      <c r="G660" s="1897"/>
      <c r="H660" s="1897"/>
      <c r="I660" s="1897"/>
      <c r="J660" s="1897"/>
      <c r="K660" s="1897"/>
      <c r="L660" s="1897"/>
      <c r="M660" s="1897"/>
      <c r="N660" s="1897"/>
      <c r="O660" s="1897"/>
      <c r="P660" s="1897"/>
      <c r="Q660" s="1897"/>
      <c r="R660" s="1897"/>
      <c r="S660" s="1897"/>
      <c r="T660" s="1897"/>
      <c r="U660" s="1897"/>
      <c r="V660" s="1897"/>
      <c r="W660" s="1897"/>
      <c r="X660" s="1897"/>
      <c r="Y660" s="1897"/>
      <c r="Z660" s="1897"/>
      <c r="AA660" s="1897"/>
      <c r="AB660" s="1897"/>
      <c r="AC660" s="189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7" t="s">
        <v>1595</v>
      </c>
      <c r="F662" s="1897"/>
      <c r="G662" s="1897"/>
      <c r="H662" s="1897"/>
      <c r="I662" s="1897"/>
      <c r="J662" s="1897"/>
      <c r="K662" s="1897"/>
      <c r="L662" s="1897"/>
      <c r="M662" s="1897"/>
      <c r="N662" s="1897"/>
      <c r="O662" s="1897"/>
      <c r="P662" s="1897"/>
      <c r="Q662" s="1897"/>
      <c r="R662" s="1897"/>
      <c r="S662" s="1897"/>
      <c r="T662" s="1897"/>
      <c r="U662" s="1897"/>
      <c r="V662" s="1897"/>
      <c r="W662" s="1897"/>
      <c r="X662" s="1897"/>
      <c r="Y662" s="1897"/>
      <c r="Z662" s="1897"/>
      <c r="AA662" s="1897"/>
      <c r="AB662" s="1897"/>
      <c r="AC662" s="1897"/>
      <c r="AD662" s="571"/>
      <c r="AE662" s="571"/>
      <c r="AF662" s="1977" t="s">
        <v>1525</v>
      </c>
      <c r="AG662" s="1977"/>
      <c r="AH662" s="1977"/>
      <c r="AI662" s="1977"/>
      <c r="AJ662" s="1977"/>
      <c r="AK662" s="1977"/>
      <c r="AL662" s="1977"/>
      <c r="AM662" s="631"/>
      <c r="AN662" s="632"/>
    </row>
    <row r="663" spans="1:42" s="585" customFormat="1" ht="12.75" customHeight="1">
      <c r="B663" s="571"/>
      <c r="C663" s="968"/>
      <c r="D663" s="698"/>
      <c r="E663" s="1897"/>
      <c r="F663" s="1897"/>
      <c r="G663" s="1897"/>
      <c r="H663" s="1897"/>
      <c r="I663" s="1897"/>
      <c r="J663" s="1897"/>
      <c r="K663" s="1897"/>
      <c r="L663" s="1897"/>
      <c r="M663" s="1897"/>
      <c r="N663" s="1897"/>
      <c r="O663" s="1897"/>
      <c r="P663" s="1897"/>
      <c r="Q663" s="1897"/>
      <c r="R663" s="1897"/>
      <c r="S663" s="1897"/>
      <c r="T663" s="1897"/>
      <c r="U663" s="1897"/>
      <c r="V663" s="1897"/>
      <c r="W663" s="1897"/>
      <c r="X663" s="1897"/>
      <c r="Y663" s="1897"/>
      <c r="Z663" s="1897"/>
      <c r="AA663" s="1897"/>
      <c r="AB663" s="1897"/>
      <c r="AC663" s="1897"/>
      <c r="AD663" s="571"/>
      <c r="AE663" s="571"/>
      <c r="AF663" s="571"/>
      <c r="AG663" s="571"/>
      <c r="AH663" s="571"/>
      <c r="AI663" s="571"/>
      <c r="AJ663" s="571"/>
      <c r="AK663" s="571"/>
      <c r="AL663" s="571"/>
      <c r="AM663" s="631"/>
      <c r="AN663" s="632"/>
    </row>
    <row r="664" spans="1:42" s="585" customFormat="1" ht="12.75" customHeight="1">
      <c r="B664" s="571"/>
      <c r="C664" s="968"/>
      <c r="D664" s="698"/>
      <c r="E664" s="1897"/>
      <c r="F664" s="1897"/>
      <c r="G664" s="1897"/>
      <c r="H664" s="1897"/>
      <c r="I664" s="1897"/>
      <c r="J664" s="1897"/>
      <c r="K664" s="1897"/>
      <c r="L664" s="1897"/>
      <c r="M664" s="1897"/>
      <c r="N664" s="1897"/>
      <c r="O664" s="1897"/>
      <c r="P664" s="1897"/>
      <c r="Q664" s="1897"/>
      <c r="R664" s="1897"/>
      <c r="S664" s="1897"/>
      <c r="T664" s="1897"/>
      <c r="U664" s="1897"/>
      <c r="V664" s="1897"/>
      <c r="W664" s="1897"/>
      <c r="X664" s="1897"/>
      <c r="Y664" s="1897"/>
      <c r="Z664" s="1897"/>
      <c r="AA664" s="1897"/>
      <c r="AB664" s="1897"/>
      <c r="AC664" s="189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7" t="s">
        <v>1596</v>
      </c>
      <c r="F666" s="1897"/>
      <c r="G666" s="1897"/>
      <c r="H666" s="1897"/>
      <c r="I666" s="1897"/>
      <c r="J666" s="1897"/>
      <c r="K666" s="1897"/>
      <c r="L666" s="1897"/>
      <c r="M666" s="1897"/>
      <c r="N666" s="1897"/>
      <c r="O666" s="1897"/>
      <c r="P666" s="1897"/>
      <c r="Q666" s="1897"/>
      <c r="R666" s="1897"/>
      <c r="S666" s="1897"/>
      <c r="T666" s="1897"/>
      <c r="U666" s="1897"/>
      <c r="V666" s="1897"/>
      <c r="W666" s="1897"/>
      <c r="X666" s="1897"/>
      <c r="Y666" s="1897"/>
      <c r="Z666" s="1897"/>
      <c r="AA666" s="1897"/>
      <c r="AB666" s="1897"/>
      <c r="AC666" s="1897"/>
      <c r="AD666" s="571"/>
      <c r="AE666" s="571"/>
      <c r="AF666" s="1977" t="s">
        <v>1581</v>
      </c>
      <c r="AG666" s="1977"/>
      <c r="AH666" s="1977"/>
      <c r="AI666" s="1977"/>
      <c r="AJ666" s="1977"/>
      <c r="AK666" s="1977"/>
      <c r="AL666" s="1977"/>
      <c r="AM666" s="631"/>
      <c r="AN666" s="632"/>
    </row>
    <row r="667" spans="1:42" s="585" customFormat="1" ht="12.75" customHeight="1">
      <c r="A667" s="714"/>
      <c r="B667" s="571"/>
      <c r="C667" s="968"/>
      <c r="D667" s="698"/>
      <c r="E667" s="1897"/>
      <c r="F667" s="1897"/>
      <c r="G667" s="1897"/>
      <c r="H667" s="1897"/>
      <c r="I667" s="1897"/>
      <c r="J667" s="1897"/>
      <c r="K667" s="1897"/>
      <c r="L667" s="1897"/>
      <c r="M667" s="1897"/>
      <c r="N667" s="1897"/>
      <c r="O667" s="1897"/>
      <c r="P667" s="1897"/>
      <c r="Q667" s="1897"/>
      <c r="R667" s="1897"/>
      <c r="S667" s="1897"/>
      <c r="T667" s="1897"/>
      <c r="U667" s="1897"/>
      <c r="V667" s="1897"/>
      <c r="W667" s="1897"/>
      <c r="X667" s="1897"/>
      <c r="Y667" s="1897"/>
      <c r="Z667" s="1897"/>
      <c r="AA667" s="1897"/>
      <c r="AB667" s="1897"/>
      <c r="AC667" s="189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7"/>
      <c r="F668" s="1897"/>
      <c r="G668" s="1897"/>
      <c r="H668" s="1897"/>
      <c r="I668" s="1897"/>
      <c r="J668" s="1897"/>
      <c r="K668" s="1897"/>
      <c r="L668" s="1897"/>
      <c r="M668" s="1897"/>
      <c r="N668" s="1897"/>
      <c r="O668" s="1897"/>
      <c r="P668" s="1897"/>
      <c r="Q668" s="1897"/>
      <c r="R668" s="1897"/>
      <c r="S668" s="1897"/>
      <c r="T668" s="1897"/>
      <c r="U668" s="1897"/>
      <c r="V668" s="1897"/>
      <c r="W668" s="1897"/>
      <c r="X668" s="1897"/>
      <c r="Y668" s="1897"/>
      <c r="Z668" s="1897"/>
      <c r="AA668" s="1897"/>
      <c r="AB668" s="1897"/>
      <c r="AC668" s="189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897" t="s">
        <v>1597</v>
      </c>
      <c r="F670" s="1897"/>
      <c r="G670" s="1897"/>
      <c r="H670" s="1897"/>
      <c r="I670" s="1897"/>
      <c r="J670" s="1897"/>
      <c r="K670" s="1897"/>
      <c r="L670" s="1897"/>
      <c r="M670" s="1897"/>
      <c r="N670" s="1897"/>
      <c r="O670" s="1897"/>
      <c r="P670" s="1897"/>
      <c r="Q670" s="1897"/>
      <c r="R670" s="1897"/>
      <c r="S670" s="1897"/>
      <c r="T670" s="1897"/>
      <c r="U670" s="1897"/>
      <c r="V670" s="1897"/>
      <c r="W670" s="1897"/>
      <c r="X670" s="1897"/>
      <c r="Y670" s="1897"/>
      <c r="Z670" s="1897"/>
      <c r="AA670" s="1897"/>
      <c r="AB670" s="1897"/>
      <c r="AC670" s="1897"/>
      <c r="AD670" s="571"/>
      <c r="AE670" s="571"/>
      <c r="AF670" s="1977" t="s">
        <v>1598</v>
      </c>
      <c r="AG670" s="1977"/>
      <c r="AH670" s="1977"/>
      <c r="AI670" s="1977"/>
      <c r="AJ670" s="1977"/>
      <c r="AK670" s="1977"/>
      <c r="AL670" s="1977"/>
      <c r="AM670" s="631"/>
      <c r="AN670" s="632"/>
      <c r="AO670" s="646" t="s">
        <v>698</v>
      </c>
      <c r="AP670" s="585">
        <v>3</v>
      </c>
    </row>
    <row r="671" spans="1:42" s="585" customFormat="1" ht="12.75" customHeight="1">
      <c r="A671" s="714"/>
      <c r="B671" s="571"/>
      <c r="C671" s="968"/>
      <c r="D671" s="698"/>
      <c r="E671" s="1897"/>
      <c r="F671" s="1897"/>
      <c r="G671" s="1897"/>
      <c r="H671" s="1897"/>
      <c r="I671" s="1897"/>
      <c r="J671" s="1897"/>
      <c r="K671" s="1897"/>
      <c r="L671" s="1897"/>
      <c r="M671" s="1897"/>
      <c r="N671" s="1897"/>
      <c r="O671" s="1897"/>
      <c r="P671" s="1897"/>
      <c r="Q671" s="1897"/>
      <c r="R671" s="1897"/>
      <c r="S671" s="1897"/>
      <c r="T671" s="1897"/>
      <c r="U671" s="1897"/>
      <c r="V671" s="1897"/>
      <c r="W671" s="1897"/>
      <c r="X671" s="1897"/>
      <c r="Y671" s="1897"/>
      <c r="Z671" s="1897"/>
      <c r="AA671" s="1897"/>
      <c r="AB671" s="1897"/>
      <c r="AC671" s="1897"/>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7"/>
      <c r="F672" s="1897"/>
      <c r="G672" s="1897"/>
      <c r="H672" s="1897"/>
      <c r="I672" s="1897"/>
      <c r="J672" s="1897"/>
      <c r="K672" s="1897"/>
      <c r="L672" s="1897"/>
      <c r="M672" s="1897"/>
      <c r="N672" s="1897"/>
      <c r="O672" s="1897"/>
      <c r="P672" s="1897"/>
      <c r="Q672" s="1897"/>
      <c r="R672" s="1897"/>
      <c r="S672" s="1897"/>
      <c r="T672" s="1897"/>
      <c r="U672" s="1897"/>
      <c r="V672" s="1897"/>
      <c r="W672" s="1897"/>
      <c r="X672" s="1897"/>
      <c r="Y672" s="1897"/>
      <c r="Z672" s="1897"/>
      <c r="AA672" s="1897"/>
      <c r="AB672" s="1897"/>
      <c r="AC672" s="189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1" t="s">
        <v>519</v>
      </c>
      <c r="I674" s="192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4">
        <f>VLOOKUP($H$674,$AO$622:$AP$629,2,FALSE)</f>
        <v>4</v>
      </c>
      <c r="AK676" s="190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7" t="s">
        <v>2562</v>
      </c>
      <c r="F680" s="1897"/>
      <c r="G680" s="1897"/>
      <c r="H680" s="1897"/>
      <c r="I680" s="1897"/>
      <c r="J680" s="1897"/>
      <c r="K680" s="1897"/>
      <c r="L680" s="1897"/>
      <c r="M680" s="1897"/>
      <c r="N680" s="1897"/>
      <c r="O680" s="1897"/>
      <c r="P680" s="1897"/>
      <c r="Q680" s="1897"/>
      <c r="R680" s="1897"/>
      <c r="S680" s="1897"/>
      <c r="T680" s="1897"/>
      <c r="U680" s="1897"/>
      <c r="V680" s="1897"/>
      <c r="W680" s="1897"/>
      <c r="X680" s="1897"/>
      <c r="Y680" s="1897"/>
      <c r="Z680" s="1897"/>
      <c r="AA680" s="1897"/>
      <c r="AB680" s="1897"/>
      <c r="AC680" s="571"/>
      <c r="AD680" s="571"/>
      <c r="AE680" s="571"/>
      <c r="AF680" s="1977" t="s">
        <v>1525</v>
      </c>
      <c r="AG680" s="1977"/>
      <c r="AH680" s="1977"/>
      <c r="AI680" s="1977"/>
      <c r="AJ680" s="1977"/>
      <c r="AK680" s="1977"/>
      <c r="AL680" s="1977"/>
      <c r="AN680" s="632"/>
    </row>
    <row r="681" spans="1:42" s="585" customFormat="1" ht="12.75" customHeight="1">
      <c r="B681" s="571"/>
      <c r="C681" s="977"/>
      <c r="D681" s="698"/>
      <c r="E681" s="1897"/>
      <c r="F681" s="1897"/>
      <c r="G681" s="1897"/>
      <c r="H681" s="1897"/>
      <c r="I681" s="1897"/>
      <c r="J681" s="1897"/>
      <c r="K681" s="1897"/>
      <c r="L681" s="1897"/>
      <c r="M681" s="1897"/>
      <c r="N681" s="1897"/>
      <c r="O681" s="1897"/>
      <c r="P681" s="1897"/>
      <c r="Q681" s="1897"/>
      <c r="R681" s="1897"/>
      <c r="S681" s="1897"/>
      <c r="T681" s="1897"/>
      <c r="U681" s="1897"/>
      <c r="V681" s="1897"/>
      <c r="W681" s="1897"/>
      <c r="X681" s="1897"/>
      <c r="Y681" s="1897"/>
      <c r="Z681" s="1897"/>
      <c r="AA681" s="1897"/>
      <c r="AB681" s="1897"/>
      <c r="AC681" s="571"/>
      <c r="AD681" s="571"/>
      <c r="AE681" s="651"/>
      <c r="AF681" s="571"/>
      <c r="AG681" s="571"/>
      <c r="AH681" s="571"/>
      <c r="AI681" s="571"/>
      <c r="AJ681" s="571"/>
      <c r="AK681" s="571"/>
      <c r="AL681" s="571"/>
      <c r="AN681" s="632"/>
      <c r="AO681" s="1912"/>
      <c r="AP681" s="1912"/>
    </row>
    <row r="682" spans="1:42" s="585" customFormat="1" ht="12.75" customHeight="1">
      <c r="B682" s="571"/>
      <c r="C682" s="977"/>
      <c r="D682" s="698"/>
      <c r="E682" s="1897"/>
      <c r="F682" s="1897"/>
      <c r="G682" s="1897"/>
      <c r="H682" s="1897"/>
      <c r="I682" s="1897"/>
      <c r="J682" s="1897"/>
      <c r="K682" s="1897"/>
      <c r="L682" s="1897"/>
      <c r="M682" s="1897"/>
      <c r="N682" s="1897"/>
      <c r="O682" s="1897"/>
      <c r="P682" s="1897"/>
      <c r="Q682" s="1897"/>
      <c r="R682" s="1897"/>
      <c r="S682" s="1897"/>
      <c r="T682" s="1897"/>
      <c r="U682" s="1897"/>
      <c r="V682" s="1897"/>
      <c r="W682" s="1897"/>
      <c r="X682" s="1897"/>
      <c r="Y682" s="1897"/>
      <c r="Z682" s="1897"/>
      <c r="AA682" s="1897"/>
      <c r="AB682" s="1897"/>
      <c r="AC682" s="571"/>
      <c r="AD682" s="571"/>
      <c r="AE682" s="651"/>
      <c r="AF682" s="651"/>
      <c r="AG682" s="651"/>
      <c r="AH682" s="651"/>
      <c r="AI682" s="651"/>
      <c r="AJ682" s="651"/>
      <c r="AK682" s="651"/>
      <c r="AL682" s="651"/>
      <c r="AN682" s="632"/>
    </row>
    <row r="683" spans="1:42" s="585" customFormat="1" ht="28.5" customHeight="1">
      <c r="B683" s="571"/>
      <c r="C683" s="977"/>
      <c r="D683" s="698"/>
      <c r="E683" s="1897"/>
      <c r="F683" s="1897"/>
      <c r="G683" s="1897"/>
      <c r="H683" s="1897"/>
      <c r="I683" s="1897"/>
      <c r="J683" s="1897"/>
      <c r="K683" s="1897"/>
      <c r="L683" s="1897"/>
      <c r="M683" s="1897"/>
      <c r="N683" s="1897"/>
      <c r="O683" s="1897"/>
      <c r="P683" s="1897"/>
      <c r="Q683" s="1897"/>
      <c r="R683" s="1897"/>
      <c r="S683" s="1897"/>
      <c r="T683" s="1897"/>
      <c r="U683" s="1897"/>
      <c r="V683" s="1897"/>
      <c r="W683" s="1897"/>
      <c r="X683" s="1897"/>
      <c r="Y683" s="1897"/>
      <c r="Z683" s="1897"/>
      <c r="AA683" s="1897"/>
      <c r="AB683" s="1897"/>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7" t="s">
        <v>2563</v>
      </c>
      <c r="F685" s="1897"/>
      <c r="G685" s="1897"/>
      <c r="H685" s="1897"/>
      <c r="I685" s="1897"/>
      <c r="J685" s="1897"/>
      <c r="K685" s="1897"/>
      <c r="L685" s="1897"/>
      <c r="M685" s="1897"/>
      <c r="N685" s="1897"/>
      <c r="O685" s="1897"/>
      <c r="P685" s="1897"/>
      <c r="Q685" s="1897"/>
      <c r="R685" s="1897"/>
      <c r="S685" s="1897"/>
      <c r="T685" s="1897"/>
      <c r="U685" s="1897"/>
      <c r="V685" s="1897"/>
      <c r="W685" s="1897"/>
      <c r="X685" s="1897"/>
      <c r="Y685" s="1897"/>
      <c r="Z685" s="1897"/>
      <c r="AA685" s="1897"/>
      <c r="AB685" s="1897"/>
      <c r="AC685" s="571"/>
      <c r="AD685" s="571"/>
      <c r="AE685" s="571"/>
      <c r="AF685" s="1977" t="s">
        <v>1581</v>
      </c>
      <c r="AG685" s="1977"/>
      <c r="AH685" s="1977"/>
      <c r="AI685" s="1977"/>
      <c r="AJ685" s="1977"/>
      <c r="AK685" s="1977"/>
      <c r="AL685" s="1977"/>
      <c r="AN685" s="632"/>
      <c r="AO685" s="646" t="s">
        <v>519</v>
      </c>
      <c r="AP685" s="585">
        <v>1</v>
      </c>
    </row>
    <row r="686" spans="1:42" s="585" customFormat="1" ht="12" customHeight="1">
      <c r="B686" s="571"/>
      <c r="C686" s="968"/>
      <c r="D686" s="571"/>
      <c r="E686" s="1897"/>
      <c r="F686" s="1897"/>
      <c r="G686" s="1897"/>
      <c r="H686" s="1897"/>
      <c r="I686" s="1897"/>
      <c r="J686" s="1897"/>
      <c r="K686" s="1897"/>
      <c r="L686" s="1897"/>
      <c r="M686" s="1897"/>
      <c r="N686" s="1897"/>
      <c r="O686" s="1897"/>
      <c r="P686" s="1897"/>
      <c r="Q686" s="1897"/>
      <c r="R686" s="1897"/>
      <c r="S686" s="1897"/>
      <c r="T686" s="1897"/>
      <c r="U686" s="1897"/>
      <c r="V686" s="1897"/>
      <c r="W686" s="1897"/>
      <c r="X686" s="1897"/>
      <c r="Y686" s="1897"/>
      <c r="Z686" s="1897"/>
      <c r="AA686" s="1897"/>
      <c r="AB686" s="1897"/>
      <c r="AC686" s="571"/>
      <c r="AD686" s="571"/>
      <c r="AE686" s="651"/>
      <c r="AF686" s="571"/>
      <c r="AG686" s="571"/>
      <c r="AH686" s="571"/>
      <c r="AI686" s="571"/>
      <c r="AJ686" s="571"/>
      <c r="AK686" s="571"/>
      <c r="AL686" s="571"/>
      <c r="AN686" s="632"/>
    </row>
    <row r="687" spans="1:42" s="585" customFormat="1" ht="12" customHeight="1">
      <c r="B687" s="571"/>
      <c r="C687" s="968"/>
      <c r="D687" s="571"/>
      <c r="E687" s="1897"/>
      <c r="F687" s="1897"/>
      <c r="G687" s="1897"/>
      <c r="H687" s="1897"/>
      <c r="I687" s="1897"/>
      <c r="J687" s="1897"/>
      <c r="K687" s="1897"/>
      <c r="L687" s="1897"/>
      <c r="M687" s="1897"/>
      <c r="N687" s="1897"/>
      <c r="O687" s="1897"/>
      <c r="P687" s="1897"/>
      <c r="Q687" s="1897"/>
      <c r="R687" s="1897"/>
      <c r="S687" s="1897"/>
      <c r="T687" s="1897"/>
      <c r="U687" s="1897"/>
      <c r="V687" s="1897"/>
      <c r="W687" s="1897"/>
      <c r="X687" s="1897"/>
      <c r="Y687" s="1897"/>
      <c r="Z687" s="1897"/>
      <c r="AA687" s="1897"/>
      <c r="AB687" s="189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7"/>
      <c r="F688" s="1897"/>
      <c r="G688" s="1897"/>
      <c r="H688" s="1897"/>
      <c r="I688" s="1897"/>
      <c r="J688" s="1897"/>
      <c r="K688" s="1897"/>
      <c r="L688" s="1897"/>
      <c r="M688" s="1897"/>
      <c r="N688" s="1897"/>
      <c r="O688" s="1897"/>
      <c r="P688" s="1897"/>
      <c r="Q688" s="1897"/>
      <c r="R688" s="1897"/>
      <c r="S688" s="1897"/>
      <c r="T688" s="1897"/>
      <c r="U688" s="1897"/>
      <c r="V688" s="1897"/>
      <c r="W688" s="1897"/>
      <c r="X688" s="1897"/>
      <c r="Y688" s="1897"/>
      <c r="Z688" s="1897"/>
      <c r="AA688" s="1897"/>
      <c r="AB688" s="189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7" t="s">
        <v>1954</v>
      </c>
      <c r="F690" s="1897"/>
      <c r="G690" s="1897"/>
      <c r="H690" s="1897"/>
      <c r="I690" s="1897"/>
      <c r="J690" s="1897"/>
      <c r="K690" s="1897"/>
      <c r="L690" s="1897"/>
      <c r="M690" s="1897"/>
      <c r="N690" s="1897"/>
      <c r="O690" s="1897"/>
      <c r="P690" s="1897"/>
      <c r="Q690" s="1897"/>
      <c r="R690" s="1897"/>
      <c r="S690" s="1897"/>
      <c r="T690" s="1897"/>
      <c r="U690" s="1897"/>
      <c r="V690" s="1897"/>
      <c r="W690" s="1897"/>
      <c r="X690" s="1897"/>
      <c r="Y690" s="1897"/>
      <c r="Z690" s="1897"/>
      <c r="AA690" s="1897"/>
      <c r="AB690" s="189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7"/>
      <c r="F691" s="1897"/>
      <c r="G691" s="1897"/>
      <c r="H691" s="1897"/>
      <c r="I691" s="1897"/>
      <c r="J691" s="1897"/>
      <c r="K691" s="1897"/>
      <c r="L691" s="1897"/>
      <c r="M691" s="1897"/>
      <c r="N691" s="1897"/>
      <c r="O691" s="1897"/>
      <c r="P691" s="1897"/>
      <c r="Q691" s="1897"/>
      <c r="R691" s="1897"/>
      <c r="S691" s="1897"/>
      <c r="T691" s="1897"/>
      <c r="U691" s="1897"/>
      <c r="V691" s="1897"/>
      <c r="W691" s="1897"/>
      <c r="X691" s="1897"/>
      <c r="Y691" s="1897"/>
      <c r="Z691" s="1897"/>
      <c r="AA691" s="1897"/>
      <c r="AB691" s="189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7"/>
      <c r="F692" s="1897"/>
      <c r="G692" s="1897"/>
      <c r="H692" s="1897"/>
      <c r="I692" s="1897"/>
      <c r="J692" s="1897"/>
      <c r="K692" s="1897"/>
      <c r="L692" s="1897"/>
      <c r="M692" s="1897"/>
      <c r="N692" s="1897"/>
      <c r="O692" s="1897"/>
      <c r="P692" s="1897"/>
      <c r="Q692" s="1897"/>
      <c r="R692" s="1897"/>
      <c r="S692" s="1897"/>
      <c r="T692" s="1897"/>
      <c r="U692" s="1897"/>
      <c r="V692" s="1897"/>
      <c r="W692" s="1897"/>
      <c r="X692" s="1897"/>
      <c r="Y692" s="1897"/>
      <c r="Z692" s="1897"/>
      <c r="AA692" s="1897"/>
      <c r="AB692" s="189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1" t="s">
        <v>601</v>
      </c>
      <c r="I694" s="192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04">
        <f>VLOOKUP($H$694,$AO$641:$AP$643,2,FALSE)</f>
        <v>0</v>
      </c>
      <c r="AK696" s="1906"/>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10" t="s">
        <v>1956</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1"/>
      <c r="AD700" s="571"/>
      <c r="AE700" s="571"/>
      <c r="AF700" s="1977" t="s">
        <v>1525</v>
      </c>
      <c r="AG700" s="1977"/>
      <c r="AH700" s="1977"/>
      <c r="AI700" s="1977"/>
      <c r="AJ700" s="1977"/>
      <c r="AK700" s="1977"/>
      <c r="AL700" s="1977"/>
      <c r="AM700" s="585"/>
      <c r="AN700" s="719"/>
      <c r="AP700" s="605" t="s">
        <v>1605</v>
      </c>
    </row>
    <row r="701" spans="1:42" s="605" customFormat="1" ht="11.85" customHeight="1">
      <c r="A701" s="585"/>
      <c r="B701" s="571"/>
      <c r="C701" s="970"/>
      <c r="D701" s="698"/>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11" t="s">
        <v>1608</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1"/>
      <c r="AD704" s="571"/>
      <c r="AE704" s="571"/>
      <c r="AF704" s="1977" t="s">
        <v>1581</v>
      </c>
      <c r="AG704" s="1977"/>
      <c r="AH704" s="1977"/>
      <c r="AI704" s="1977"/>
      <c r="AJ704" s="1977"/>
      <c r="AK704" s="1977"/>
      <c r="AL704" s="1977"/>
      <c r="AM704" s="585"/>
      <c r="AN704" s="720"/>
    </row>
    <row r="705" spans="1:52" s="605" customFormat="1" ht="12.75" customHeight="1">
      <c r="A705" s="585"/>
      <c r="B705" s="571"/>
      <c r="C705" s="970"/>
      <c r="D705" s="571"/>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1921" t="s">
        <v>601</v>
      </c>
      <c r="I708" s="192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4">
        <f>VLOOKUP($H$708,$AO$641:$AP$643,2,FALSE)</f>
        <v>0</v>
      </c>
      <c r="AK710" s="1906"/>
      <c r="AL710" s="630"/>
      <c r="AM710" s="585"/>
      <c r="AN710" s="719"/>
      <c r="AP710" s="1904"/>
      <c r="AQ710" s="190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7" t="s">
        <v>1957</v>
      </c>
      <c r="F714" s="1897"/>
      <c r="G714" s="1897"/>
      <c r="H714" s="1897"/>
      <c r="I714" s="1897"/>
      <c r="J714" s="1897"/>
      <c r="K714" s="1897"/>
      <c r="L714" s="1897"/>
      <c r="M714" s="1897"/>
      <c r="N714" s="1897"/>
      <c r="O714" s="1897"/>
      <c r="P714" s="1897"/>
      <c r="Q714" s="1897"/>
      <c r="R714" s="1897"/>
      <c r="S714" s="1897"/>
      <c r="T714" s="1897"/>
      <c r="U714" s="1897"/>
      <c r="V714" s="1897"/>
      <c r="W714" s="1897"/>
      <c r="X714" s="1897"/>
      <c r="Y714" s="1897"/>
      <c r="Z714" s="1897"/>
      <c r="AA714" s="1897"/>
      <c r="AB714" s="1897"/>
      <c r="AC714" s="571"/>
      <c r="AD714" s="571"/>
      <c r="AE714" s="571"/>
      <c r="AF714" s="1977" t="s">
        <v>1525</v>
      </c>
      <c r="AG714" s="1977"/>
      <c r="AH714" s="1977"/>
      <c r="AI714" s="1977"/>
      <c r="AJ714" s="1977"/>
      <c r="AK714" s="1977"/>
      <c r="AL714" s="1977"/>
      <c r="AM714" s="585"/>
      <c r="AN714" s="719"/>
      <c r="AT714" s="14"/>
      <c r="AU714" s="14"/>
      <c r="AV714" s="14"/>
      <c r="AW714" s="14"/>
      <c r="AX714" s="14"/>
      <c r="AY714" s="14"/>
      <c r="AZ714" s="14"/>
    </row>
    <row r="715" spans="1:52" s="605" customFormat="1">
      <c r="A715" s="585"/>
      <c r="B715" s="571"/>
      <c r="C715" s="970"/>
      <c r="D715" s="698"/>
      <c r="E715" s="1897"/>
      <c r="F715" s="1897"/>
      <c r="G715" s="1897"/>
      <c r="H715" s="1897"/>
      <c r="I715" s="1897"/>
      <c r="J715" s="1897"/>
      <c r="K715" s="1897"/>
      <c r="L715" s="1897"/>
      <c r="M715" s="1897"/>
      <c r="N715" s="1897"/>
      <c r="O715" s="1897"/>
      <c r="P715" s="1897"/>
      <c r="Q715" s="1897"/>
      <c r="R715" s="1897"/>
      <c r="S715" s="1897"/>
      <c r="T715" s="1897"/>
      <c r="U715" s="1897"/>
      <c r="V715" s="1897"/>
      <c r="W715" s="1897"/>
      <c r="X715" s="1897"/>
      <c r="Y715" s="1897"/>
      <c r="Z715" s="1897"/>
      <c r="AA715" s="1897"/>
      <c r="AB715" s="189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7" t="s">
        <v>1612</v>
      </c>
      <c r="F717" s="1897"/>
      <c r="G717" s="1897"/>
      <c r="H717" s="1897"/>
      <c r="I717" s="1897"/>
      <c r="J717" s="1897"/>
      <c r="K717" s="1897"/>
      <c r="L717" s="1897"/>
      <c r="M717" s="1897"/>
      <c r="N717" s="1897"/>
      <c r="O717" s="1897"/>
      <c r="P717" s="1897"/>
      <c r="Q717" s="1897"/>
      <c r="R717" s="1897"/>
      <c r="S717" s="1897"/>
      <c r="T717" s="1897"/>
      <c r="U717" s="1897"/>
      <c r="V717" s="1897"/>
      <c r="W717" s="1897"/>
      <c r="X717" s="1897"/>
      <c r="Y717" s="1897"/>
      <c r="Z717" s="1897"/>
      <c r="AA717" s="1897"/>
      <c r="AB717" s="1897"/>
      <c r="AC717" s="571"/>
      <c r="AD717" s="571"/>
      <c r="AE717" s="571"/>
      <c r="AF717" s="1977" t="s">
        <v>1581</v>
      </c>
      <c r="AG717" s="1977"/>
      <c r="AH717" s="1977"/>
      <c r="AI717" s="1977"/>
      <c r="AJ717" s="1977"/>
      <c r="AK717" s="1977"/>
      <c r="AL717" s="1977"/>
      <c r="AM717" s="585"/>
      <c r="AN717" s="719"/>
      <c r="AT717" s="14"/>
      <c r="AU717" s="14"/>
      <c r="AV717" s="14"/>
      <c r="AW717" s="14"/>
      <c r="AX717" s="14"/>
      <c r="AY717" s="14"/>
      <c r="AZ717" s="14"/>
    </row>
    <row r="718" spans="1:52" s="605" customFormat="1">
      <c r="A718" s="585"/>
      <c r="B718" s="571"/>
      <c r="C718" s="970"/>
      <c r="D718" s="571"/>
      <c r="E718" s="1897"/>
      <c r="F718" s="1897"/>
      <c r="G718" s="1897"/>
      <c r="H718" s="1897"/>
      <c r="I718" s="1897"/>
      <c r="J718" s="1897"/>
      <c r="K718" s="1897"/>
      <c r="L718" s="1897"/>
      <c r="M718" s="1897"/>
      <c r="N718" s="1897"/>
      <c r="O718" s="1897"/>
      <c r="P718" s="1897"/>
      <c r="Q718" s="1897"/>
      <c r="R718" s="1897"/>
      <c r="S718" s="1897"/>
      <c r="T718" s="1897"/>
      <c r="U718" s="1897"/>
      <c r="V718" s="1897"/>
      <c r="W718" s="1897"/>
      <c r="X718" s="1897"/>
      <c r="Y718" s="1897"/>
      <c r="Z718" s="1897"/>
      <c r="AA718" s="1897"/>
      <c r="AB718" s="189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1" t="s">
        <v>601</v>
      </c>
      <c r="I720" s="192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4">
        <f>VLOOKUP($H$720,$AO$655:$AP$657,2,FALSE)</f>
        <v>0</v>
      </c>
      <c r="AK722" s="190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7" t="s">
        <v>1615</v>
      </c>
      <c r="F726" s="1897"/>
      <c r="G726" s="1897"/>
      <c r="H726" s="1897"/>
      <c r="I726" s="1897"/>
      <c r="J726" s="1897"/>
      <c r="K726" s="1897"/>
      <c r="L726" s="1897"/>
      <c r="M726" s="1897"/>
      <c r="N726" s="1897"/>
      <c r="O726" s="1897"/>
      <c r="P726" s="1897"/>
      <c r="Q726" s="1897"/>
      <c r="R726" s="1897"/>
      <c r="S726" s="1897"/>
      <c r="T726" s="1897"/>
      <c r="U726" s="1897"/>
      <c r="V726" s="1897"/>
      <c r="W726" s="1897"/>
      <c r="X726" s="1897"/>
      <c r="Y726" s="1897"/>
      <c r="Z726" s="1897"/>
      <c r="AA726" s="1897"/>
      <c r="AB726" s="1897"/>
      <c r="AC726" s="571"/>
      <c r="AD726" s="571"/>
      <c r="AE726" s="571"/>
      <c r="AF726" s="1977" t="s">
        <v>1525</v>
      </c>
      <c r="AG726" s="1977"/>
      <c r="AH726" s="1977"/>
      <c r="AI726" s="1977"/>
      <c r="AJ726" s="1977"/>
      <c r="AK726" s="1977"/>
      <c r="AL726" s="1977"/>
      <c r="AM726" s="585"/>
      <c r="AN726" s="719"/>
      <c r="AT726" s="14"/>
      <c r="AU726" s="14"/>
      <c r="AV726" s="14"/>
      <c r="AW726" s="14"/>
      <c r="AX726" s="14"/>
      <c r="AY726" s="14"/>
      <c r="AZ726" s="14"/>
    </row>
    <row r="727" spans="1:81" s="605" customFormat="1">
      <c r="A727" s="585"/>
      <c r="B727" s="571"/>
      <c r="C727" s="968"/>
      <c r="D727" s="698"/>
      <c r="E727" s="1897"/>
      <c r="F727" s="1897"/>
      <c r="G727" s="1897"/>
      <c r="H727" s="1897"/>
      <c r="I727" s="1897"/>
      <c r="J727" s="1897"/>
      <c r="K727" s="1897"/>
      <c r="L727" s="1897"/>
      <c r="M727" s="1897"/>
      <c r="N727" s="1897"/>
      <c r="O727" s="1897"/>
      <c r="P727" s="1897"/>
      <c r="Q727" s="1897"/>
      <c r="R727" s="1897"/>
      <c r="S727" s="1897"/>
      <c r="T727" s="1897"/>
      <c r="U727" s="1897"/>
      <c r="V727" s="1897"/>
      <c r="W727" s="1897"/>
      <c r="X727" s="1897"/>
      <c r="Y727" s="1897"/>
      <c r="Z727" s="1897"/>
      <c r="AA727" s="1897"/>
      <c r="AB727" s="189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7"/>
      <c r="F728" s="1897"/>
      <c r="G728" s="1897"/>
      <c r="H728" s="1897"/>
      <c r="I728" s="1897"/>
      <c r="J728" s="1897"/>
      <c r="K728" s="1897"/>
      <c r="L728" s="1897"/>
      <c r="M728" s="1897"/>
      <c r="N728" s="1897"/>
      <c r="O728" s="1897"/>
      <c r="P728" s="1897"/>
      <c r="Q728" s="1897"/>
      <c r="R728" s="1897"/>
      <c r="S728" s="1897"/>
      <c r="T728" s="1897"/>
      <c r="U728" s="1897"/>
      <c r="V728" s="1897"/>
      <c r="W728" s="1897"/>
      <c r="X728" s="1897"/>
      <c r="Y728" s="1897"/>
      <c r="Z728" s="1897"/>
      <c r="AA728" s="1897"/>
      <c r="AB728" s="189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7"/>
      <c r="F729" s="1897"/>
      <c r="G729" s="1897"/>
      <c r="H729" s="1897"/>
      <c r="I729" s="1897"/>
      <c r="J729" s="1897"/>
      <c r="K729" s="1897"/>
      <c r="L729" s="1897"/>
      <c r="M729" s="1897"/>
      <c r="N729" s="1897"/>
      <c r="O729" s="1897"/>
      <c r="P729" s="1897"/>
      <c r="Q729" s="1897"/>
      <c r="R729" s="1897"/>
      <c r="S729" s="1897"/>
      <c r="T729" s="1897"/>
      <c r="U729" s="1897"/>
      <c r="V729" s="1897"/>
      <c r="W729" s="1897"/>
      <c r="X729" s="1897"/>
      <c r="Y729" s="1897"/>
      <c r="Z729" s="1897"/>
      <c r="AA729" s="1897"/>
      <c r="AB729" s="189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7" t="s">
        <v>1616</v>
      </c>
      <c r="F731" s="1897"/>
      <c r="G731" s="1897"/>
      <c r="H731" s="1897"/>
      <c r="I731" s="1897"/>
      <c r="J731" s="1897"/>
      <c r="K731" s="1897"/>
      <c r="L731" s="1897"/>
      <c r="M731" s="1897"/>
      <c r="N731" s="1897"/>
      <c r="O731" s="1897"/>
      <c r="P731" s="1897"/>
      <c r="Q731" s="1897"/>
      <c r="R731" s="1897"/>
      <c r="S731" s="1897"/>
      <c r="T731" s="1897"/>
      <c r="U731" s="1897"/>
      <c r="V731" s="1897"/>
      <c r="W731" s="1897"/>
      <c r="X731" s="1897"/>
      <c r="Y731" s="1897"/>
      <c r="Z731" s="1897"/>
      <c r="AA731" s="1897"/>
      <c r="AB731" s="610"/>
      <c r="AC731" s="571"/>
      <c r="AD731" s="571"/>
      <c r="AE731" s="571"/>
      <c r="AF731" s="1977" t="s">
        <v>1581</v>
      </c>
      <c r="AG731" s="1977"/>
      <c r="AH731" s="1977"/>
      <c r="AI731" s="1977"/>
      <c r="AJ731" s="1977"/>
      <c r="AK731" s="1977"/>
      <c r="AL731" s="1977"/>
      <c r="AM731" s="585"/>
      <c r="AN731" s="719"/>
      <c r="AO731" s="30"/>
      <c r="AP731" s="14"/>
    </row>
    <row r="732" spans="1:81" s="605" customFormat="1">
      <c r="A732" s="585"/>
      <c r="B732" s="571"/>
      <c r="C732" s="968"/>
      <c r="D732" s="698"/>
      <c r="E732" s="1897"/>
      <c r="F732" s="1897"/>
      <c r="G732" s="1897"/>
      <c r="H732" s="1897"/>
      <c r="I732" s="1897"/>
      <c r="J732" s="1897"/>
      <c r="K732" s="1897"/>
      <c r="L732" s="1897"/>
      <c r="M732" s="1897"/>
      <c r="N732" s="1897"/>
      <c r="O732" s="1897"/>
      <c r="P732" s="1897"/>
      <c r="Q732" s="1897"/>
      <c r="R732" s="1897"/>
      <c r="S732" s="1897"/>
      <c r="T732" s="1897"/>
      <c r="U732" s="1897"/>
      <c r="V732" s="1897"/>
      <c r="W732" s="1897"/>
      <c r="X732" s="1897"/>
      <c r="Y732" s="1897"/>
      <c r="Z732" s="1897"/>
      <c r="AA732" s="189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7"/>
      <c r="F733" s="1897"/>
      <c r="G733" s="1897"/>
      <c r="H733" s="1897"/>
      <c r="I733" s="1897"/>
      <c r="J733" s="1897"/>
      <c r="K733" s="1897"/>
      <c r="L733" s="1897"/>
      <c r="M733" s="1897"/>
      <c r="N733" s="1897"/>
      <c r="O733" s="1897"/>
      <c r="P733" s="1897"/>
      <c r="Q733" s="1897"/>
      <c r="R733" s="1897"/>
      <c r="S733" s="1897"/>
      <c r="T733" s="1897"/>
      <c r="U733" s="1897"/>
      <c r="V733" s="1897"/>
      <c r="W733" s="1897"/>
      <c r="X733" s="1897"/>
      <c r="Y733" s="1897"/>
      <c r="Z733" s="1897"/>
      <c r="AA733" s="189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7"/>
      <c r="F734" s="1897"/>
      <c r="G734" s="1897"/>
      <c r="H734" s="1897"/>
      <c r="I734" s="1897"/>
      <c r="J734" s="1897"/>
      <c r="K734" s="1897"/>
      <c r="L734" s="1897"/>
      <c r="M734" s="1897"/>
      <c r="N734" s="1897"/>
      <c r="O734" s="1897"/>
      <c r="P734" s="1897"/>
      <c r="Q734" s="1897"/>
      <c r="R734" s="1897"/>
      <c r="S734" s="1897"/>
      <c r="T734" s="1897"/>
      <c r="U734" s="1897"/>
      <c r="V734" s="1897"/>
      <c r="W734" s="1897"/>
      <c r="X734" s="1897"/>
      <c r="Y734" s="1897"/>
      <c r="Z734" s="1897"/>
      <c r="AA734" s="189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1" t="s">
        <v>601</v>
      </c>
      <c r="I736" s="192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4">
        <f>VLOOKUP($H$736,$AO$669:$AP$671,2,FALSE)</f>
        <v>0</v>
      </c>
      <c r="AK738" s="190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7" t="s">
        <v>1618</v>
      </c>
      <c r="F742" s="1897"/>
      <c r="G742" s="1897"/>
      <c r="H742" s="1897"/>
      <c r="I742" s="1897"/>
      <c r="J742" s="1897"/>
      <c r="K742" s="1897"/>
      <c r="L742" s="1897"/>
      <c r="M742" s="1897"/>
      <c r="N742" s="1897"/>
      <c r="O742" s="1897"/>
      <c r="P742" s="1897"/>
      <c r="Q742" s="1897"/>
      <c r="R742" s="1897"/>
      <c r="S742" s="1897"/>
      <c r="T742" s="1897"/>
      <c r="U742" s="1897"/>
      <c r="V742" s="1897"/>
      <c r="W742" s="1897"/>
      <c r="X742" s="1897"/>
      <c r="Y742" s="1897"/>
      <c r="Z742" s="1897"/>
      <c r="AA742" s="1897"/>
      <c r="AB742" s="1897"/>
      <c r="AC742" s="571"/>
      <c r="AD742" s="571"/>
      <c r="AE742" s="571"/>
      <c r="AF742" s="1977" t="s">
        <v>1581</v>
      </c>
      <c r="AG742" s="1977"/>
      <c r="AH742" s="1977"/>
      <c r="AI742" s="1977"/>
      <c r="AJ742" s="1977"/>
      <c r="AK742" s="1977"/>
      <c r="AL742" s="197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7"/>
      <c r="F743" s="1897"/>
      <c r="G743" s="1897"/>
      <c r="H743" s="1897"/>
      <c r="I743" s="1897"/>
      <c r="J743" s="1897"/>
      <c r="K743" s="1897"/>
      <c r="L743" s="1897"/>
      <c r="M743" s="1897"/>
      <c r="N743" s="1897"/>
      <c r="O743" s="1897"/>
      <c r="P743" s="1897"/>
      <c r="Q743" s="1897"/>
      <c r="R743" s="1897"/>
      <c r="S743" s="1897"/>
      <c r="T743" s="1897"/>
      <c r="U743" s="1897"/>
      <c r="V743" s="1897"/>
      <c r="W743" s="1897"/>
      <c r="X743" s="1897"/>
      <c r="Y743" s="1897"/>
      <c r="Z743" s="1897"/>
      <c r="AA743" s="1897"/>
      <c r="AB743" s="189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7" t="s">
        <v>1619</v>
      </c>
      <c r="F745" s="1897"/>
      <c r="G745" s="1897"/>
      <c r="H745" s="1897"/>
      <c r="I745" s="1897"/>
      <c r="J745" s="1897"/>
      <c r="K745" s="1897"/>
      <c r="L745" s="1897"/>
      <c r="M745" s="1897"/>
      <c r="N745" s="1897"/>
      <c r="O745" s="1897"/>
      <c r="P745" s="1897"/>
      <c r="Q745" s="1897"/>
      <c r="R745" s="1897"/>
      <c r="S745" s="1897"/>
      <c r="T745" s="1897"/>
      <c r="U745" s="1897"/>
      <c r="V745" s="1897"/>
      <c r="W745" s="1897"/>
      <c r="X745" s="1897"/>
      <c r="Y745" s="1897"/>
      <c r="Z745" s="1897"/>
      <c r="AA745" s="1897"/>
      <c r="AB745" s="1897"/>
      <c r="AC745" s="571"/>
      <c r="AD745" s="571"/>
      <c r="AE745" s="571"/>
      <c r="AF745" s="1977" t="s">
        <v>1598</v>
      </c>
      <c r="AG745" s="1977"/>
      <c r="AH745" s="1977"/>
      <c r="AI745" s="1977"/>
      <c r="AJ745" s="1977"/>
      <c r="AK745" s="1977"/>
      <c r="AL745" s="197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7"/>
      <c r="F746" s="1897"/>
      <c r="G746" s="1897"/>
      <c r="H746" s="1897"/>
      <c r="I746" s="1897"/>
      <c r="J746" s="1897"/>
      <c r="K746" s="1897"/>
      <c r="L746" s="1897"/>
      <c r="M746" s="1897"/>
      <c r="N746" s="1897"/>
      <c r="O746" s="1897"/>
      <c r="P746" s="1897"/>
      <c r="Q746" s="1897"/>
      <c r="R746" s="1897"/>
      <c r="S746" s="1897"/>
      <c r="T746" s="1897"/>
      <c r="U746" s="1897"/>
      <c r="V746" s="1897"/>
      <c r="W746" s="1897"/>
      <c r="X746" s="1897"/>
      <c r="Y746" s="1897"/>
      <c r="Z746" s="1897"/>
      <c r="AA746" s="1897"/>
      <c r="AB746" s="189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1" t="s">
        <v>698</v>
      </c>
      <c r="I748" s="192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4">
        <f>VLOOKUP($H$748,$AO$683:$AP$685,2,FALSE)</f>
        <v>2</v>
      </c>
      <c r="AK750" s="190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7" t="s">
        <v>1953</v>
      </c>
      <c r="F754" s="1897"/>
      <c r="G754" s="1897"/>
      <c r="H754" s="1897"/>
      <c r="I754" s="1897"/>
      <c r="J754" s="1897"/>
      <c r="K754" s="1897"/>
      <c r="L754" s="1897"/>
      <c r="M754" s="1897"/>
      <c r="N754" s="1897"/>
      <c r="O754" s="1897"/>
      <c r="P754" s="1897"/>
      <c r="Q754" s="1897"/>
      <c r="R754" s="1897"/>
      <c r="S754" s="1897"/>
      <c r="T754" s="1897"/>
      <c r="U754" s="1897"/>
      <c r="V754" s="1897"/>
      <c r="W754" s="1897"/>
      <c r="X754" s="1897"/>
      <c r="Y754" s="1897"/>
      <c r="Z754" s="1897"/>
      <c r="AA754" s="1897"/>
      <c r="AB754" s="1897"/>
      <c r="AC754" s="1897"/>
      <c r="AD754" s="1897"/>
      <c r="AE754" s="571"/>
      <c r="AF754" s="1977" t="s">
        <v>1581</v>
      </c>
      <c r="AG754" s="1977"/>
      <c r="AH754" s="1977"/>
      <c r="AI754" s="1977"/>
      <c r="AJ754" s="1977"/>
      <c r="AK754" s="1977"/>
      <c r="AL754" s="1977"/>
      <c r="AM754" s="648"/>
      <c r="AN754" s="719"/>
    </row>
    <row r="755" spans="1:81" s="605" customFormat="1" ht="13.7" customHeight="1">
      <c r="A755" s="585"/>
      <c r="B755" s="651"/>
      <c r="C755" s="977"/>
      <c r="D755" s="698"/>
      <c r="E755" s="1897"/>
      <c r="F755" s="1897"/>
      <c r="G755" s="1897"/>
      <c r="H755" s="1897"/>
      <c r="I755" s="1897"/>
      <c r="J755" s="1897"/>
      <c r="K755" s="1897"/>
      <c r="L755" s="1897"/>
      <c r="M755" s="1897"/>
      <c r="N755" s="1897"/>
      <c r="O755" s="1897"/>
      <c r="P755" s="1897"/>
      <c r="Q755" s="1897"/>
      <c r="R755" s="1897"/>
      <c r="S755" s="1897"/>
      <c r="T755" s="1897"/>
      <c r="U755" s="1897"/>
      <c r="V755" s="1897"/>
      <c r="W755" s="1897"/>
      <c r="X755" s="1897"/>
      <c r="Y755" s="1897"/>
      <c r="Z755" s="1897"/>
      <c r="AA755" s="1897"/>
      <c r="AB755" s="1897"/>
      <c r="AC755" s="1897"/>
      <c r="AD755" s="1897"/>
      <c r="AE755" s="571"/>
      <c r="AF755" s="629"/>
      <c r="AG755" s="629"/>
      <c r="AH755" s="629"/>
      <c r="AI755" s="629"/>
      <c r="AJ755" s="629"/>
      <c r="AK755" s="629"/>
      <c r="AL755" s="629"/>
      <c r="AM755" s="648"/>
      <c r="AN755" s="719"/>
    </row>
    <row r="756" spans="1:81" s="605" customFormat="1">
      <c r="A756" s="585"/>
      <c r="B756" s="651"/>
      <c r="C756" s="977"/>
      <c r="D756" s="698"/>
      <c r="E756" s="1897"/>
      <c r="F756" s="1897"/>
      <c r="G756" s="1897"/>
      <c r="H756" s="1897"/>
      <c r="I756" s="1897"/>
      <c r="J756" s="1897"/>
      <c r="K756" s="1897"/>
      <c r="L756" s="1897"/>
      <c r="M756" s="1897"/>
      <c r="N756" s="1897"/>
      <c r="O756" s="1897"/>
      <c r="P756" s="1897"/>
      <c r="Q756" s="1897"/>
      <c r="R756" s="1897"/>
      <c r="S756" s="1897"/>
      <c r="T756" s="1897"/>
      <c r="U756" s="1897"/>
      <c r="V756" s="1897"/>
      <c r="W756" s="1897"/>
      <c r="X756" s="1897"/>
      <c r="Y756" s="1897"/>
      <c r="Z756" s="1897"/>
      <c r="AA756" s="1897"/>
      <c r="AB756" s="1897"/>
      <c r="AC756" s="1897"/>
      <c r="AD756" s="189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7"/>
      <c r="F757" s="1897"/>
      <c r="G757" s="1897"/>
      <c r="H757" s="1897"/>
      <c r="I757" s="1897"/>
      <c r="J757" s="1897"/>
      <c r="K757" s="1897"/>
      <c r="L757" s="1897"/>
      <c r="M757" s="1897"/>
      <c r="N757" s="1897"/>
      <c r="O757" s="1897"/>
      <c r="P757" s="1897"/>
      <c r="Q757" s="1897"/>
      <c r="R757" s="1897"/>
      <c r="S757" s="1897"/>
      <c r="T757" s="1897"/>
      <c r="U757" s="1897"/>
      <c r="V757" s="1897"/>
      <c r="W757" s="1897"/>
      <c r="X757" s="1897"/>
      <c r="Y757" s="1897"/>
      <c r="Z757" s="1897"/>
      <c r="AA757" s="1897"/>
      <c r="AB757" s="1897"/>
      <c r="AC757" s="1897"/>
      <c r="AD757" s="189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9" t="s">
        <v>1958</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77" t="s">
        <v>1525</v>
      </c>
      <c r="AG759" s="1977"/>
      <c r="AH759" s="1977"/>
      <c r="AI759" s="1977"/>
      <c r="AJ759" s="1977"/>
      <c r="AK759" s="1977"/>
      <c r="AL759" s="1977"/>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1" t="s">
        <v>601</v>
      </c>
      <c r="I764" s="192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4">
        <f>VLOOKUP($H$764,$AP$705:$AQ$707,2,FALSE)</f>
        <v>0</v>
      </c>
      <c r="AK766" s="1906"/>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7" t="s">
        <v>2431</v>
      </c>
      <c r="F770" s="1897"/>
      <c r="G770" s="1897"/>
      <c r="H770" s="1897"/>
      <c r="I770" s="1897"/>
      <c r="J770" s="1897"/>
      <c r="K770" s="1897"/>
      <c r="L770" s="1897"/>
      <c r="M770" s="1897"/>
      <c r="N770" s="1897"/>
      <c r="O770" s="1897"/>
      <c r="P770" s="1897"/>
      <c r="Q770" s="1897"/>
      <c r="R770" s="1897"/>
      <c r="S770" s="1897"/>
      <c r="T770" s="1897"/>
      <c r="U770" s="1897"/>
      <c r="V770" s="1897"/>
      <c r="W770" s="1897"/>
      <c r="X770" s="1897"/>
      <c r="Y770" s="1897"/>
      <c r="Z770" s="1897"/>
      <c r="AA770" s="1897"/>
      <c r="AB770" s="1897"/>
      <c r="AC770" s="1897"/>
      <c r="AD770" s="1897"/>
      <c r="AE770" s="571"/>
      <c r="AF770" s="1977" t="s">
        <v>1525</v>
      </c>
      <c r="AG770" s="1977"/>
      <c r="AH770" s="1977"/>
      <c r="AI770" s="1977"/>
      <c r="AJ770" s="1977"/>
      <c r="AK770" s="1977"/>
      <c r="AL770" s="1977"/>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7"/>
      <c r="F771" s="1897"/>
      <c r="G771" s="1897"/>
      <c r="H771" s="1897"/>
      <c r="I771" s="1897"/>
      <c r="J771" s="1897"/>
      <c r="K771" s="1897"/>
      <c r="L771" s="1897"/>
      <c r="M771" s="1897"/>
      <c r="N771" s="1897"/>
      <c r="O771" s="1897"/>
      <c r="P771" s="1897"/>
      <c r="Q771" s="1897"/>
      <c r="R771" s="1897"/>
      <c r="S771" s="1897"/>
      <c r="T771" s="1897"/>
      <c r="U771" s="1897"/>
      <c r="V771" s="1897"/>
      <c r="W771" s="1897"/>
      <c r="X771" s="1897"/>
      <c r="Y771" s="1897"/>
      <c r="Z771" s="1897"/>
      <c r="AA771" s="1897"/>
      <c r="AB771" s="1897"/>
      <c r="AC771" s="1897"/>
      <c r="AD771" s="189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7"/>
      <c r="F772" s="1897"/>
      <c r="G772" s="1897"/>
      <c r="H772" s="1897"/>
      <c r="I772" s="1897"/>
      <c r="J772" s="1897"/>
      <c r="K772" s="1897"/>
      <c r="L772" s="1897"/>
      <c r="M772" s="1897"/>
      <c r="N772" s="1897"/>
      <c r="O772" s="1897"/>
      <c r="P772" s="1897"/>
      <c r="Q772" s="1897"/>
      <c r="R772" s="1897"/>
      <c r="S772" s="1897"/>
      <c r="T772" s="1897"/>
      <c r="U772" s="1897"/>
      <c r="V772" s="1897"/>
      <c r="W772" s="1897"/>
      <c r="X772" s="1897"/>
      <c r="Y772" s="1897"/>
      <c r="Z772" s="1897"/>
      <c r="AA772" s="1897"/>
      <c r="AB772" s="1897"/>
      <c r="AC772" s="1897"/>
      <c r="AD772" s="189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7"/>
      <c r="F773" s="1897"/>
      <c r="G773" s="1897"/>
      <c r="H773" s="1897"/>
      <c r="I773" s="1897"/>
      <c r="J773" s="1897"/>
      <c r="K773" s="1897"/>
      <c r="L773" s="1897"/>
      <c r="M773" s="1897"/>
      <c r="N773" s="1897"/>
      <c r="O773" s="1897"/>
      <c r="P773" s="1897"/>
      <c r="Q773" s="1897"/>
      <c r="R773" s="1897"/>
      <c r="S773" s="1897"/>
      <c r="T773" s="1897"/>
      <c r="U773" s="1897"/>
      <c r="V773" s="1897"/>
      <c r="W773" s="1897"/>
      <c r="X773" s="1897"/>
      <c r="Y773" s="1897"/>
      <c r="Z773" s="1897"/>
      <c r="AA773" s="1897"/>
      <c r="AB773" s="1897"/>
      <c r="AC773" s="1897"/>
      <c r="AD773" s="189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1" t="s">
        <v>555</v>
      </c>
      <c r="I775" s="192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4">
        <f>VLOOKUP($H$775,$AO$769:$AP$770,2,FALSE)</f>
        <v>3</v>
      </c>
      <c r="AK777" s="190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4">
        <f>IF(($AJ$610+$AJ$629+$AJ$641+$AJ$676+$AJ$696+$AJ$710+$AJ$722+$AJ$738+$AJ$750+$AJ$766+AJ777)&gt;10,10,($AJ$610+$AJ$629+$AJ$641+$AJ$676+$AJ$696+$AJ$710+$AJ$722+$AJ$738+$AJ$750+$AJ$766+AJ777))</f>
        <v>10</v>
      </c>
      <c r="AL779" s="1905"/>
      <c r="AM779" s="190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8" t="s">
        <v>1746</v>
      </c>
      <c r="B782" s="1969"/>
      <c r="C782" s="1969"/>
      <c r="D782" s="1969"/>
      <c r="E782" s="1969"/>
      <c r="F782" s="1969"/>
      <c r="G782" s="1969"/>
      <c r="H782" s="1969"/>
      <c r="I782" s="1969"/>
      <c r="J782" s="1969"/>
      <c r="K782" s="1969"/>
      <c r="L782" s="1969"/>
      <c r="M782" s="1969"/>
      <c r="N782" s="1969"/>
      <c r="O782" s="1969"/>
      <c r="P782" s="1969"/>
      <c r="Q782" s="1969"/>
      <c r="R782" s="1969"/>
      <c r="S782" s="1969"/>
      <c r="T782" s="1969"/>
      <c r="U782" s="1969"/>
      <c r="V782" s="1969"/>
      <c r="W782" s="1969"/>
      <c r="X782" s="1969"/>
      <c r="Y782" s="1969"/>
      <c r="Z782" s="1969"/>
      <c r="AA782" s="1969"/>
      <c r="AB782" s="1969"/>
      <c r="AC782" s="1969"/>
      <c r="AD782" s="1969"/>
      <c r="AE782" s="1969"/>
      <c r="AF782" s="1969"/>
      <c r="AG782" s="1969"/>
      <c r="AH782" s="1969"/>
      <c r="AI782" s="1969"/>
      <c r="AJ782" s="1969"/>
      <c r="AK782" s="1969"/>
      <c r="AL782" s="1969"/>
      <c r="AM782" s="1969"/>
    </row>
    <row r="783" spans="1:81">
      <c r="A783" s="1970"/>
      <c r="B783" s="1970"/>
      <c r="C783" s="1970"/>
      <c r="D783" s="1970"/>
      <c r="E783" s="1970"/>
      <c r="F783" s="1970"/>
      <c r="G783" s="1970"/>
      <c r="H783" s="1970"/>
      <c r="I783" s="1970"/>
      <c r="J783" s="1970"/>
      <c r="K783" s="1970"/>
      <c r="L783" s="1970"/>
      <c r="M783" s="1970"/>
      <c r="N783" s="1970"/>
      <c r="O783" s="1970"/>
      <c r="P783" s="1970"/>
      <c r="Q783" s="1970"/>
      <c r="R783" s="1970"/>
      <c r="S783" s="1970"/>
      <c r="T783" s="1970"/>
      <c r="U783" s="1970"/>
      <c r="V783" s="1970"/>
      <c r="W783" s="1970"/>
      <c r="X783" s="1970"/>
      <c r="Y783" s="1970"/>
      <c r="Z783" s="1970"/>
      <c r="AA783" s="1970"/>
      <c r="AB783" s="1970"/>
      <c r="AC783" s="1970"/>
      <c r="AD783" s="1970"/>
      <c r="AE783" s="1970"/>
      <c r="AF783" s="1970"/>
      <c r="AG783" s="1970"/>
      <c r="AH783" s="1970"/>
      <c r="AI783" s="1970"/>
      <c r="AJ783" s="1970"/>
      <c r="AK783" s="1970"/>
      <c r="AL783" s="1970"/>
      <c r="AM783" s="197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7"/>
      <c r="B785" s="1907"/>
      <c r="C785" s="1907"/>
      <c r="D785" s="1907"/>
      <c r="E785" s="1907"/>
      <c r="F785" s="1907"/>
      <c r="G785" s="1907"/>
      <c r="H785" s="1907"/>
      <c r="I785" s="1907"/>
      <c r="J785" s="1907"/>
      <c r="K785" s="1907"/>
      <c r="L785" s="1907"/>
      <c r="M785" s="1907"/>
      <c r="N785" s="1907"/>
      <c r="O785" s="1907"/>
      <c r="P785" s="1907"/>
      <c r="Q785" s="1907"/>
      <c r="R785" s="1907"/>
      <c r="S785" s="1907"/>
      <c r="T785" s="1907"/>
      <c r="U785" s="1907"/>
      <c r="V785" s="1907"/>
      <c r="W785" s="1907"/>
      <c r="X785" s="1907"/>
      <c r="Y785" s="1907"/>
      <c r="Z785" s="1907"/>
      <c r="AA785" s="1907"/>
      <c r="AB785" s="1907"/>
      <c r="AC785" s="1907"/>
      <c r="AD785" s="1907"/>
      <c r="AE785" s="1907"/>
      <c r="AF785" s="1907"/>
      <c r="AG785" s="1907"/>
      <c r="AH785" s="1907"/>
      <c r="AI785" s="1907"/>
      <c r="AJ785" s="1907"/>
      <c r="AK785" s="1907"/>
      <c r="AL785" s="1907"/>
      <c r="AM785" s="1907"/>
      <c r="AP785" s="852"/>
      <c r="AQ785" s="852"/>
    </row>
    <row r="786" spans="1:81">
      <c r="A786" s="1907"/>
      <c r="B786" s="1907"/>
      <c r="C786" s="1907"/>
      <c r="D786" s="1907"/>
      <c r="E786" s="1907"/>
      <c r="F786" s="1907"/>
      <c r="G786" s="1907"/>
      <c r="H786" s="1907"/>
      <c r="I786" s="1907"/>
      <c r="J786" s="1907"/>
      <c r="K786" s="1907"/>
      <c r="L786" s="1907"/>
      <c r="M786" s="1907"/>
      <c r="N786" s="1907"/>
      <c r="O786" s="1907"/>
      <c r="P786" s="1907"/>
      <c r="Q786" s="1907"/>
      <c r="R786" s="1907"/>
      <c r="S786" s="1907"/>
      <c r="T786" s="1907"/>
      <c r="U786" s="1907"/>
      <c r="V786" s="1907"/>
      <c r="W786" s="1907"/>
      <c r="X786" s="1907"/>
      <c r="Y786" s="1907"/>
      <c r="Z786" s="1907"/>
      <c r="AA786" s="1907"/>
      <c r="AB786" s="1907"/>
      <c r="AC786" s="1907"/>
      <c r="AD786" s="1907"/>
      <c r="AE786" s="1907"/>
      <c r="AF786" s="1907"/>
      <c r="AG786" s="1907"/>
      <c r="AH786" s="1907"/>
      <c r="AI786" s="1907"/>
      <c r="AJ786" s="1907"/>
      <c r="AK786" s="1907"/>
      <c r="AL786" s="1907"/>
      <c r="AM786" s="1907"/>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1" t="s">
        <v>1747</v>
      </c>
      <c r="U787" s="1972"/>
      <c r="V787" s="1972"/>
      <c r="W787" s="1972"/>
      <c r="X787" s="1972"/>
      <c r="Y787" s="1973"/>
      <c r="Z787" s="1971" t="s">
        <v>1748</v>
      </c>
      <c r="AA787" s="1972"/>
      <c r="AB787" s="1972"/>
      <c r="AC787" s="1972"/>
      <c r="AD787" s="1972"/>
      <c r="AE787" s="1973"/>
      <c r="AF787" s="1971" t="s">
        <v>1749</v>
      </c>
      <c r="AG787" s="1972"/>
      <c r="AH787" s="1972"/>
      <c r="AI787" s="1972"/>
      <c r="AJ787" s="1972"/>
      <c r="AK787" s="197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4"/>
      <c r="U788" s="1975"/>
      <c r="V788" s="1975"/>
      <c r="W788" s="1975"/>
      <c r="X788" s="1975"/>
      <c r="Y788" s="1976"/>
      <c r="Z788" s="1974"/>
      <c r="AA788" s="1975"/>
      <c r="AB788" s="1975"/>
      <c r="AC788" s="1975"/>
      <c r="AD788" s="1975"/>
      <c r="AE788" s="1976"/>
      <c r="AF788" s="1974"/>
      <c r="AG788" s="1975"/>
      <c r="AH788" s="1975"/>
      <c r="AI788" s="1975"/>
      <c r="AJ788" s="1975"/>
      <c r="AK788" s="1976"/>
      <c r="AL788" s="854"/>
      <c r="AM788" s="631"/>
      <c r="AO788" s="852"/>
      <c r="AP788" s="852"/>
      <c r="AQ788" s="852"/>
    </row>
    <row r="789" spans="1:81">
      <c r="A789" s="855" t="s">
        <v>770</v>
      </c>
      <c r="B789" s="1928" t="s">
        <v>1477</v>
      </c>
      <c r="C789" s="1928"/>
      <c r="D789" s="1928"/>
      <c r="E789" s="1928"/>
      <c r="F789" s="1928"/>
      <c r="G789" s="1928"/>
      <c r="H789" s="1928"/>
      <c r="I789" s="1928"/>
      <c r="J789" s="1928"/>
      <c r="K789" s="1928"/>
      <c r="L789" s="1928"/>
      <c r="M789" s="1928"/>
      <c r="N789" s="1928"/>
      <c r="O789" s="1928"/>
      <c r="P789" s="1928"/>
      <c r="Q789" s="1928"/>
      <c r="R789" s="1928"/>
      <c r="S789" s="1929"/>
      <c r="T789" s="1956">
        <f>AK56</f>
        <v>0</v>
      </c>
      <c r="U789" s="1932"/>
      <c r="V789" s="1932"/>
      <c r="W789" s="1932"/>
      <c r="X789" s="1932"/>
      <c r="Y789" s="1933"/>
      <c r="Z789" s="1931">
        <v>20</v>
      </c>
      <c r="AA789" s="1932"/>
      <c r="AB789" s="1932"/>
      <c r="AC789" s="1932"/>
      <c r="AD789" s="1932"/>
      <c r="AE789" s="1933"/>
      <c r="AF789" s="1917">
        <f>IF(T789&gt;Z789,Z789,T789)</f>
        <v>0</v>
      </c>
      <c r="AG789" s="1917"/>
      <c r="AH789" s="1917"/>
      <c r="AI789" s="1917"/>
      <c r="AJ789" s="1917"/>
      <c r="AK789" s="1917"/>
      <c r="AL789" s="854"/>
      <c r="AM789" s="631"/>
      <c r="AO789" s="852"/>
      <c r="AP789" s="852"/>
      <c r="AQ789" s="852"/>
    </row>
    <row r="790" spans="1:81">
      <c r="A790" s="855" t="s">
        <v>1719</v>
      </c>
      <c r="B790" s="1928" t="s">
        <v>1486</v>
      </c>
      <c r="C790" s="1928"/>
      <c r="D790" s="1928"/>
      <c r="E790" s="1928"/>
      <c r="F790" s="1928"/>
      <c r="G790" s="1928"/>
      <c r="H790" s="1928"/>
      <c r="I790" s="1928"/>
      <c r="J790" s="1928"/>
      <c r="K790" s="1928"/>
      <c r="L790" s="1928"/>
      <c r="M790" s="1928"/>
      <c r="N790" s="1928"/>
      <c r="O790" s="1928"/>
      <c r="P790" s="1928"/>
      <c r="Q790" s="1928"/>
      <c r="R790" s="1928"/>
      <c r="S790" s="1929"/>
      <c r="T790" s="1956">
        <f>AK78</f>
        <v>10</v>
      </c>
      <c r="U790" s="1932"/>
      <c r="V790" s="1932"/>
      <c r="W790" s="1932"/>
      <c r="X790" s="1932"/>
      <c r="Y790" s="1933"/>
      <c r="Z790" s="1931">
        <v>10</v>
      </c>
      <c r="AA790" s="1932"/>
      <c r="AB790" s="1932"/>
      <c r="AC790" s="1932"/>
      <c r="AD790" s="1932"/>
      <c r="AE790" s="1933"/>
      <c r="AF790" s="1917">
        <f>IF(T790&gt;Z790,Z790,T790)</f>
        <v>10</v>
      </c>
      <c r="AG790" s="1917"/>
      <c r="AH790" s="1917"/>
      <c r="AI790" s="1917"/>
      <c r="AJ790" s="1917"/>
      <c r="AK790" s="1917"/>
      <c r="AL790" s="854"/>
      <c r="AM790" s="631"/>
      <c r="AO790" s="852"/>
      <c r="AP790" s="852"/>
      <c r="AQ790" s="852"/>
    </row>
    <row r="791" spans="1:81">
      <c r="A791" s="855" t="s">
        <v>1728</v>
      </c>
      <c r="B791" s="1928" t="s">
        <v>1496</v>
      </c>
      <c r="C791" s="1928"/>
      <c r="D791" s="1928"/>
      <c r="E791" s="1928"/>
      <c r="F791" s="1928"/>
      <c r="G791" s="1928"/>
      <c r="H791" s="1928"/>
      <c r="I791" s="1928"/>
      <c r="J791" s="1928"/>
      <c r="K791" s="1928"/>
      <c r="L791" s="1928"/>
      <c r="M791" s="1928"/>
      <c r="N791" s="1928"/>
      <c r="O791" s="1928"/>
      <c r="P791" s="1928"/>
      <c r="Q791" s="1928"/>
      <c r="R791" s="1928"/>
      <c r="S791" s="1929"/>
      <c r="T791" s="1956">
        <f>AK103</f>
        <v>20</v>
      </c>
      <c r="U791" s="1932"/>
      <c r="V791" s="1932"/>
      <c r="W791" s="1932"/>
      <c r="X791" s="1932"/>
      <c r="Y791" s="1933"/>
      <c r="Z791" s="1931">
        <v>20</v>
      </c>
      <c r="AA791" s="1932"/>
      <c r="AB791" s="1932"/>
      <c r="AC791" s="1932"/>
      <c r="AD791" s="1932"/>
      <c r="AE791" s="1933"/>
      <c r="AF791" s="1917">
        <f>IF(T791&gt;Z791,Z791,T791)</f>
        <v>20</v>
      </c>
      <c r="AG791" s="1917"/>
      <c r="AH791" s="1917"/>
      <c r="AI791" s="1917"/>
      <c r="AJ791" s="1917"/>
      <c r="AK791" s="1917"/>
      <c r="AL791" s="854"/>
      <c r="AM791" s="631"/>
      <c r="AO791" s="852"/>
      <c r="AP791" s="852"/>
      <c r="AQ791" s="852"/>
    </row>
    <row r="792" spans="1:81">
      <c r="A792" s="855" t="s">
        <v>1750</v>
      </c>
      <c r="B792" s="1928" t="s">
        <v>1506</v>
      </c>
      <c r="C792" s="1928"/>
      <c r="D792" s="1928"/>
      <c r="E792" s="1928"/>
      <c r="F792" s="1928"/>
      <c r="G792" s="1928"/>
      <c r="H792" s="1928"/>
      <c r="I792" s="1928"/>
      <c r="J792" s="1928"/>
      <c r="K792" s="1928"/>
      <c r="L792" s="1928"/>
      <c r="M792" s="1928"/>
      <c r="N792" s="1928"/>
      <c r="O792" s="1928"/>
      <c r="P792" s="1928"/>
      <c r="Q792" s="1928"/>
      <c r="R792" s="1928"/>
      <c r="S792" s="1929"/>
      <c r="T792" s="1956">
        <f>AK137</f>
        <v>10</v>
      </c>
      <c r="U792" s="1932"/>
      <c r="V792" s="1932"/>
      <c r="W792" s="1932"/>
      <c r="X792" s="1932"/>
      <c r="Y792" s="1933"/>
      <c r="Z792" s="1931">
        <v>10</v>
      </c>
      <c r="AA792" s="1932"/>
      <c r="AB792" s="1932"/>
      <c r="AC792" s="1932"/>
      <c r="AD792" s="1932"/>
      <c r="AE792" s="1933"/>
      <c r="AF792" s="1917">
        <f>IF(T792&gt;Z792,Z792,T792)</f>
        <v>10</v>
      </c>
      <c r="AG792" s="1917"/>
      <c r="AH792" s="1917"/>
      <c r="AI792" s="1917"/>
      <c r="AJ792" s="1917"/>
      <c r="AK792" s="1917"/>
      <c r="AL792" s="854"/>
      <c r="AM792" s="631"/>
      <c r="AO792" s="852"/>
      <c r="AP792" s="852"/>
      <c r="AQ792" s="852"/>
    </row>
    <row r="793" spans="1:81">
      <c r="A793" s="856" t="s">
        <v>1751</v>
      </c>
      <c r="B793" s="1928" t="s">
        <v>1752</v>
      </c>
      <c r="C793" s="1928"/>
      <c r="D793" s="1928"/>
      <c r="E793" s="1928"/>
      <c r="F793" s="1928"/>
      <c r="G793" s="1928"/>
      <c r="H793" s="1928"/>
      <c r="I793" s="1928"/>
      <c r="J793" s="1928"/>
      <c r="K793" s="1928"/>
      <c r="L793" s="1928"/>
      <c r="M793" s="1928"/>
      <c r="N793" s="1928"/>
      <c r="O793" s="1928"/>
      <c r="P793" s="1928"/>
      <c r="Q793" s="1928"/>
      <c r="R793" s="1928"/>
      <c r="S793" s="1929"/>
      <c r="T793" s="1930">
        <f>SUM(T794:Y795)</f>
        <v>10</v>
      </c>
      <c r="U793" s="1930"/>
      <c r="V793" s="1930"/>
      <c r="W793" s="1930"/>
      <c r="X793" s="1930"/>
      <c r="Y793" s="1930"/>
      <c r="Z793" s="1917">
        <v>10</v>
      </c>
      <c r="AA793" s="1917"/>
      <c r="AB793" s="1917"/>
      <c r="AC793" s="1917"/>
      <c r="AD793" s="1917"/>
      <c r="AE793" s="1917"/>
      <c r="AF793" s="1917">
        <f>IF(T793&gt;Z793,Z793,T793)</f>
        <v>10</v>
      </c>
      <c r="AG793" s="1917"/>
      <c r="AH793" s="1917"/>
      <c r="AI793" s="1917"/>
      <c r="AJ793" s="1917"/>
      <c r="AK793" s="1917"/>
      <c r="AL793" s="854"/>
      <c r="AM793" s="631"/>
    </row>
    <row r="794" spans="1:81">
      <c r="A794" s="570"/>
      <c r="B794" s="636"/>
      <c r="C794" s="1934" t="s">
        <v>1753</v>
      </c>
      <c r="D794" s="1934"/>
      <c r="E794" s="1934"/>
      <c r="F794" s="1934"/>
      <c r="G794" s="1934"/>
      <c r="H794" s="1934"/>
      <c r="I794" s="1934"/>
      <c r="J794" s="1934"/>
      <c r="K794" s="1934"/>
      <c r="L794" s="1934"/>
      <c r="M794" s="1934"/>
      <c r="N794" s="1934"/>
      <c r="O794" s="1934"/>
      <c r="P794" s="1934"/>
      <c r="Q794" s="1934"/>
      <c r="R794" s="1934"/>
      <c r="S794" s="1935"/>
      <c r="T794" s="1936">
        <f>AJ155</f>
        <v>7</v>
      </c>
      <c r="U794" s="1936"/>
      <c r="V794" s="1936"/>
      <c r="W794" s="1936"/>
      <c r="X794" s="1936"/>
      <c r="Y794" s="1936"/>
      <c r="Z794" s="1937">
        <v>7</v>
      </c>
      <c r="AA794" s="1937"/>
      <c r="AB794" s="1937"/>
      <c r="AC794" s="1937"/>
      <c r="AD794" s="1937"/>
      <c r="AE794" s="1937"/>
      <c r="AF794" s="1938"/>
      <c r="AG794" s="1938"/>
      <c r="AH794" s="1938"/>
      <c r="AI794" s="1938"/>
      <c r="AJ794" s="1938"/>
      <c r="AK794" s="1938"/>
      <c r="AL794" s="854"/>
      <c r="AM794" s="631"/>
    </row>
    <row r="795" spans="1:81">
      <c r="A795" s="635"/>
      <c r="B795" s="636"/>
      <c r="C795" s="1934" t="s">
        <v>1754</v>
      </c>
      <c r="D795" s="1934"/>
      <c r="E795" s="1934"/>
      <c r="F795" s="1934"/>
      <c r="G795" s="1934"/>
      <c r="H795" s="1934"/>
      <c r="I795" s="1934"/>
      <c r="J795" s="1934"/>
      <c r="K795" s="1934"/>
      <c r="L795" s="1934"/>
      <c r="M795" s="1934"/>
      <c r="N795" s="1934"/>
      <c r="O795" s="1934"/>
      <c r="P795" s="1934"/>
      <c r="Q795" s="1934"/>
      <c r="R795" s="1934"/>
      <c r="S795" s="1935"/>
      <c r="T795" s="1936">
        <f>AJ169</f>
        <v>3</v>
      </c>
      <c r="U795" s="1936"/>
      <c r="V795" s="1936"/>
      <c r="W795" s="1936"/>
      <c r="X795" s="1936"/>
      <c r="Y795" s="1936"/>
      <c r="Z795" s="1937">
        <v>3</v>
      </c>
      <c r="AA795" s="1937"/>
      <c r="AB795" s="1937"/>
      <c r="AC795" s="1937"/>
      <c r="AD795" s="1937"/>
      <c r="AE795" s="1937"/>
      <c r="AF795" s="1938"/>
      <c r="AG795" s="1938"/>
      <c r="AH795" s="1938"/>
      <c r="AI795" s="1938"/>
      <c r="AJ795" s="1938"/>
      <c r="AK795" s="1938"/>
      <c r="AL795" s="854"/>
      <c r="AM795" s="631"/>
      <c r="AO795" s="585"/>
    </row>
    <row r="796" spans="1:81">
      <c r="A796" s="856" t="s">
        <v>1534</v>
      </c>
      <c r="B796" s="1928" t="s">
        <v>1755</v>
      </c>
      <c r="C796" s="1928"/>
      <c r="D796" s="1928"/>
      <c r="E796" s="1928"/>
      <c r="F796" s="1928"/>
      <c r="G796" s="1928"/>
      <c r="H796" s="1928"/>
      <c r="I796" s="1928"/>
      <c r="J796" s="1928"/>
      <c r="K796" s="1928"/>
      <c r="L796" s="1928"/>
      <c r="M796" s="1928"/>
      <c r="N796" s="1928"/>
      <c r="O796" s="1928"/>
      <c r="P796" s="1928"/>
      <c r="Q796" s="1928"/>
      <c r="R796" s="1928"/>
      <c r="S796" s="1929"/>
      <c r="T796" s="1930">
        <f>AK180</f>
        <v>10</v>
      </c>
      <c r="U796" s="1930"/>
      <c r="V796" s="1930"/>
      <c r="W796" s="1930"/>
      <c r="X796" s="1930"/>
      <c r="Y796" s="1930"/>
      <c r="Z796" s="1917">
        <v>10</v>
      </c>
      <c r="AA796" s="1917"/>
      <c r="AB796" s="1917"/>
      <c r="AC796" s="1917"/>
      <c r="AD796" s="1917"/>
      <c r="AE796" s="1917"/>
      <c r="AF796" s="1917">
        <f>IF(T796&gt;Z796,Z796,T796)</f>
        <v>10</v>
      </c>
      <c r="AG796" s="1917"/>
      <c r="AH796" s="1917"/>
      <c r="AI796" s="1917"/>
      <c r="AJ796" s="1917"/>
      <c r="AK796" s="1917"/>
      <c r="AL796" s="854"/>
      <c r="AM796" s="631"/>
    </row>
    <row r="797" spans="1:81">
      <c r="A797" s="855" t="s">
        <v>1543</v>
      </c>
      <c r="B797" s="1928" t="s">
        <v>1544</v>
      </c>
      <c r="C797" s="1928"/>
      <c r="D797" s="1928"/>
      <c r="E797" s="1928"/>
      <c r="F797" s="1928"/>
      <c r="G797" s="1928"/>
      <c r="H797" s="1928"/>
      <c r="I797" s="1928"/>
      <c r="J797" s="1928"/>
      <c r="K797" s="1928"/>
      <c r="L797" s="1928"/>
      <c r="M797" s="1928"/>
      <c r="N797" s="1928"/>
      <c r="O797" s="1928"/>
      <c r="P797" s="1928"/>
      <c r="Q797" s="1928"/>
      <c r="R797" s="1928"/>
      <c r="S797" s="1929"/>
      <c r="T797" s="1930">
        <f>AK262</f>
        <v>8</v>
      </c>
      <c r="U797" s="1930"/>
      <c r="V797" s="1930"/>
      <c r="W797" s="1930"/>
      <c r="X797" s="1930"/>
      <c r="Y797" s="1930"/>
      <c r="Z797" s="1931">
        <v>8</v>
      </c>
      <c r="AA797" s="1932"/>
      <c r="AB797" s="1932"/>
      <c r="AC797" s="1932"/>
      <c r="AD797" s="1932"/>
      <c r="AE797" s="1933"/>
      <c r="AF797" s="1917">
        <f>IF(T797&gt;Z797,Z797,T797)</f>
        <v>8</v>
      </c>
      <c r="AG797" s="1917"/>
      <c r="AH797" s="1917"/>
      <c r="AI797" s="1917"/>
      <c r="AJ797" s="1917"/>
      <c r="AK797" s="1917"/>
      <c r="AL797" s="854"/>
      <c r="AM797" s="631"/>
    </row>
    <row r="798" spans="1:81" s="569" customFormat="1" hidden="1">
      <c r="A798" s="856" t="s">
        <v>599</v>
      </c>
      <c r="B798" s="1928" t="s">
        <v>1756</v>
      </c>
      <c r="C798" s="1928"/>
      <c r="D798" s="1928"/>
      <c r="E798" s="1928"/>
      <c r="F798" s="1928"/>
      <c r="G798" s="1928"/>
      <c r="H798" s="1928"/>
      <c r="I798" s="1928"/>
      <c r="J798" s="1928"/>
      <c r="K798" s="1928"/>
      <c r="L798" s="1928"/>
      <c r="M798" s="1928"/>
      <c r="N798" s="1928"/>
      <c r="O798" s="1928"/>
      <c r="P798" s="1928"/>
      <c r="Q798" s="1928"/>
      <c r="R798" s="1928"/>
      <c r="S798" s="1929"/>
      <c r="T798" s="1930">
        <f>IF(AK524&gt;5,5,AK524)</f>
        <v>0</v>
      </c>
      <c r="U798" s="1930"/>
      <c r="V798" s="1930"/>
      <c r="W798" s="1930"/>
      <c r="X798" s="1930"/>
      <c r="Y798" s="1930"/>
      <c r="Z798" s="1917">
        <v>5</v>
      </c>
      <c r="AA798" s="1917"/>
      <c r="AB798" s="1917"/>
      <c r="AC798" s="1917"/>
      <c r="AD798" s="1917"/>
      <c r="AE798" s="1917"/>
      <c r="AF798" s="1917">
        <f>IF(T798&gt;Z798,5,T798)</f>
        <v>0</v>
      </c>
      <c r="AG798" s="1917"/>
      <c r="AH798" s="1917"/>
      <c r="AI798" s="1917"/>
      <c r="AJ798" s="1917"/>
      <c r="AK798" s="19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8" t="s">
        <v>1757</v>
      </c>
      <c r="C799" s="1928"/>
      <c r="D799" s="1928"/>
      <c r="E799" s="1928"/>
      <c r="F799" s="1928"/>
      <c r="G799" s="1928"/>
      <c r="H799" s="1928"/>
      <c r="I799" s="1928"/>
      <c r="J799" s="1928"/>
      <c r="K799" s="1928"/>
      <c r="L799" s="1928"/>
      <c r="M799" s="1928"/>
      <c r="N799" s="1928"/>
      <c r="O799" s="1928"/>
      <c r="P799" s="1928"/>
      <c r="Q799" s="1928"/>
      <c r="R799" s="1928"/>
      <c r="S799" s="1929"/>
      <c r="T799" s="1930">
        <f>AK274</f>
        <v>10</v>
      </c>
      <c r="U799" s="1930"/>
      <c r="V799" s="1930"/>
      <c r="W799" s="1930"/>
      <c r="X799" s="1930"/>
      <c r="Y799" s="1930"/>
      <c r="Z799" s="1917">
        <v>10</v>
      </c>
      <c r="AA799" s="1917"/>
      <c r="AB799" s="1917"/>
      <c r="AC799" s="1917"/>
      <c r="AD799" s="1917"/>
      <c r="AE799" s="1917"/>
      <c r="AF799" s="1939">
        <f>IF(T799&gt;Z799,Z799,T799)</f>
        <v>10</v>
      </c>
      <c r="AG799" s="1940"/>
      <c r="AH799" s="1940"/>
      <c r="AI799" s="1940"/>
      <c r="AJ799" s="1940"/>
      <c r="AK799" s="194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8" t="s">
        <v>1554</v>
      </c>
      <c r="C800" s="1928"/>
      <c r="D800" s="1928"/>
      <c r="E800" s="1928"/>
      <c r="F800" s="1928"/>
      <c r="G800" s="1928"/>
      <c r="H800" s="1928"/>
      <c r="I800" s="1928"/>
      <c r="J800" s="1928"/>
      <c r="K800" s="1928"/>
      <c r="L800" s="1928"/>
      <c r="M800" s="1928"/>
      <c r="N800" s="1928"/>
      <c r="O800" s="1928"/>
      <c r="P800" s="1928"/>
      <c r="Q800" s="1928"/>
      <c r="R800" s="1928"/>
      <c r="S800" s="1929"/>
      <c r="T800" s="1930">
        <f>AK327</f>
        <v>10</v>
      </c>
      <c r="U800" s="1930"/>
      <c r="V800" s="1930"/>
      <c r="W800" s="1930"/>
      <c r="X800" s="1930"/>
      <c r="Y800" s="1930"/>
      <c r="Z800" s="1939">
        <v>10</v>
      </c>
      <c r="AA800" s="1940"/>
      <c r="AB800" s="1940"/>
      <c r="AC800" s="1940"/>
      <c r="AD800" s="1940"/>
      <c r="AE800" s="1941"/>
      <c r="AF800" s="1939">
        <f>IF(T800&gt;Z800,Z800,T800)</f>
        <v>10</v>
      </c>
      <c r="AG800" s="1940"/>
      <c r="AH800" s="1940"/>
      <c r="AI800" s="1940"/>
      <c r="AJ800" s="1940"/>
      <c r="AK800" s="194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6">
        <f>AK327</f>
        <v>10</v>
      </c>
      <c r="U801" s="1936"/>
      <c r="V801" s="1936"/>
      <c r="W801" s="1936"/>
      <c r="X801" s="1936"/>
      <c r="Y801" s="1936"/>
      <c r="Z801" s="1904">
        <v>20</v>
      </c>
      <c r="AA801" s="1905"/>
      <c r="AB801" s="1905"/>
      <c r="AC801" s="1905"/>
      <c r="AD801" s="1905"/>
      <c r="AE801" s="1906"/>
      <c r="AF801" s="1938"/>
      <c r="AG801" s="1938"/>
      <c r="AH801" s="1938"/>
      <c r="AI801" s="1938"/>
      <c r="AJ801" s="1938"/>
      <c r="AK801" s="193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8" t="s">
        <v>874</v>
      </c>
      <c r="C802" s="1928"/>
      <c r="D802" s="1928"/>
      <c r="E802" s="1928"/>
      <c r="F802" s="1928"/>
      <c r="G802" s="1928"/>
      <c r="H802" s="1928"/>
      <c r="I802" s="1928"/>
      <c r="J802" s="1928"/>
      <c r="K802" s="1928"/>
      <c r="L802" s="1928"/>
      <c r="M802" s="1928"/>
      <c r="N802" s="1928"/>
      <c r="O802" s="1928"/>
      <c r="P802" s="1928"/>
      <c r="Q802" s="1928"/>
      <c r="R802" s="1928"/>
      <c r="S802" s="1929"/>
      <c r="T802" s="1930">
        <f>AK458</f>
        <v>10</v>
      </c>
      <c r="U802" s="1930"/>
      <c r="V802" s="1930"/>
      <c r="W802" s="1930"/>
      <c r="X802" s="1930"/>
      <c r="Y802" s="1930"/>
      <c r="Z802" s="1939">
        <v>10</v>
      </c>
      <c r="AA802" s="1940"/>
      <c r="AB802" s="1940"/>
      <c r="AC802" s="1940"/>
      <c r="AD802" s="1940"/>
      <c r="AE802" s="1941"/>
      <c r="AF802" s="1917">
        <f>IF(T802&gt;Z802,Z802,T802)</f>
        <v>10</v>
      </c>
      <c r="AG802" s="1917"/>
      <c r="AH802" s="1917"/>
      <c r="AI802" s="1917"/>
      <c r="AJ802" s="1917"/>
      <c r="AK802" s="19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8" t="s">
        <v>1737</v>
      </c>
      <c r="C803" s="1928"/>
      <c r="D803" s="1928"/>
      <c r="E803" s="1928"/>
      <c r="F803" s="1928"/>
      <c r="G803" s="1928"/>
      <c r="H803" s="1928"/>
      <c r="I803" s="1928"/>
      <c r="J803" s="1928"/>
      <c r="K803" s="1928"/>
      <c r="L803" s="1928"/>
      <c r="M803" s="1928"/>
      <c r="N803" s="1928"/>
      <c r="O803" s="1928"/>
      <c r="P803" s="1928"/>
      <c r="Q803" s="1928"/>
      <c r="R803" s="1928"/>
      <c r="S803" s="1929"/>
      <c r="T803" s="1930">
        <f>AK548</f>
        <v>12</v>
      </c>
      <c r="U803" s="1930"/>
      <c r="V803" s="1930"/>
      <c r="W803" s="1930"/>
      <c r="X803" s="1930"/>
      <c r="Y803" s="1930"/>
      <c r="Z803" s="1939">
        <v>12</v>
      </c>
      <c r="AA803" s="1940"/>
      <c r="AB803" s="1940"/>
      <c r="AC803" s="1940"/>
      <c r="AD803" s="1940"/>
      <c r="AE803" s="1941"/>
      <c r="AF803" s="1917">
        <f>IF(T803&gt;Z803,Z803,T803)</f>
        <v>12</v>
      </c>
      <c r="AG803" s="1917"/>
      <c r="AH803" s="1917"/>
      <c r="AI803" s="1917"/>
      <c r="AJ803" s="1917"/>
      <c r="AK803" s="19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28" t="s">
        <v>1759</v>
      </c>
      <c r="C804" s="1928"/>
      <c r="D804" s="1928"/>
      <c r="E804" s="1928"/>
      <c r="F804" s="1928"/>
      <c r="G804" s="1928"/>
      <c r="H804" s="1928"/>
      <c r="I804" s="1928"/>
      <c r="J804" s="1928"/>
      <c r="K804" s="1928"/>
      <c r="L804" s="1928"/>
      <c r="M804" s="1928"/>
      <c r="N804" s="1928"/>
      <c r="O804" s="1928"/>
      <c r="P804" s="1928"/>
      <c r="Q804" s="1928"/>
      <c r="R804" s="1928"/>
      <c r="S804" s="1929"/>
      <c r="T804" s="1930">
        <f>AK779</f>
        <v>10</v>
      </c>
      <c r="U804" s="1930"/>
      <c r="V804" s="1930"/>
      <c r="W804" s="1930"/>
      <c r="X804" s="1930"/>
      <c r="Y804" s="1930"/>
      <c r="Z804" s="1939">
        <v>10</v>
      </c>
      <c r="AA804" s="1940"/>
      <c r="AB804" s="1940"/>
      <c r="AC804" s="1940"/>
      <c r="AD804" s="1940"/>
      <c r="AE804" s="1941"/>
      <c r="AF804" s="1917">
        <f>IF(T804&gt;Z804,Z804,T804)</f>
        <v>10</v>
      </c>
      <c r="AG804" s="1917"/>
      <c r="AH804" s="1917"/>
      <c r="AI804" s="1917"/>
      <c r="AJ804" s="1917"/>
      <c r="AK804" s="19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2" t="s">
        <v>1760</v>
      </c>
      <c r="B805" s="1928"/>
      <c r="C805" s="1928"/>
      <c r="D805" s="1928"/>
      <c r="E805" s="1928"/>
      <c r="F805" s="1928"/>
      <c r="G805" s="1928"/>
      <c r="H805" s="1928"/>
      <c r="I805" s="1928"/>
      <c r="J805" s="1928"/>
      <c r="K805" s="1928"/>
      <c r="L805" s="1928"/>
      <c r="M805" s="1928"/>
      <c r="N805" s="1928"/>
      <c r="O805" s="1928"/>
      <c r="P805" s="1928"/>
      <c r="Q805" s="1928"/>
      <c r="R805" s="1928"/>
      <c r="S805" s="1929"/>
      <c r="T805" s="1943"/>
      <c r="U805" s="1943"/>
      <c r="V805" s="1943"/>
      <c r="W805" s="1943"/>
      <c r="X805" s="1943"/>
      <c r="Y805" s="1943"/>
      <c r="Z805" s="1937" t="s">
        <v>1761</v>
      </c>
      <c r="AA805" s="1937"/>
      <c r="AB805" s="1937"/>
      <c r="AC805" s="1937"/>
      <c r="AD805" s="1937"/>
      <c r="AE805" s="1937"/>
      <c r="AF805" s="1939">
        <f>IF(T805&gt;0,T805,0)</f>
        <v>0</v>
      </c>
      <c r="AG805" s="1940"/>
      <c r="AH805" s="1940"/>
      <c r="AI805" s="1940"/>
      <c r="AJ805" s="1940"/>
      <c r="AK805" s="194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4" t="s">
        <v>1762</v>
      </c>
      <c r="B806" s="1945"/>
      <c r="C806" s="1945"/>
      <c r="D806" s="1945"/>
      <c r="E806" s="1945"/>
      <c r="F806" s="1945"/>
      <c r="G806" s="1945"/>
      <c r="H806" s="1945"/>
      <c r="I806" s="1945"/>
      <c r="J806" s="1945"/>
      <c r="K806" s="1945"/>
      <c r="L806" s="1945"/>
      <c r="M806" s="1945"/>
      <c r="N806" s="1945"/>
      <c r="O806" s="1945"/>
      <c r="P806" s="1945"/>
      <c r="Q806" s="1945"/>
      <c r="R806" s="1945"/>
      <c r="S806" s="1945"/>
      <c r="T806" s="1945"/>
      <c r="U806" s="1945"/>
      <c r="V806" s="1945"/>
      <c r="W806" s="1945"/>
      <c r="X806" s="1945"/>
      <c r="Y806" s="1945"/>
      <c r="Z806" s="1945"/>
      <c r="AA806" s="1945"/>
      <c r="AB806" s="1945"/>
      <c r="AC806" s="1945"/>
      <c r="AD806" s="1945"/>
      <c r="AE806" s="1946"/>
      <c r="AF806" s="1950">
        <f>SUM(AF789:AK804)-AF805</f>
        <v>120</v>
      </c>
      <c r="AG806" s="1951"/>
      <c r="AH806" s="1951"/>
      <c r="AI806" s="1951"/>
      <c r="AJ806" s="1951"/>
      <c r="AK806" s="195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7"/>
      <c r="B807" s="1948"/>
      <c r="C807" s="1948"/>
      <c r="D807" s="1948"/>
      <c r="E807" s="1948"/>
      <c r="F807" s="1948"/>
      <c r="G807" s="1948"/>
      <c r="H807" s="1948"/>
      <c r="I807" s="1948"/>
      <c r="J807" s="1948"/>
      <c r="K807" s="1948"/>
      <c r="L807" s="1948"/>
      <c r="M807" s="1948"/>
      <c r="N807" s="1948"/>
      <c r="O807" s="1948"/>
      <c r="P807" s="1948"/>
      <c r="Q807" s="1948"/>
      <c r="R807" s="1948"/>
      <c r="S807" s="1948"/>
      <c r="T807" s="1948"/>
      <c r="U807" s="1948"/>
      <c r="V807" s="1948"/>
      <c r="W807" s="1948"/>
      <c r="X807" s="1948"/>
      <c r="Y807" s="1948"/>
      <c r="Z807" s="1948"/>
      <c r="AA807" s="1948"/>
      <c r="AB807" s="1948"/>
      <c r="AC807" s="1948"/>
      <c r="AD807" s="1948"/>
      <c r="AE807" s="1949"/>
      <c r="AF807" s="1953"/>
      <c r="AG807" s="1954"/>
      <c r="AH807" s="1954"/>
      <c r="AI807" s="1954"/>
      <c r="AJ807" s="1954"/>
      <c r="AK807" s="195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3"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1" zoomScaleNormal="100" workbookViewId="0">
      <selection activeCell="K74" sqref="K74"/>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6" t="s">
        <v>1763</v>
      </c>
      <c r="B1" s="2126"/>
      <c r="C1" s="2126"/>
      <c r="D1" s="2126"/>
      <c r="E1" s="2126"/>
      <c r="F1" s="2126"/>
      <c r="G1" s="2126"/>
      <c r="H1" s="2126"/>
      <c r="I1" s="2126"/>
      <c r="J1" s="2126"/>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18725064</v>
      </c>
      <c r="I3" s="1154"/>
    </row>
    <row r="4" spans="1:13" s="1095" customFormat="1" ht="20.100000000000001" customHeight="1">
      <c r="B4" s="1143"/>
      <c r="D4" s="1157"/>
      <c r="F4" s="1141" t="s">
        <v>2386</v>
      </c>
      <c r="G4" s="1140" t="s">
        <v>2385</v>
      </c>
      <c r="H4" s="1142">
        <f>I16</f>
        <v>23521187.290931374</v>
      </c>
      <c r="I4" s="1144"/>
      <c r="K4" s="1099"/>
    </row>
    <row r="5" spans="1:13" s="1095" customFormat="1" ht="20.100000000000001" customHeight="1" thickBot="1">
      <c r="B5" s="1145"/>
      <c r="C5" s="1146"/>
      <c r="D5" s="1158"/>
      <c r="E5" s="1147"/>
      <c r="F5" s="1158" t="s">
        <v>2326</v>
      </c>
      <c r="G5" s="1159"/>
      <c r="H5" s="1155">
        <f>H3/H4</f>
        <v>0.79609348662511925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7" t="s">
        <v>2324</v>
      </c>
      <c r="C8" s="2128"/>
      <c r="D8" s="2128"/>
      <c r="E8" s="2129"/>
      <c r="G8" s="2130" t="s">
        <v>2325</v>
      </c>
      <c r="H8" s="2131"/>
      <c r="I8" s="2132"/>
      <c r="K8" s="1101"/>
    </row>
    <row r="9" spans="1:13" ht="15" customHeight="1">
      <c r="A9" s="1090"/>
      <c r="B9" s="2121" t="s">
        <v>2363</v>
      </c>
      <c r="C9" s="2121"/>
      <c r="D9" s="2121"/>
      <c r="E9" s="1103">
        <f>G31</f>
        <v>4975000</v>
      </c>
      <c r="G9" s="2124" t="s">
        <v>2361</v>
      </c>
      <c r="H9" s="2124"/>
      <c r="I9" s="1104">
        <f>Application!AM550</f>
        <v>21295915</v>
      </c>
      <c r="K9" s="1105"/>
      <c r="M9" s="1106"/>
    </row>
    <row r="10" spans="1:13" ht="15" customHeight="1" thickBot="1">
      <c r="A10" s="1090"/>
      <c r="B10" s="2121" t="s">
        <v>2364</v>
      </c>
      <c r="C10" s="2121"/>
      <c r="D10" s="2121"/>
      <c r="E10" s="1104">
        <f>G40</f>
        <v>9350064</v>
      </c>
      <c r="G10" s="2124" t="s">
        <v>2327</v>
      </c>
      <c r="H10" s="2124"/>
      <c r="I10" s="1191">
        <f>'Basis &amp; Credits'!AB77</f>
        <v>5638254</v>
      </c>
      <c r="M10" s="1106"/>
    </row>
    <row r="11" spans="1:13" ht="15" customHeight="1">
      <c r="A11" s="1107"/>
      <c r="B11" s="2121" t="s">
        <v>2365</v>
      </c>
      <c r="C11" s="2121"/>
      <c r="D11" s="2121"/>
      <c r="E11" s="1104">
        <f>G49</f>
        <v>0</v>
      </c>
      <c r="G11" s="2124" t="s">
        <v>2376</v>
      </c>
      <c r="H11" s="2124"/>
      <c r="I11" s="1190">
        <f>I9+I10</f>
        <v>26934169</v>
      </c>
      <c r="M11" s="1106"/>
    </row>
    <row r="12" spans="1:13" ht="15" customHeight="1">
      <c r="A12" s="1093"/>
      <c r="B12" s="2121" t="s">
        <v>2366</v>
      </c>
      <c r="C12" s="2121"/>
      <c r="D12" s="2121"/>
      <c r="E12" s="1104">
        <f>G58</f>
        <v>420000</v>
      </c>
      <c r="G12" s="1192" t="s">
        <v>2401</v>
      </c>
      <c r="H12" s="1193"/>
      <c r="M12" s="1106"/>
    </row>
    <row r="13" spans="1:13" ht="15" customHeight="1">
      <c r="A13" s="1090"/>
      <c r="B13" s="2121" t="s">
        <v>2367</v>
      </c>
      <c r="C13" s="2121"/>
      <c r="D13" s="2121"/>
      <c r="E13" s="1109">
        <f>G83</f>
        <v>1990000</v>
      </c>
      <c r="G13" s="2125" t="s">
        <v>140</v>
      </c>
      <c r="H13" s="2125"/>
      <c r="I13" s="1108">
        <f>15%*(Application!AJ963&gt;0)</f>
        <v>0.15</v>
      </c>
      <c r="M13" s="1106"/>
    </row>
    <row r="14" spans="1:13" ht="15" customHeight="1">
      <c r="A14" s="1090"/>
      <c r="B14" s="2121" t="s">
        <v>2368</v>
      </c>
      <c r="C14" s="2121"/>
      <c r="D14" s="2121"/>
      <c r="E14" s="1104">
        <f>IF(G96&gt;G106,G96,0)</f>
        <v>1990000</v>
      </c>
      <c r="G14" s="1188" t="s">
        <v>2377</v>
      </c>
      <c r="H14" s="1188"/>
      <c r="I14" s="1108">
        <f>IF(Application!AJ997&gt;0,10%,IF(Application!AJ1001&gt;0,5%,0))</f>
        <v>0</v>
      </c>
      <c r="M14" s="1106"/>
    </row>
    <row r="15" spans="1:13" ht="15" customHeight="1" thickBot="1">
      <c r="A15" s="1090"/>
      <c r="B15" s="2122" t="s">
        <v>2387</v>
      </c>
      <c r="C15" s="2122"/>
      <c r="D15" s="2122"/>
      <c r="E15" s="1160">
        <f>IF(E14&gt;0,0,G106)</f>
        <v>0</v>
      </c>
      <c r="G15" s="2119" t="s">
        <v>2378</v>
      </c>
      <c r="H15" s="2120"/>
      <c r="I15" s="1162">
        <f>G114</f>
        <v>-2.3284313725490197E-2</v>
      </c>
      <c r="M15" s="1106"/>
    </row>
    <row r="16" spans="1:13" ht="15" customHeight="1">
      <c r="A16" s="1090"/>
      <c r="B16" s="2123" t="s">
        <v>2323</v>
      </c>
      <c r="C16" s="2123"/>
      <c r="D16" s="2123"/>
      <c r="E16" s="1161">
        <f>SUM(E9:E15)</f>
        <v>18725064</v>
      </c>
      <c r="G16" s="1189" t="s">
        <v>2362</v>
      </c>
      <c r="H16" s="1189"/>
      <c r="I16" s="1163">
        <f>I11-((I11*I13)+(I11*I14)+(I11*I15))</f>
        <v>23521187.290931374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74</v>
      </c>
      <c r="O18" s="1133" t="s">
        <v>592</v>
      </c>
      <c r="P18" s="1088">
        <f>MATCH(Application!T189,Application!BP656:BP713,0)</f>
        <v>4</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17" t="s">
        <v>2380</v>
      </c>
      <c r="D20" s="2117" t="s">
        <v>2381</v>
      </c>
      <c r="E20" s="2117" t="s">
        <v>2382</v>
      </c>
      <c r="F20" s="2117" t="s">
        <v>2383</v>
      </c>
      <c r="G20" s="2117" t="s">
        <v>2379</v>
      </c>
      <c r="H20" s="1117"/>
      <c r="I20" s="1116"/>
      <c r="L20" s="1088">
        <f>IFERROR(MIN(4,MATCH(Application!B714,UnitSizes,0)-1),"")</f>
        <v>1</v>
      </c>
      <c r="M20" s="1110">
        <f>Application!G714</f>
        <v>3</v>
      </c>
      <c r="N20" s="1118">
        <f>Application!AC714</f>
        <v>0.3</v>
      </c>
      <c r="O20" s="1118">
        <f>IF(Cdlac[[#This Row],[Quantity]]&gt;0,IF(Cdlac[[#This Row],[Federal]],30%,IF($G$36,40%,Cdlac[[#This Row],[iAMI]])),"")</f>
        <v>0.3</v>
      </c>
      <c r="P20" s="1110" cm="1">
        <f t="array" ref="P20">IF(Cdlac[[#This Row],[Quantity]]&gt;0,INDEX(TcacRents,$P$18,Cdlac[[#This Row],[Bedrooms]]+1)*Cdlac[[#This Row],[AMI]],"")</f>
        <v>438.59999999999997</v>
      </c>
      <c r="Q20" s="1110" cm="1">
        <f t="array" ref="Q20">IF(Cdlac[[#This Row],[Quantity]]&gt;0,INDEX(HudFmrs,$P$18,Cdlac[[#This Row],[Bedrooms]]+1),"")</f>
        <v>895</v>
      </c>
      <c r="R20" s="1110">
        <f>IF(Cdlac[[#This Row],[Quantity]]&gt;0,MAX(0,Cdlac[[#This Row],[Fair Market Rent]]-Cdlac[[#This Row],[Restricted Rent]]),"")</f>
        <v>456.40000000000003</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8"/>
      <c r="D21" s="2118"/>
      <c r="E21" s="2118"/>
      <c r="F21" s="2118"/>
      <c r="G21" s="2118"/>
      <c r="H21" s="1117"/>
      <c r="I21" s="1116"/>
      <c r="L21" s="1088">
        <f>IFERROR(MIN(4,MATCH(Application!B715,UnitSizes,0)-1),"")</f>
        <v>1</v>
      </c>
      <c r="M21" s="1110">
        <f>Application!G715</f>
        <v>3</v>
      </c>
      <c r="N21" s="1118">
        <f>Application!AC715</f>
        <v>0.4</v>
      </c>
      <c r="O21" s="1118">
        <f>IF(Cdlac[[#This Row],[Quantity]]&gt;0,IF(Cdlac[[#This Row],[Federal]],30%,IF($G$36,40%,Cdlac[[#This Row],[iAMI]])),"")</f>
        <v>0.4</v>
      </c>
      <c r="P21" s="1110" cm="1">
        <f t="array" ref="P21">IF(Cdlac[[#This Row],[Quantity]]&gt;0,INDEX(TcacRents,$P$18,Cdlac[[#This Row],[Bedrooms]]+1)*Cdlac[[#This Row],[AMI]],"")</f>
        <v>584.80000000000007</v>
      </c>
      <c r="Q21" s="1110" cm="1">
        <f t="array" ref="Q21">IF(Cdlac[[#This Row],[Quantity]]&gt;0,INDEX(HudFmrs,$P$18,Cdlac[[#This Row],[Bedrooms]]+1),"")</f>
        <v>895</v>
      </c>
      <c r="R21" s="1110">
        <f>IF(Cdlac[[#This Row],[Quantity]]&gt;0,MAX(0,Cdlac[[#This Row],[Fair Market Rent]]-Cdlac[[#This Row],[Restricted Rent]]),"")</f>
        <v>310.19999999999993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v>
      </c>
      <c r="N22" s="1118">
        <f>Application!AC716</f>
        <v>0.5</v>
      </c>
      <c r="O22" s="1118">
        <f>IF(Cdlac[[#This Row],[Quantity]]&gt;0,IF(Cdlac[[#This Row],[Federal]],30%,IF($G$36,40%,Cdlac[[#This Row],[iAMI]])),"")</f>
        <v>0.5</v>
      </c>
      <c r="P22" s="1110" cm="1">
        <f t="array" ref="P22">IF(Cdlac[[#This Row],[Quantity]]&gt;0,INDEX(TcacRents,$P$18,Cdlac[[#This Row],[Bedrooms]]+1)*Cdlac[[#This Row],[AMI]],"")</f>
        <v>731</v>
      </c>
      <c r="Q22" s="1110" cm="1">
        <f t="array" ref="Q22">IF(Cdlac[[#This Row],[Quantity]]&gt;0,INDEX(HudFmrs,$P$18,Cdlac[[#This Row],[Bedrooms]]+1),"")</f>
        <v>895</v>
      </c>
      <c r="R22" s="1110">
        <f>IF(Cdlac[[#This Row],[Quantity]]&gt;0,MAX(0,Cdlac[[#This Row],[Fair Market Rent]]-Cdlac[[#This Row],[Restricted Rent]]),"")</f>
        <v>164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8</v>
      </c>
      <c r="F23" s="1119">
        <f>E23</f>
        <v>8</v>
      </c>
      <c r="G23" s="1119">
        <f>D23*F23</f>
        <v>8</v>
      </c>
      <c r="L23" s="1088">
        <f>IFERROR(MIN(4,MATCH(Application!B717,UnitSizes,0)-1),"")</f>
        <v>1</v>
      </c>
      <c r="M23" s="1110">
        <f>Application!G717</f>
        <v>1</v>
      </c>
      <c r="N23" s="1118">
        <f>Application!AC717</f>
        <v>0.6</v>
      </c>
      <c r="O23" s="1118">
        <f>IF(Cdlac[[#This Row],[Quantity]]&gt;0,IF(Cdlac[[#This Row],[Federal]],30%,IF($G$36,40%,Cdlac[[#This Row],[iAMI]])),"")</f>
        <v>0.6</v>
      </c>
      <c r="P23" s="1110" cm="1">
        <f t="array" ref="P23">IF(Cdlac[[#This Row],[Quantity]]&gt;0,INDEX(TcacRents,$P$18,Cdlac[[#This Row],[Bedrooms]]+1)*Cdlac[[#This Row],[AMI]],"")</f>
        <v>877.19999999999993</v>
      </c>
      <c r="Q23" s="1110" cm="1">
        <f t="array" ref="Q23">IF(Cdlac[[#This Row],[Quantity]]&gt;0,INDEX(HudFmrs,$P$18,Cdlac[[#This Row],[Bedrooms]]+1),"")</f>
        <v>895</v>
      </c>
      <c r="R23" s="1110">
        <f>IF(Cdlac[[#This Row],[Quantity]]&gt;0,MAX(0,Cdlac[[#This Row],[Fair Market Rent]]-Cdlac[[#This Row],[Restricted Rent]]),"")</f>
        <v>17.800000000000068</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24</v>
      </c>
      <c r="F24" s="1122">
        <f>SUM(E24:E26)-SUM(F25:F26)</f>
        <v>37</v>
      </c>
      <c r="G24" s="1119">
        <f>D24*F24</f>
        <v>46.25</v>
      </c>
      <c r="H24" s="1121"/>
      <c r="I24" s="1121"/>
      <c r="L24" s="1088">
        <f>IFERROR(MIN(4,MATCH(Application!B718,UnitSizes,0)-1),"")</f>
        <v>2</v>
      </c>
      <c r="M24" s="1110">
        <f>Application!G718</f>
        <v>9</v>
      </c>
      <c r="N24" s="1118">
        <f>Application!AC718</f>
        <v>0.3</v>
      </c>
      <c r="O24" s="1118">
        <f>IF(Cdlac[[#This Row],[Quantity]]&gt;0,IF(Cdlac[[#This Row],[Federal]],30%,IF($G$36,40%,Cdlac[[#This Row],[iAMI]])),"")</f>
        <v>0.3</v>
      </c>
      <c r="P24" s="1110" cm="1">
        <f t="array" ref="P24">IF(Cdlac[[#This Row],[Quantity]]&gt;0,INDEX(TcacRents,$P$18,Cdlac[[#This Row],[Bedrooms]]+1)*Cdlac[[#This Row],[AMI]],"")</f>
        <v>526.19999999999993</v>
      </c>
      <c r="Q24" s="1110" cm="1">
        <f t="array" ref="Q24">IF(Cdlac[[#This Row],[Quantity]]&gt;0,INDEX(HudFmrs,$P$18,Cdlac[[#This Row],[Bedrooms]]+1),"")</f>
        <v>1177</v>
      </c>
      <c r="R24" s="1110">
        <f>IF(Cdlac[[#This Row],[Quantity]]&gt;0,MAX(0,Cdlac[[#This Row],[Fair Market Rent]]-Cdlac[[#This Row],[Restricted Rent]]),"")</f>
        <v>650.80000000000007</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32</v>
      </c>
      <c r="F25" s="1122">
        <f>MIN(E25,ROUNDDOWN(E27*30%,0))</f>
        <v>22</v>
      </c>
      <c r="G25" s="1119">
        <f>D25*F25</f>
        <v>33</v>
      </c>
      <c r="H25" s="1121"/>
      <c r="I25" s="1121"/>
      <c r="L25" s="1088">
        <f>IFERROR(MIN(4,MATCH(Application!B719,UnitSizes,0)-1),"")</f>
        <v>2</v>
      </c>
      <c r="M25" s="1110">
        <f>Application!G719</f>
        <v>10</v>
      </c>
      <c r="N25" s="1118">
        <f>Application!AC719</f>
        <v>0.4</v>
      </c>
      <c r="O25" s="1118">
        <f>IF(Cdlac[[#This Row],[Quantity]]&gt;0,IF(Cdlac[[#This Row],[Federal]],30%,IF($G$36,40%,Cdlac[[#This Row],[iAMI]])),"")</f>
        <v>0.4</v>
      </c>
      <c r="P25" s="1110" cm="1">
        <f t="array" ref="P25">IF(Cdlac[[#This Row],[Quantity]]&gt;0,INDEX(TcacRents,$P$18,Cdlac[[#This Row],[Bedrooms]]+1)*Cdlac[[#This Row],[AMI]],"")</f>
        <v>701.6</v>
      </c>
      <c r="Q25" s="1110" cm="1">
        <f t="array" ref="Q25">IF(Cdlac[[#This Row],[Quantity]]&gt;0,INDEX(HudFmrs,$P$18,Cdlac[[#This Row],[Bedrooms]]+1),"")</f>
        <v>1177</v>
      </c>
      <c r="R25" s="1110">
        <f>IF(Cdlac[[#This Row],[Quantity]]&gt;0,MAX(0,Cdlac[[#This Row],[Fair Market Rent]]-Cdlac[[#This Row],[Restricted Rent]]),"")</f>
        <v>475.4</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10</v>
      </c>
      <c r="F26" s="1135">
        <f>MIN(E26,ROUNDDOWN(E27*10%,0))</f>
        <v>7</v>
      </c>
      <c r="G26" s="1137">
        <f>D26*F26</f>
        <v>12.25</v>
      </c>
      <c r="H26" s="1121"/>
      <c r="I26" s="1121"/>
      <c r="L26" s="1088">
        <f>IFERROR(MIN(4,MATCH(Application!B720,UnitSizes,0)-1),"")</f>
        <v>2</v>
      </c>
      <c r="M26" s="1110">
        <f>Application!G720</f>
        <v>4</v>
      </c>
      <c r="N26" s="1118">
        <f>Application!AC720</f>
        <v>0.5</v>
      </c>
      <c r="O26" s="1118">
        <f>IF(Cdlac[[#This Row],[Quantity]]&gt;0,IF(Cdlac[[#This Row],[Federal]],30%,IF($G$36,40%,Cdlac[[#This Row],[iAMI]])),"")</f>
        <v>0.5</v>
      </c>
      <c r="P26" s="1110" cm="1">
        <f t="array" ref="P26">IF(Cdlac[[#This Row],[Quantity]]&gt;0,INDEX(TcacRents,$P$18,Cdlac[[#This Row],[Bedrooms]]+1)*Cdlac[[#This Row],[AMI]],"")</f>
        <v>877</v>
      </c>
      <c r="Q26" s="1110" cm="1">
        <f t="array" ref="Q26">IF(Cdlac[[#This Row],[Quantity]]&gt;0,INDEX(HudFmrs,$P$18,Cdlac[[#This Row],[Bedrooms]]+1),"")</f>
        <v>1177</v>
      </c>
      <c r="R26" s="1110">
        <f>IF(Cdlac[[#This Row],[Quantity]]&gt;0,MAX(0,Cdlac[[#This Row],[Fair Market Rent]]-Cdlac[[#This Row],[Restricted Rent]]),"")</f>
        <v>300</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3" t="s">
        <v>1764</v>
      </c>
      <c r="D27" s="2134"/>
      <c r="E27" s="1138">
        <f>SUM(E22:E26)</f>
        <v>74</v>
      </c>
      <c r="F27" s="1138">
        <f>SUM(F22:F26)</f>
        <v>74</v>
      </c>
      <c r="G27" s="1139">
        <f>SUMPRODUCT(D22:D26,F22:F26)</f>
        <v>99.5</v>
      </c>
      <c r="H27" s="1121"/>
      <c r="I27" s="1121"/>
      <c r="L27" s="1088">
        <f>IFERROR(MIN(4,MATCH(Application!B721,UnitSizes,0)-1),"")</f>
        <v>2</v>
      </c>
      <c r="M27" s="1110">
        <f>Application!G721</f>
        <v>1</v>
      </c>
      <c r="N27" s="1118">
        <f>Application!AC721</f>
        <v>0.6</v>
      </c>
      <c r="O27" s="1118">
        <f>IF(Cdlac[[#This Row],[Quantity]]&gt;0,IF(Cdlac[[#This Row],[Federal]],30%,IF($G$36,40%,Cdlac[[#This Row],[iAMI]])),"")</f>
        <v>0.6</v>
      </c>
      <c r="P27" s="1110" cm="1">
        <f t="array" ref="P27">IF(Cdlac[[#This Row],[Quantity]]&gt;0,INDEX(TcacRents,$P$18,Cdlac[[#This Row],[Bedrooms]]+1)*Cdlac[[#This Row],[AMI]],"")</f>
        <v>1052.3999999999999</v>
      </c>
      <c r="Q27" s="1110" cm="1">
        <f t="array" ref="Q27">IF(Cdlac[[#This Row],[Quantity]]&gt;0,INDEX(HudFmrs,$P$18,Cdlac[[#This Row],[Bedrooms]]+1),"")</f>
        <v>1177</v>
      </c>
      <c r="R27" s="1110">
        <f>IF(Cdlac[[#This Row],[Quantity]]&gt;0,MAX(0,Cdlac[[#This Row],[Fair Market Rent]]-Cdlac[[#This Row],[Restricted Rent]]),"")</f>
        <v>124.60000000000014</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7</v>
      </c>
      <c r="N28" s="1118">
        <f>Application!AC722</f>
        <v>0.3</v>
      </c>
      <c r="O28" s="1118">
        <f>IF(Cdlac[[#This Row],[Quantity]]&gt;0,IF(Cdlac[[#This Row],[Federal]],30%,IF($G$36,40%,Cdlac[[#This Row],[iAMI]])),"")</f>
        <v>0.3</v>
      </c>
      <c r="P28" s="1110" cm="1">
        <f t="array" ref="P28">IF(Cdlac[[#This Row],[Quantity]]&gt;0,INDEX(TcacRents,$P$18,Cdlac[[#This Row],[Bedrooms]]+1)*Cdlac[[#This Row],[AMI]],"")</f>
        <v>607.79999999999995</v>
      </c>
      <c r="Q28" s="1110" cm="1">
        <f t="array" ref="Q28">IF(Cdlac[[#This Row],[Quantity]]&gt;0,INDEX(HudFmrs,$P$18,Cdlac[[#This Row],[Bedrooms]]+1),"")</f>
        <v>1662</v>
      </c>
      <c r="R28" s="1110">
        <f>IF(Cdlac[[#This Row],[Quantity]]&gt;0,MAX(0,Cdlac[[#This Row],[Fair Market Rent]]-Cdlac[[#This Row],[Restricted Rent]]),"")</f>
        <v>1054.2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99.5</v>
      </c>
      <c r="H29" s="1121"/>
      <c r="I29" s="1121"/>
      <c r="L29" s="1088">
        <f>IFERROR(MIN(4,MATCH(Application!B723,UnitSizes,0)-1),"")</f>
        <v>3</v>
      </c>
      <c r="M29" s="1110">
        <f>Application!G723</f>
        <v>16</v>
      </c>
      <c r="N29" s="1118">
        <f>Application!AC723</f>
        <v>0.4</v>
      </c>
      <c r="O29" s="1118">
        <f>IF(Cdlac[[#This Row],[Quantity]]&gt;0,IF(Cdlac[[#This Row],[Federal]],30%,IF($G$36,40%,Cdlac[[#This Row],[iAMI]])),"")</f>
        <v>0.4</v>
      </c>
      <c r="P29" s="1110" cm="1">
        <f t="array" ref="P29">IF(Cdlac[[#This Row],[Quantity]]&gt;0,INDEX(TcacRents,$P$18,Cdlac[[#This Row],[Bedrooms]]+1)*Cdlac[[#This Row],[AMI]],"")</f>
        <v>810.40000000000009</v>
      </c>
      <c r="Q29" s="1110" cm="1">
        <f t="array" ref="Q29">IF(Cdlac[[#This Row],[Quantity]]&gt;0,INDEX(HudFmrs,$P$18,Cdlac[[#This Row],[Bedrooms]]+1),"")</f>
        <v>1662</v>
      </c>
      <c r="R29" s="1110">
        <f>IF(Cdlac[[#This Row],[Quantity]]&gt;0,MAX(0,Cdlac[[#This Row],[Fair Market Rent]]-Cdlac[[#This Row],[Restricted Rent]]),"")</f>
        <v>851.59999999999991</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3</v>
      </c>
      <c r="M30" s="1110">
        <f>Application!G724</f>
        <v>8</v>
      </c>
      <c r="N30" s="1118">
        <f>Application!AC724</f>
        <v>0.5</v>
      </c>
      <c r="O30" s="1118">
        <f>IF(Cdlac[[#This Row],[Quantity]]&gt;0,IF(Cdlac[[#This Row],[Federal]],30%,IF($G$36,40%,Cdlac[[#This Row],[iAMI]])),"")</f>
        <v>0.5</v>
      </c>
      <c r="P30" s="1110" cm="1">
        <f t="array" ref="P30">IF(Cdlac[[#This Row],[Quantity]]&gt;0,INDEX(TcacRents,$P$18,Cdlac[[#This Row],[Bedrooms]]+1)*Cdlac[[#This Row],[AMI]],"")</f>
        <v>1013</v>
      </c>
      <c r="Q30" s="1110" cm="1">
        <f t="array" ref="Q30">IF(Cdlac[[#This Row],[Quantity]]&gt;0,INDEX(HudFmrs,$P$18,Cdlac[[#This Row],[Bedrooms]]+1),"")</f>
        <v>1662</v>
      </c>
      <c r="R30" s="1110">
        <f>IF(Cdlac[[#This Row],[Quantity]]&gt;0,MAX(0,Cdlac[[#This Row],[Fair Market Rent]]-Cdlac[[#This Row],[Restricted Rent]]),"")</f>
        <v>649</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2372</v>
      </c>
      <c r="F31" s="1090"/>
      <c r="G31" s="1170">
        <f>G30*G29</f>
        <v>4975000</v>
      </c>
      <c r="H31" s="1121"/>
      <c r="I31" s="1121"/>
      <c r="L31" s="1088">
        <f>IFERROR(MIN(4,MATCH(Application!B725,UnitSizes,0)-1),"")</f>
        <v>3</v>
      </c>
      <c r="M31" s="1110">
        <f>Application!G725</f>
        <v>1</v>
      </c>
      <c r="N31" s="1118">
        <f>Application!AC725</f>
        <v>0.6</v>
      </c>
      <c r="O31" s="1118">
        <f>IF(Cdlac[[#This Row],[Quantity]]&gt;0,IF(Cdlac[[#This Row],[Federal]],30%,IF($G$36,40%,Cdlac[[#This Row],[iAMI]])),"")</f>
        <v>0.6</v>
      </c>
      <c r="P31" s="1110" cm="1">
        <f t="array" ref="P31">IF(Cdlac[[#This Row],[Quantity]]&gt;0,INDEX(TcacRents,$P$18,Cdlac[[#This Row],[Bedrooms]]+1)*Cdlac[[#This Row],[AMI]],"")</f>
        <v>1215.5999999999999</v>
      </c>
      <c r="Q31" s="1110" cm="1">
        <f t="array" ref="Q31">IF(Cdlac[[#This Row],[Quantity]]&gt;0,INDEX(HudFmrs,$P$18,Cdlac[[#This Row],[Bedrooms]]+1),"")</f>
        <v>1662</v>
      </c>
      <c r="R31" s="1110">
        <f>IF(Cdlac[[#This Row],[Quantity]]&gt;0,MAX(0,Cdlac[[#This Row],[Fair Market Rent]]-Cdlac[[#This Row],[Restricted Rent]]),"")</f>
        <v>446.40000000000009</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4</v>
      </c>
      <c r="M32" s="1110">
        <f>Application!G726</f>
        <v>2</v>
      </c>
      <c r="N32" s="1118">
        <f>Application!AC726</f>
        <v>0.3</v>
      </c>
      <c r="O32" s="1118">
        <f>IF(Cdlac[[#This Row],[Quantity]]&gt;0,IF(Cdlac[[#This Row],[Federal]],30%,IF($G$36,40%,Cdlac[[#This Row],[iAMI]])),"")</f>
        <v>0.3</v>
      </c>
      <c r="P32" s="1110" cm="1">
        <f t="array" ref="P32">IF(Cdlac[[#This Row],[Quantity]]&gt;0,INDEX(TcacRents,$P$18,Cdlac[[#This Row],[Bedrooms]]+1)*Cdlac[[#This Row],[AMI]],"")</f>
        <v>678</v>
      </c>
      <c r="Q32" s="1110" cm="1">
        <f t="array" ref="Q32">IF(Cdlac[[#This Row],[Quantity]]&gt;0,INDEX(HudFmrs,$P$18,Cdlac[[#This Row],[Bedrooms]]+1),"")</f>
        <v>2015</v>
      </c>
      <c r="R32" s="1110">
        <f>IF(Cdlac[[#This Row],[Quantity]]&gt;0,MAX(0,Cdlac[[#This Row],[Fair Market Rent]]-Cdlac[[#This Row],[Restricted Rent]]),"")</f>
        <v>1337</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4</v>
      </c>
      <c r="M33" s="1110">
        <f>Application!G727</f>
        <v>6</v>
      </c>
      <c r="N33" s="1118">
        <f>Application!AC727</f>
        <v>0.4</v>
      </c>
      <c r="O33" s="1118">
        <f>IF(Cdlac[[#This Row],[Quantity]]&gt;0,IF(Cdlac[[#This Row],[Federal]],30%,IF($G$36,40%,Cdlac[[#This Row],[iAMI]])),"")</f>
        <v>0.4</v>
      </c>
      <c r="P33" s="1110" cm="1">
        <f t="array" ref="P33">IF(Cdlac[[#This Row],[Quantity]]&gt;0,INDEX(TcacRents,$P$18,Cdlac[[#This Row],[Bedrooms]]+1)*Cdlac[[#This Row],[AMI]],"")</f>
        <v>904</v>
      </c>
      <c r="Q33" s="1110" cm="1">
        <f t="array" ref="Q33">IF(Cdlac[[#This Row],[Quantity]]&gt;0,INDEX(HudFmrs,$P$18,Cdlac[[#This Row],[Bedrooms]]+1),"")</f>
        <v>2015</v>
      </c>
      <c r="R33" s="1110">
        <f>IF(Cdlac[[#This Row],[Quantity]]&gt;0,MAX(0,Cdlac[[#This Row],[Fair Market Rent]]-Cdlac[[#This Row],[Restricted Rent]]),"")</f>
        <v>1111</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4</v>
      </c>
      <c r="M34" s="1110">
        <f>Application!G728</f>
        <v>1</v>
      </c>
      <c r="N34" s="1118">
        <f>Application!AC728</f>
        <v>0.5</v>
      </c>
      <c r="O34" s="1118">
        <f>IF(Cdlac[[#This Row],[Quantity]]&gt;0,IF(Cdlac[[#This Row],[Federal]],30%,IF($G$36,40%,Cdlac[[#This Row],[iAMI]])),"")</f>
        <v>0.5</v>
      </c>
      <c r="P34" s="1110" cm="1">
        <f t="array" ref="P34">IF(Cdlac[[#This Row],[Quantity]]&gt;0,INDEX(TcacRents,$P$18,Cdlac[[#This Row],[Bedrooms]]+1)*Cdlac[[#This Row],[AMI]],"")</f>
        <v>1130</v>
      </c>
      <c r="Q34" s="1110" cm="1">
        <f t="array" ref="Q34">IF(Cdlac[[#This Row],[Quantity]]&gt;0,INDEX(HudFmrs,$P$18,Cdlac[[#This Row],[Bedrooms]]+1),"")</f>
        <v>2015</v>
      </c>
      <c r="R34" s="1110">
        <f>IF(Cdlac[[#This Row],[Quantity]]&gt;0,MAX(0,Cdlac[[#This Row],[Fair Market Rent]]-Cdlac[[#This Row],[Restricted Rent]]),"")</f>
        <v>885</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0.40135135135135142</v>
      </c>
      <c r="L35" s="1088">
        <f>IFERROR(MIN(4,MATCH(Application!B729,UnitSizes,0)-1),"")</f>
        <v>4</v>
      </c>
      <c r="M35" s="1110">
        <f>Application!G729</f>
        <v>1</v>
      </c>
      <c r="N35" s="1118">
        <f>Application!AC729</f>
        <v>0.6</v>
      </c>
      <c r="O35" s="1118">
        <f>IF(Cdlac[[#This Row],[Quantity]]&gt;0,IF(Cdlac[[#This Row],[Federal]],30%,IF($G$36,40%,Cdlac[[#This Row],[iAMI]])),"")</f>
        <v>0.6</v>
      </c>
      <c r="P35" s="1110" cm="1">
        <f t="array" ref="P35">IF(Cdlac[[#This Row],[Quantity]]&gt;0,INDEX(TcacRents,$P$18,Cdlac[[#This Row],[Bedrooms]]+1)*Cdlac[[#This Row],[AMI]],"")</f>
        <v>1356</v>
      </c>
      <c r="Q35" s="1110" cm="1">
        <f t="array" ref="Q35">IF(Cdlac[[#This Row],[Quantity]]&gt;0,INDEX(HudFmrs,$P$18,Cdlac[[#This Row],[Bedrooms]]+1),"")</f>
        <v>2015</v>
      </c>
      <c r="R35" s="1110">
        <f>IF(Cdlac[[#This Row],[Quantity]]&gt;0,MAX(0,Cdlac[[#This Row],[Fair Market Rent]]-Cdlac[[#This Row],[Restricted Rent]]),"")</f>
        <v>659</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51944.800000000003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9350064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37</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21</v>
      </c>
    </row>
    <row r="54" spans="2:14" ht="15" customHeight="1">
      <c r="E54" s="1168" t="s">
        <v>2390</v>
      </c>
      <c r="G54" s="1126">
        <f>ROUNDDOWN(E27*50%,0)</f>
        <v>37</v>
      </c>
    </row>
    <row r="55" spans="2:14" ht="15" customHeight="1">
      <c r="E55" s="1168"/>
      <c r="G55" s="1126"/>
    </row>
    <row r="56" spans="2:14" ht="15" customHeight="1">
      <c r="E56" s="1168" t="s">
        <v>2341</v>
      </c>
      <c r="G56" s="1165">
        <f>MIN(G53:G54)</f>
        <v>21</v>
      </c>
    </row>
    <row r="57" spans="2:14" ht="15" customHeight="1">
      <c r="E57" s="1168" t="s">
        <v>2331</v>
      </c>
      <c r="F57" s="1164" t="s">
        <v>2388</v>
      </c>
      <c r="G57" s="1175">
        <v>20000</v>
      </c>
    </row>
    <row r="58" spans="2:14" ht="15" customHeight="1">
      <c r="E58" s="1169" t="s">
        <v>2370</v>
      </c>
      <c r="F58" s="1090"/>
      <c r="G58" s="1174">
        <f>G56*G57</f>
        <v>420000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4</v>
      </c>
      <c r="L62" s="1178" t="str">
        <f>'Points System'!H627</f>
        <v>N/A</v>
      </c>
      <c r="M62" s="2135" t="s">
        <v>1578</v>
      </c>
      <c r="N62" s="2136"/>
    </row>
    <row r="63" spans="2:14" ht="15" customHeight="1">
      <c r="E63" s="1133" t="s">
        <v>2331</v>
      </c>
      <c r="F63" s="1164" t="s">
        <v>2388</v>
      </c>
      <c r="G63" s="1123">
        <v>4000</v>
      </c>
      <c r="L63" s="1179" t="str">
        <f>'Points System'!H639</f>
        <v>N/A</v>
      </c>
      <c r="M63" s="2137" t="s">
        <v>2345</v>
      </c>
      <c r="N63" s="2138"/>
    </row>
    <row r="64" spans="2:14" ht="15" customHeight="1">
      <c r="E64" s="1133" t="s">
        <v>2392</v>
      </c>
      <c r="F64" s="1164" t="s">
        <v>2388</v>
      </c>
      <c r="G64" s="1177">
        <f>G27</f>
        <v>99.5</v>
      </c>
      <c r="L64" s="1179" t="str">
        <f>'Points System'!H674</f>
        <v>(ii)</v>
      </c>
      <c r="M64" s="2137" t="s">
        <v>2346</v>
      </c>
      <c r="N64" s="2138"/>
    </row>
    <row r="65" spans="2:14" ht="15" customHeight="1">
      <c r="E65" s="1169" t="s">
        <v>2350</v>
      </c>
      <c r="F65" s="1090"/>
      <c r="G65" s="1174">
        <f>G62*G63*G64</f>
        <v>1592000</v>
      </c>
      <c r="L65" s="1179" t="str">
        <f>'Points System'!H694</f>
        <v>N/A</v>
      </c>
      <c r="M65" s="2137" t="s">
        <v>2347</v>
      </c>
      <c r="N65" s="2138"/>
    </row>
    <row r="66" spans="2:14" ht="15" customHeight="1">
      <c r="C66" s="1124"/>
      <c r="G66" s="1165"/>
      <c r="L66" s="1180" t="str">
        <f>'Points System'!H708</f>
        <v>N/A</v>
      </c>
      <c r="M66" s="2137" t="s">
        <v>1604</v>
      </c>
      <c r="N66" s="2138"/>
    </row>
    <row r="67" spans="2:14" ht="15" customHeight="1">
      <c r="E67" s="1133" t="s">
        <v>2393</v>
      </c>
      <c r="G67" s="1177">
        <f>COUNTIFS(L62:L69,"(i)")</f>
        <v>1</v>
      </c>
      <c r="L67" s="1179" t="str">
        <f>'Points System'!H720</f>
        <v>N/A</v>
      </c>
      <c r="M67" s="2137" t="s">
        <v>2348</v>
      </c>
      <c r="N67" s="2138"/>
    </row>
    <row r="68" spans="2:14" ht="15" customHeight="1">
      <c r="E68" s="1133" t="s">
        <v>2331</v>
      </c>
      <c r="F68" s="1164" t="s">
        <v>2388</v>
      </c>
      <c r="G68" s="1175">
        <v>4000</v>
      </c>
      <c r="L68" s="1179" t="str">
        <f>'Points System'!H736</f>
        <v>N/A</v>
      </c>
      <c r="M68" s="2137" t="s">
        <v>2349</v>
      </c>
      <c r="N68" s="2138"/>
    </row>
    <row r="69" spans="2:14" ht="15" customHeight="1" thickBot="1">
      <c r="E69" s="1169" t="s">
        <v>2351</v>
      </c>
      <c r="F69" s="1090"/>
      <c r="G69" s="1174">
        <f>G64*G67*G68</f>
        <v>398000</v>
      </c>
      <c r="L69" s="1181" t="str">
        <f>'Points System'!H748</f>
        <v>(i)</v>
      </c>
      <c r="M69" s="2143" t="s">
        <v>1607</v>
      </c>
      <c r="N69" s="2144"/>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row>
    <row r="75" spans="2:14" ht="15" customHeight="1">
      <c r="C75" s="1124" t="s">
        <v>2617</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99.5</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1990000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45" t="s">
        <v>2358</v>
      </c>
      <c r="M87" s="2146"/>
      <c r="N87" s="1182">
        <v>30000</v>
      </c>
    </row>
    <row r="88" spans="2:14" ht="15" customHeight="1">
      <c r="C88" s="1124" t="s">
        <v>2375</v>
      </c>
      <c r="G88" s="1128" t="str">
        <f>IF(Application!D210="Large Family","Yes","No")</f>
        <v>Yes</v>
      </c>
      <c r="L88" s="2139" t="s">
        <v>2322</v>
      </c>
      <c r="M88" s="2140"/>
      <c r="N88" s="1183">
        <v>20000</v>
      </c>
    </row>
    <row r="89" spans="2:14" ht="15" customHeight="1" thickBot="1">
      <c r="C89" s="1124" t="s">
        <v>2356</v>
      </c>
      <c r="G89" s="1087"/>
      <c r="L89" s="2141" t="s">
        <v>2359</v>
      </c>
      <c r="M89" s="2142"/>
      <c r="N89" s="1184">
        <v>10000</v>
      </c>
    </row>
    <row r="90" spans="2:14" ht="15" customHeight="1">
      <c r="C90" s="1124" t="s">
        <v>2357</v>
      </c>
      <c r="G90" s="1088" t="str">
        <f>Application!T193</f>
        <v>High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20000</v>
      </c>
    </row>
    <row r="95" spans="2:14" ht="15" customHeight="1">
      <c r="E95" s="1133" t="str">
        <f>E64</f>
        <v>Bedroom-Adjusted Low-Income Units</v>
      </c>
      <c r="F95" s="1164" t="s">
        <v>2388</v>
      </c>
      <c r="G95" s="1165">
        <f>G27</f>
        <v>99.5</v>
      </c>
    </row>
    <row r="96" spans="2:14" ht="15" customHeight="1">
      <c r="D96" s="1090"/>
      <c r="E96" s="1169" t="s">
        <v>2330</v>
      </c>
      <c r="F96" s="1090"/>
      <c r="G96" s="1174">
        <f>G95*G94*G92</f>
        <v>1990000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99.5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Butte</v>
      </c>
    </row>
    <row r="111" spans="2:9" ht="15" customHeight="1">
      <c r="E111" s="1133"/>
      <c r="G111" s="1125"/>
    </row>
    <row r="112" spans="2:9" ht="15" customHeight="1">
      <c r="E112" s="1133" t="str">
        <f>"2-Bedroom "&amp;G110&amp;" County Basis Limit"</f>
        <v>2-Bedroom Butte County Basis Limit</v>
      </c>
      <c r="G112" s="1125">
        <f>Application!R957</f>
        <v>444000</v>
      </c>
    </row>
    <row r="113" spans="4:9" ht="15" customHeight="1">
      <c r="E113" s="1133" t="s">
        <v>2396</v>
      </c>
      <c r="G113" s="1125">
        <f>MEDIAN((Application!BR795:BR852))</f>
        <v>489600</v>
      </c>
    </row>
    <row r="114" spans="4:9" ht="15" customHeight="1">
      <c r="D114" s="1090"/>
      <c r="E114" s="1169" t="s">
        <v>2398</v>
      </c>
      <c r="F114" s="1185"/>
      <c r="G114" s="1186">
        <f>((G112-G113)/G113)*0.25</f>
        <v>-2.3284313725490197E-2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Sources and Uses Budget</vt:lpstr>
      <vt:lpstr>Application</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2023-02-02T21:49:06Z</cp:lastPrinted>
  <dcterms:created xsi:type="dcterms:W3CDTF">2007-12-27T18:26:28Z</dcterms:created>
  <dcterms:modified xsi:type="dcterms:W3CDTF">2023-02-03T23:05:31Z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2023-01-18T20:32:33Z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747da62c-a45b-491a-863b-d31fa09e0474</vt:lpwstr>
  </property>
  <property fmtid="{D5CDD505-2E9C-101B-9397-08002B2CF9AE}" pid="8" name="MSIP_Label_cac78fa3-8c3c-40be-95d9-faf236c08e18_ContentBits">
    <vt:lpwstr>0</vt:lpwstr>
  </property>
</Properties>
</file>